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1" r:id="rId33"/>
    <sheet name="市调结果"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商铺租金" sheetId="72" r:id="rId41"/>
    <sheet name="不动产收益法车库" sheetId="69"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4">不动产收益法!$A$1:$F$43,不动产收益法!$H$3:$M$29,不动产收益法!$A$46:$F$70,不动产收益法!$I$46:$M$60</definedName>
    <definedName name="_xlnm.Print_Area" localSheetId="41">不动产收益法车库!$A$1:$F$43,不动产收益法车库!$H$3:$M$29,不动产收益法车库!$A$46:$F$70,不动产收益法车库!$I$46:$M$60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0" i="6" l="1"/>
  <c r="R19" i="6"/>
  <c r="Q18" i="1" l="1"/>
  <c r="I51" i="21"/>
  <c r="N10" i="12"/>
  <c r="AL13" i="3" l="1"/>
  <c r="AD13" i="3"/>
  <c r="R6" i="68" l="1"/>
  <c r="R7" i="68"/>
  <c r="R8" i="68"/>
  <c r="R9" i="68"/>
  <c r="R10" i="68"/>
  <c r="R11" i="68"/>
  <c r="R12" i="68"/>
  <c r="R13" i="68"/>
  <c r="R14" i="68"/>
  <c r="R15" i="68"/>
  <c r="R16" i="68"/>
  <c r="R17" i="68"/>
  <c r="R18" i="68"/>
  <c r="R19" i="68"/>
  <c r="R20" i="68"/>
  <c r="R21" i="68"/>
  <c r="R5" i="68"/>
  <c r="Q6" i="68"/>
  <c r="Q7" i="68"/>
  <c r="Q8" i="68"/>
  <c r="Q9" i="68"/>
  <c r="Q10" i="68"/>
  <c r="Q11" i="68"/>
  <c r="Q12" i="68"/>
  <c r="Q13" i="68"/>
  <c r="Q14" i="68"/>
  <c r="Q15" i="68"/>
  <c r="Q16" i="68"/>
  <c r="Q17" i="68"/>
  <c r="Q18" i="68"/>
  <c r="Q19" i="68"/>
  <c r="Q20" i="68"/>
  <c r="Q21" i="68"/>
  <c r="Q5" i="68"/>
  <c r="O22" i="68"/>
  <c r="J22" i="68"/>
  <c r="K22" i="68"/>
  <c r="F22" i="68"/>
  <c r="N22" i="68"/>
  <c r="M22" i="68"/>
  <c r="E22" i="68"/>
  <c r="D22" i="68"/>
  <c r="X20" i="1" l="1"/>
  <c r="V20" i="1"/>
  <c r="X23" i="1" l="1"/>
  <c r="X22" i="1"/>
  <c r="V23" i="1" l="1"/>
  <c r="V22" i="1"/>
  <c r="I40" i="39"/>
  <c r="G40" i="39"/>
  <c r="E40" i="39"/>
  <c r="C40" i="39"/>
  <c r="I9" i="39"/>
  <c r="G9" i="39"/>
  <c r="E9" i="39"/>
  <c r="I7" i="39"/>
  <c r="G7" i="39"/>
  <c r="E7" i="39"/>
  <c r="D73" i="39"/>
  <c r="E73" i="39" s="1"/>
  <c r="F73" i="39" s="1"/>
  <c r="G73" i="39" s="1"/>
  <c r="H73" i="39" s="1"/>
  <c r="I73" i="39" s="1"/>
  <c r="J73" i="39" s="1"/>
  <c r="K73" i="39" s="1"/>
  <c r="L73" i="39" s="1"/>
  <c r="M73" i="39" s="1"/>
  <c r="N73" i="39" s="1"/>
  <c r="Q73" i="69" l="1"/>
  <c r="Q60" i="69"/>
  <c r="D60" i="69"/>
  <c r="Q59" i="69"/>
  <c r="K59" i="69"/>
  <c r="P75" i="69" s="1"/>
  <c r="F58" i="69"/>
  <c r="Q52" i="69"/>
  <c r="J50" i="69"/>
  <c r="M47" i="69"/>
  <c r="L46" i="69" s="1"/>
  <c r="F33" i="69"/>
  <c r="F60" i="69" s="1"/>
  <c r="F31" i="69"/>
  <c r="F23" i="69"/>
  <c r="D24" i="69" s="1"/>
  <c r="D23" i="69"/>
  <c r="D22" i="69"/>
  <c r="F21" i="69"/>
  <c r="F20" i="69"/>
  <c r="M19" i="69"/>
  <c r="F18" i="69"/>
  <c r="M17" i="69"/>
  <c r="F17" i="69"/>
  <c r="F15" i="69"/>
  <c r="N8" i="1"/>
  <c r="J8" i="1"/>
  <c r="P62" i="69" l="1"/>
  <c r="M13" i="3"/>
  <c r="T20" i="1" s="1"/>
  <c r="L22" i="68"/>
  <c r="I22" i="68"/>
  <c r="H22" i="68"/>
  <c r="G22" i="68"/>
  <c r="K13" i="3"/>
  <c r="I7" i="6" l="1"/>
  <c r="I13" i="3"/>
  <c r="F19" i="6" s="1"/>
  <c r="T21" i="1"/>
  <c r="F20" i="6"/>
  <c r="G21" i="6"/>
  <c r="O13" i="3"/>
  <c r="C16" i="11"/>
  <c r="C15" i="11"/>
  <c r="C14" i="11"/>
  <c r="C9" i="11"/>
  <c r="C8" i="11"/>
  <c r="T23" i="1" l="1"/>
  <c r="T22" i="1"/>
  <c r="K36" i="36"/>
  <c r="K38" i="35"/>
  <c r="K42" i="37"/>
  <c r="K49" i="34"/>
  <c r="K48" i="33" l="1"/>
  <c r="K48" i="21"/>
  <c r="K44" i="40" l="1"/>
  <c r="K49" i="39"/>
  <c r="E77" i="9"/>
  <c r="F77" i="9"/>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s="1"/>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X3" i="59" s="1"/>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s="1"/>
  <c r="AD13" i="59"/>
  <c r="Q14" i="59"/>
  <c r="P14" i="59"/>
  <c r="O14" i="59"/>
  <c r="N14" i="59"/>
  <c r="M19" i="46"/>
  <c r="J50" i="15"/>
  <c r="D16" i="59"/>
  <c r="AH14" i="59"/>
  <c r="AG14" i="59"/>
  <c r="AE14" i="59"/>
  <c r="AF14" i="59" s="1"/>
  <c r="AD14" i="59"/>
  <c r="AE15" i="59"/>
  <c r="AF15" i="59"/>
  <c r="AG15" i="59"/>
  <c r="AH15" i="59"/>
  <c r="AD15" i="59"/>
  <c r="Q15" i="59"/>
  <c r="P15" i="59"/>
  <c r="E15" i="59" s="1"/>
  <c r="O15" i="59"/>
  <c r="N15" i="59"/>
  <c r="X14" i="59"/>
  <c r="N16" i="59"/>
  <c r="Q16" i="59"/>
  <c r="P16" i="59"/>
  <c r="O16" i="59"/>
  <c r="K59" i="15"/>
  <c r="P62" i="15" s="1"/>
  <c r="Q74" i="44"/>
  <c r="Q61" i="44"/>
  <c r="Q60" i="44"/>
  <c r="Q53" i="44"/>
  <c r="J51" i="44"/>
  <c r="J52" i="44" s="1"/>
  <c r="M48" i="44"/>
  <c r="A16" i="55"/>
  <c r="A15" i="55"/>
  <c r="B66" i="63" s="1"/>
  <c r="A10" i="55"/>
  <c r="B61" i="63" s="1"/>
  <c r="A9" i="55"/>
  <c r="B60" i="63" s="1"/>
  <c r="A8" i="55"/>
  <c r="A6" i="54"/>
  <c r="A8" i="54"/>
  <c r="A7" i="54"/>
  <c r="A27" i="51"/>
  <c r="B20" i="63" s="1"/>
  <c r="Q17" i="59"/>
  <c r="O17" i="59"/>
  <c r="N18" i="59"/>
  <c r="O18" i="59"/>
  <c r="P18" i="59"/>
  <c r="Q18" i="59"/>
  <c r="N17" i="59"/>
  <c r="P17" i="59"/>
  <c r="D19" i="59"/>
  <c r="K75" i="9"/>
  <c r="K6" i="4"/>
  <c r="L76" i="9"/>
  <c r="B22" i="31"/>
  <c r="E15" i="66"/>
  <c r="F15" i="66"/>
  <c r="E16" i="66"/>
  <c r="F16" i="66"/>
  <c r="E17" i="66"/>
  <c r="F17" i="66"/>
  <c r="E18" i="66"/>
  <c r="F18" i="66"/>
  <c r="E19" i="66"/>
  <c r="F19" i="66"/>
  <c r="E20" i="66"/>
  <c r="F20" i="66"/>
  <c r="E21" i="66"/>
  <c r="F21" i="66"/>
  <c r="E22" i="66"/>
  <c r="F22" i="66"/>
  <c r="E23" i="66"/>
  <c r="F23" i="66"/>
  <c r="B3" i="66"/>
  <c r="T19" i="59"/>
  <c r="B15" i="59"/>
  <c r="S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F30" i="59"/>
  <c r="AD30" i="59"/>
  <c r="AD31" i="59"/>
  <c r="AE31" i="59"/>
  <c r="AF31" i="59"/>
  <c r="AG31" i="59"/>
  <c r="AH31" i="59"/>
  <c r="AA24" i="59"/>
  <c r="Y26" i="59"/>
  <c r="Z26" i="59" s="1"/>
  <c r="AB27" i="59"/>
  <c r="Y29" i="59"/>
  <c r="Z29" i="59" s="1"/>
  <c r="S2" i="31"/>
  <c r="M2" i="31"/>
  <c r="N2" i="31"/>
  <c r="O2" i="31"/>
  <c r="P2" i="31"/>
  <c r="Q2" i="31"/>
  <c r="R2" i="31"/>
  <c r="C15" i="59"/>
  <c r="C3" i="65"/>
  <c r="C1" i="65"/>
  <c r="N1" i="65" s="1"/>
  <c r="T1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B21" i="63"/>
  <c r="B67" i="63"/>
  <c r="I19" i="46"/>
  <c r="Q19" i="59"/>
  <c r="F19" i="59" s="1"/>
  <c r="P19" i="59"/>
  <c r="O19" i="59"/>
  <c r="C19" i="59" s="1"/>
  <c r="C18" i="59" s="1"/>
  <c r="N19" i="59"/>
  <c r="D80" i="59"/>
  <c r="F79" i="59"/>
  <c r="F78" i="59" s="1"/>
  <c r="F77" i="59" s="1"/>
  <c r="E79" i="59"/>
  <c r="E78" i="59"/>
  <c r="E77" i="59" s="1"/>
  <c r="C79" i="59"/>
  <c r="D79" i="59" s="1"/>
  <c r="B79" i="59"/>
  <c r="B78" i="59" s="1"/>
  <c r="B77" i="59"/>
  <c r="D76" i="59"/>
  <c r="F75" i="59"/>
  <c r="F74" i="59" s="1"/>
  <c r="F73" i="59" s="1"/>
  <c r="E75" i="59"/>
  <c r="E74" i="59"/>
  <c r="E73" i="59" s="1"/>
  <c r="C75" i="59"/>
  <c r="B75" i="59"/>
  <c r="B74" i="59" s="1"/>
  <c r="B73" i="59" s="1"/>
  <c r="D72" i="59"/>
  <c r="Q71" i="59"/>
  <c r="P71" i="59"/>
  <c r="O71" i="59"/>
  <c r="N71" i="59"/>
  <c r="F71" i="59"/>
  <c r="V71" i="59" s="1"/>
  <c r="E71" i="59"/>
  <c r="U71" i="59" s="1"/>
  <c r="C71" i="59"/>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B63" i="59"/>
  <c r="S63" i="59" s="1"/>
  <c r="Q62" i="59"/>
  <c r="P62" i="59"/>
  <c r="O62" i="59"/>
  <c r="N62" i="59"/>
  <c r="F62" i="59"/>
  <c r="F61" i="59" s="1"/>
  <c r="B62" i="59"/>
  <c r="B61" i="59" s="1"/>
  <c r="Q61" i="59"/>
  <c r="P61" i="59"/>
  <c r="O61" i="59"/>
  <c r="N61" i="59"/>
  <c r="Q60" i="59"/>
  <c r="P60" i="59"/>
  <c r="O60" i="59"/>
  <c r="N60" i="59"/>
  <c r="D60" i="59"/>
  <c r="F59" i="59"/>
  <c r="V59" i="59"/>
  <c r="E59" i="59"/>
  <c r="E58" i="59"/>
  <c r="C59" i="59"/>
  <c r="B59" i="59"/>
  <c r="N59" i="59"/>
  <c r="F58" i="59"/>
  <c r="F57" i="59"/>
  <c r="B58" i="59"/>
  <c r="N58" i="59" s="1"/>
  <c r="D56" i="59"/>
  <c r="Q55" i="59"/>
  <c r="P55" i="59"/>
  <c r="O55" i="59"/>
  <c r="N55" i="59"/>
  <c r="Q54" i="59"/>
  <c r="P54" i="59"/>
  <c r="O54" i="59"/>
  <c r="N54" i="59"/>
  <c r="Q53" i="59"/>
  <c r="P53" i="59"/>
  <c r="O53" i="59"/>
  <c r="N53" i="59"/>
  <c r="Q52" i="59"/>
  <c r="F53" i="59"/>
  <c r="P52" i="59"/>
  <c r="E53" i="59"/>
  <c r="E54" i="59" s="1"/>
  <c r="E55" i="59"/>
  <c r="U55" i="59" s="1"/>
  <c r="O52" i="59"/>
  <c r="C53" i="59" s="1"/>
  <c r="D53" i="59" s="1"/>
  <c r="N52" i="59"/>
  <c r="B53" i="59" s="1"/>
  <c r="B54" i="59" s="1"/>
  <c r="B55" i="59" s="1"/>
  <c r="S55" i="59"/>
  <c r="D52" i="59"/>
  <c r="Q51" i="59"/>
  <c r="P51" i="59"/>
  <c r="O51" i="59"/>
  <c r="N51" i="59"/>
  <c r="Q50" i="59"/>
  <c r="P50" i="59"/>
  <c r="O50" i="59"/>
  <c r="N50" i="59"/>
  <c r="Q49" i="59"/>
  <c r="P49" i="59"/>
  <c r="O49" i="59"/>
  <c r="C50" i="59" s="1"/>
  <c r="N49" i="59"/>
  <c r="Q48" i="59"/>
  <c r="F49" i="59" s="1"/>
  <c r="F50" i="59" s="1"/>
  <c r="F51" i="59" s="1"/>
  <c r="V51" i="59" s="1"/>
  <c r="P48" i="59"/>
  <c r="E49" i="59" s="1"/>
  <c r="E50" i="59"/>
  <c r="E51" i="59" s="1"/>
  <c r="U51" i="59" s="1"/>
  <c r="O48" i="59"/>
  <c r="C49" i="59"/>
  <c r="D49" i="59" s="1"/>
  <c r="N48" i="59"/>
  <c r="B49" i="59"/>
  <c r="B50" i="59" s="1"/>
  <c r="B51" i="59"/>
  <c r="S51" i="59" s="1"/>
  <c r="D48" i="59"/>
  <c r="Q47" i="59"/>
  <c r="P47" i="59"/>
  <c r="O47" i="59"/>
  <c r="N47" i="59"/>
  <c r="Q46" i="59"/>
  <c r="P46" i="59"/>
  <c r="O46" i="59"/>
  <c r="N46" i="59"/>
  <c r="Q45" i="59"/>
  <c r="P45" i="59"/>
  <c r="O45" i="59"/>
  <c r="N45" i="59"/>
  <c r="Q44" i="59"/>
  <c r="F45" i="59"/>
  <c r="P44" i="59"/>
  <c r="E45" i="59"/>
  <c r="E46" i="59" s="1"/>
  <c r="E47" i="59"/>
  <c r="U47" i="59" s="1"/>
  <c r="O44" i="59"/>
  <c r="C45" i="59" s="1"/>
  <c r="D45" i="59" s="1"/>
  <c r="N44" i="59"/>
  <c r="B45" i="59" s="1"/>
  <c r="B46" i="59" s="1"/>
  <c r="B47" i="59" s="1"/>
  <c r="S47" i="59"/>
  <c r="D44" i="59"/>
  <c r="Q43" i="59"/>
  <c r="P43" i="59"/>
  <c r="O43" i="59"/>
  <c r="N43" i="59"/>
  <c r="Q42" i="59"/>
  <c r="P42" i="59"/>
  <c r="O42" i="59"/>
  <c r="N42" i="59"/>
  <c r="Q41" i="59"/>
  <c r="P41" i="59"/>
  <c r="O41" i="59"/>
  <c r="C42" i="59" s="1"/>
  <c r="N41" i="59"/>
  <c r="Q40" i="59"/>
  <c r="F41" i="59" s="1"/>
  <c r="F42" i="59" s="1"/>
  <c r="F43" i="59" s="1"/>
  <c r="V43" i="59" s="1"/>
  <c r="P40" i="59"/>
  <c r="E41" i="59"/>
  <c r="E42" i="59" s="1"/>
  <c r="E43" i="59" s="1"/>
  <c r="U43" i="59" s="1"/>
  <c r="O40" i="59"/>
  <c r="C41" i="59"/>
  <c r="D41" i="59" s="1"/>
  <c r="N40" i="59"/>
  <c r="B41" i="59"/>
  <c r="B42" i="59" s="1"/>
  <c r="B43" i="59" s="1"/>
  <c r="D40" i="59"/>
  <c r="T39" i="59"/>
  <c r="Q39" i="59"/>
  <c r="P39" i="59"/>
  <c r="O39" i="59"/>
  <c r="N39" i="59"/>
  <c r="D39" i="59"/>
  <c r="Q38" i="59"/>
  <c r="P38" i="59"/>
  <c r="O38" i="59"/>
  <c r="N38" i="59"/>
  <c r="Q37" i="59"/>
  <c r="P37" i="59"/>
  <c r="O37" i="59"/>
  <c r="N37" i="59"/>
  <c r="Q36" i="59"/>
  <c r="F37" i="59" s="1"/>
  <c r="F38" i="59" s="1"/>
  <c r="P36" i="59"/>
  <c r="E37" i="59" s="1"/>
  <c r="E38" i="59"/>
  <c r="E39" i="59" s="1"/>
  <c r="U39" i="59" s="1"/>
  <c r="O36" i="59"/>
  <c r="C37" i="59"/>
  <c r="N36" i="59"/>
  <c r="B37" i="59"/>
  <c r="B38" i="59" s="1"/>
  <c r="B39" i="59"/>
  <c r="S39" i="59" s="1"/>
  <c r="D36" i="59"/>
  <c r="Q35" i="59"/>
  <c r="P35" i="59"/>
  <c r="O35" i="59"/>
  <c r="N35" i="59"/>
  <c r="Q34" i="59"/>
  <c r="P34" i="59"/>
  <c r="O34" i="59"/>
  <c r="N34" i="59"/>
  <c r="Q33" i="59"/>
  <c r="P33" i="59"/>
  <c r="O33" i="59"/>
  <c r="N33" i="59"/>
  <c r="Q32" i="59"/>
  <c r="F33" i="59"/>
  <c r="P32" i="59"/>
  <c r="E33" i="59"/>
  <c r="E34" i="59" s="1"/>
  <c r="E35" i="59"/>
  <c r="U35" i="59" s="1"/>
  <c r="O32" i="59"/>
  <c r="C33" i="59" s="1"/>
  <c r="C34" i="59" s="1"/>
  <c r="N32" i="59"/>
  <c r="B33" i="59" s="1"/>
  <c r="B34" i="59" s="1"/>
  <c r="B35" i="59" s="1"/>
  <c r="S35" i="59" s="1"/>
  <c r="D32" i="59"/>
  <c r="Q31" i="59"/>
  <c r="P31" i="59"/>
  <c r="O31" i="59"/>
  <c r="N31" i="59"/>
  <c r="Q30" i="59"/>
  <c r="P30" i="59"/>
  <c r="O30" i="59"/>
  <c r="Y30" i="59"/>
  <c r="Z30" i="59" s="1"/>
  <c r="N30" i="59"/>
  <c r="X30" i="59" s="1"/>
  <c r="Q29" i="59"/>
  <c r="P29" i="59"/>
  <c r="O29" i="59"/>
  <c r="N29" i="59"/>
  <c r="Q28" i="59"/>
  <c r="P28" i="59"/>
  <c r="O28" i="59"/>
  <c r="Y28" i="59" s="1"/>
  <c r="Z28" i="59" s="1"/>
  <c r="C29" i="59"/>
  <c r="N28" i="59"/>
  <c r="B29" i="59"/>
  <c r="B30" i="59" s="1"/>
  <c r="B31" i="59" s="1"/>
  <c r="S31" i="59" s="1"/>
  <c r="D28" i="59"/>
  <c r="Q27" i="59"/>
  <c r="P27" i="59"/>
  <c r="AA27" i="59" s="1"/>
  <c r="O27" i="59"/>
  <c r="N27" i="59"/>
  <c r="X27" i="59" s="1"/>
  <c r="Q26" i="59"/>
  <c r="P26" i="59"/>
  <c r="AA26" i="59" s="1"/>
  <c r="O26" i="59"/>
  <c r="N26" i="59"/>
  <c r="X26" i="59" s="1"/>
  <c r="Q25" i="59"/>
  <c r="P25" i="59"/>
  <c r="AA25" i="59" s="1"/>
  <c r="O25" i="59"/>
  <c r="N25" i="59"/>
  <c r="X25" i="59" s="1"/>
  <c r="Q24" i="59"/>
  <c r="F25" i="59"/>
  <c r="F26" i="59" s="1"/>
  <c r="F27" i="59" s="1"/>
  <c r="P24" i="59"/>
  <c r="E25" i="59"/>
  <c r="E26" i="59" s="1"/>
  <c r="E27" i="59" s="1"/>
  <c r="U27" i="59" s="1"/>
  <c r="O24" i="59"/>
  <c r="N24" i="59"/>
  <c r="D24" i="59"/>
  <c r="Q23" i="59"/>
  <c r="AB23" i="59" s="1"/>
  <c r="P23" i="59"/>
  <c r="O23" i="59"/>
  <c r="N23" i="59"/>
  <c r="Q22" i="59"/>
  <c r="P22" i="59"/>
  <c r="AA22" i="59" s="1"/>
  <c r="O22" i="59"/>
  <c r="Y22" i="59" s="1"/>
  <c r="Z22" i="59" s="1"/>
  <c r="N22" i="59"/>
  <c r="Q21" i="59"/>
  <c r="P21" i="59"/>
  <c r="O21" i="59"/>
  <c r="N21" i="59"/>
  <c r="X21" i="59" s="1"/>
  <c r="Q20" i="59"/>
  <c r="P20" i="59"/>
  <c r="O20" i="59"/>
  <c r="C21" i="59"/>
  <c r="C22" i="59" s="1"/>
  <c r="C23" i="59" s="1"/>
  <c r="D23" i="59" s="1"/>
  <c r="N20" i="59"/>
  <c r="B21" i="59"/>
  <c r="B22" i="59" s="1"/>
  <c r="D20" i="59"/>
  <c r="X19" i="59"/>
  <c r="AA18" i="59"/>
  <c r="Y17" i="59"/>
  <c r="Z17" i="59" s="1"/>
  <c r="AB16" i="59"/>
  <c r="B23" i="59"/>
  <c r="S23" i="59" s="1"/>
  <c r="S43" i="59"/>
  <c r="S59" i="59"/>
  <c r="AA30" i="59"/>
  <c r="V27" i="59"/>
  <c r="F34" i="59"/>
  <c r="F35" i="59" s="1"/>
  <c r="V35" i="59" s="1"/>
  <c r="F39" i="59"/>
  <c r="V39" i="59" s="1"/>
  <c r="F46" i="59"/>
  <c r="F47" i="59" s="1"/>
  <c r="V47" i="59"/>
  <c r="F54" i="59"/>
  <c r="F55" i="59" s="1"/>
  <c r="V55" i="59" s="1"/>
  <c r="D21" i="59"/>
  <c r="D33" i="59"/>
  <c r="C46" i="59"/>
  <c r="C54" i="59"/>
  <c r="B57" i="59"/>
  <c r="N56" i="59" s="1"/>
  <c r="Q58" i="59"/>
  <c r="T59" i="59"/>
  <c r="D59" i="59"/>
  <c r="P59" i="59"/>
  <c r="U59" i="59"/>
  <c r="Q59" i="59"/>
  <c r="E62" i="59"/>
  <c r="E61" i="59" s="1"/>
  <c r="D63" i="59"/>
  <c r="C66" i="59"/>
  <c r="E66" i="59"/>
  <c r="E65" i="59" s="1"/>
  <c r="D67" i="59"/>
  <c r="E70" i="59"/>
  <c r="E69" i="59" s="1"/>
  <c r="C78" i="59"/>
  <c r="D78" i="59" s="1"/>
  <c r="U16" i="4"/>
  <c r="S16" i="4"/>
  <c r="Q16" i="4"/>
  <c r="O16" i="4"/>
  <c r="N16" i="4" s="1"/>
  <c r="M16" i="4"/>
  <c r="K16" i="4"/>
  <c r="C77" i="59"/>
  <c r="D77" i="59" s="1"/>
  <c r="D66" i="59"/>
  <c r="C65" i="59"/>
  <c r="D65" i="59"/>
  <c r="C55" i="59"/>
  <c r="D54" i="59"/>
  <c r="C47" i="59"/>
  <c r="D46" i="59"/>
  <c r="C35" i="59"/>
  <c r="D34" i="59"/>
  <c r="D22" i="59"/>
  <c r="T23" i="59"/>
  <c r="T35" i="59"/>
  <c r="D35" i="59"/>
  <c r="T47" i="59"/>
  <c r="D47" i="59"/>
  <c r="T55" i="59"/>
  <c r="D5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s="1"/>
  <c r="F83" i="21" s="1"/>
  <c r="G83" i="21" s="1"/>
  <c r="F21" i="21"/>
  <c r="AA21" i="21" s="1"/>
  <c r="C21" i="21"/>
  <c r="Z27" i="40"/>
  <c r="Q27" i="40"/>
  <c r="D96" i="40"/>
  <c r="E96" i="40" s="1"/>
  <c r="F27" i="40"/>
  <c r="AA27" i="40" s="1"/>
  <c r="Z31" i="39"/>
  <c r="Q31" i="39"/>
  <c r="D105" i="39"/>
  <c r="G20" i="20"/>
  <c r="C22" i="20"/>
  <c r="S21" i="37"/>
  <c r="S27" i="40"/>
  <c r="C31" i="39"/>
  <c r="E66" i="36"/>
  <c r="H18" i="35"/>
  <c r="J18" i="35"/>
  <c r="H21" i="37"/>
  <c r="J21" i="37"/>
  <c r="E84" i="34"/>
  <c r="F84" i="34" s="1"/>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G10" i="1" s="1"/>
  <c r="B2" i="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s="1"/>
  <c r="H61" i="40"/>
  <c r="I61" i="40" s="1"/>
  <c r="C61" i="40"/>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45" i="21"/>
  <c r="K139" i="21" s="1"/>
  <c r="J142" i="21"/>
  <c r="J140"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D9" i="12" s="1"/>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B5" i="3" s="1"/>
  <c r="E5" i="6" s="1"/>
  <c r="D12" i="11" s="1"/>
  <c r="C12" i="11"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G17" i="3" s="1"/>
  <c r="H18" i="3"/>
  <c r="AC18" i="3"/>
  <c r="G18" i="3" s="1"/>
  <c r="BB18" i="3"/>
  <c r="BC18" i="3"/>
  <c r="BA18" i="3" s="1"/>
  <c r="AZ18" i="3" s="1"/>
  <c r="BD18" i="3"/>
  <c r="BE18" i="3"/>
  <c r="BF18" i="3"/>
  <c r="BG18" i="3"/>
  <c r="BH18" i="3"/>
  <c r="BI18" i="3"/>
  <c r="BJ18" i="3"/>
  <c r="BK18" i="3"/>
  <c r="BM18" i="3"/>
  <c r="BN18" i="3"/>
  <c r="BO18" i="3"/>
  <c r="BP18" i="3"/>
  <c r="BR18" i="3"/>
  <c r="BS18" i="3"/>
  <c r="BS5" i="3"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c r="J117" i="40" s="1"/>
  <c r="K117" i="40" s="1"/>
  <c r="L117" i="40" s="1"/>
  <c r="M117" i="40" s="1"/>
  <c r="D115" i="40"/>
  <c r="J38" i="40"/>
  <c r="AC38" i="40" s="1"/>
  <c r="E115" i="40"/>
  <c r="F115" i="40" s="1"/>
  <c r="G115" i="40"/>
  <c r="H115" i="40" s="1"/>
  <c r="I115" i="40" s="1"/>
  <c r="J115" i="40" s="1"/>
  <c r="K115" i="40"/>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D94" i="40"/>
  <c r="D92" i="40"/>
  <c r="E92" i="40" s="1"/>
  <c r="F92" i="40" s="1"/>
  <c r="G92" i="40" s="1"/>
  <c r="D90" i="40"/>
  <c r="H21" i="40"/>
  <c r="AB21" i="40" s="1"/>
  <c r="D88" i="40"/>
  <c r="E88" i="40" s="1"/>
  <c r="D86" i="40"/>
  <c r="E86" i="40" s="1"/>
  <c r="F86" i="40" s="1"/>
  <c r="G86" i="40" s="1"/>
  <c r="J17" i="40"/>
  <c r="B83" i="40"/>
  <c r="F16" i="40"/>
  <c r="AA16" i="40" s="1"/>
  <c r="B81" i="40"/>
  <c r="H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D122" i="39"/>
  <c r="E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c r="F99" i="39" s="1"/>
  <c r="G99" i="39"/>
  <c r="D97" i="39"/>
  <c r="D95" i="39"/>
  <c r="E95" i="39" s="1"/>
  <c r="F95" i="39" s="1"/>
  <c r="G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c r="AC24" i="35" s="1"/>
  <c r="B73" i="35"/>
  <c r="J23" i="35" s="1"/>
  <c r="B57" i="35"/>
  <c r="B61" i="35"/>
  <c r="F13" i="35" s="1"/>
  <c r="B59" i="35"/>
  <c r="H12" i="35"/>
  <c r="AB12" i="35" s="1"/>
  <c r="B131" i="34"/>
  <c r="B129" i="34"/>
  <c r="B127" i="34"/>
  <c r="B99" i="34"/>
  <c r="B97" i="34"/>
  <c r="B95" i="34"/>
  <c r="B93" i="34"/>
  <c r="B75" i="34"/>
  <c r="B73" i="34"/>
  <c r="B71" i="34"/>
  <c r="B130" i="33"/>
  <c r="B128" i="33"/>
  <c r="B126" i="33"/>
  <c r="B98" i="33"/>
  <c r="F31" i="33" s="1"/>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C63"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3" i="11"/>
  <c r="E12" i="11"/>
  <c r="C9" i="12"/>
  <c r="BB12" i="3"/>
  <c r="F9" i="12"/>
  <c r="E9" i="12"/>
  <c r="G9" i="12"/>
  <c r="K5" i="3"/>
  <c r="J5" i="3"/>
  <c r="BE10" i="3"/>
  <c r="BD13" i="3"/>
  <c r="BE13" i="3"/>
  <c r="BE5" i="3" s="1"/>
  <c r="BF13" i="3"/>
  <c r="BG13" i="3"/>
  <c r="BG5" i="3" s="1"/>
  <c r="BH13" i="3"/>
  <c r="BI13" i="3"/>
  <c r="BI5" i="3" s="1"/>
  <c r="BJ13" i="3"/>
  <c r="BK13" i="3"/>
  <c r="BK5" i="3" s="1"/>
  <c r="BM13" i="3"/>
  <c r="BN13" i="3"/>
  <c r="BO13" i="3"/>
  <c r="BP13" i="3"/>
  <c r="BS13" i="3"/>
  <c r="BT13" i="3"/>
  <c r="BT5" i="3" s="1"/>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c r="H43" i="21"/>
  <c r="AB43" i="21" s="1"/>
  <c r="F32" i="21"/>
  <c r="S32" i="21" s="1"/>
  <c r="F38" i="21"/>
  <c r="S38" i="21"/>
  <c r="F36" i="21"/>
  <c r="S36" i="21" s="1"/>
  <c r="F39" i="21"/>
  <c r="AA39" i="21" s="1"/>
  <c r="J40" i="21"/>
  <c r="W40" i="21"/>
  <c r="H35" i="21"/>
  <c r="AB35" i="21" s="1"/>
  <c r="J8" i="21"/>
  <c r="AC8" i="21" s="1"/>
  <c r="H8" i="21"/>
  <c r="H10" i="21"/>
  <c r="U10" i="21" s="1"/>
  <c r="H39" i="21"/>
  <c r="AB39" i="21" s="1"/>
  <c r="J34" i="21"/>
  <c r="W34" i="21" s="1"/>
  <c r="H36" i="21"/>
  <c r="U36" i="21" s="1"/>
  <c r="F35" i="21"/>
  <c r="AA35" i="21" s="1"/>
  <c r="J10" i="21"/>
  <c r="AC10" i="21" s="1"/>
  <c r="H26" i="21"/>
  <c r="H12" i="21"/>
  <c r="U12" i="21" s="1"/>
  <c r="J26" i="21"/>
  <c r="W26" i="21" s="1"/>
  <c r="F26" i="21"/>
  <c r="S41" i="21"/>
  <c r="AA41" i="21"/>
  <c r="W41" i="21"/>
  <c r="S10" i="39"/>
  <c r="E103" i="37"/>
  <c r="F103" i="37" s="1"/>
  <c r="F39" i="37"/>
  <c r="S39" i="37" s="1"/>
  <c r="W39" i="37"/>
  <c r="F29" i="36"/>
  <c r="AA29" i="36"/>
  <c r="F16" i="36"/>
  <c r="AA16" i="36"/>
  <c r="U22" i="36"/>
  <c r="W23" i="36"/>
  <c r="W22" i="36"/>
  <c r="U26" i="36"/>
  <c r="J33" i="36"/>
  <c r="W33" i="36" s="1"/>
  <c r="AC27" i="35"/>
  <c r="U31" i="35"/>
  <c r="S34" i="35"/>
  <c r="W24" i="35"/>
  <c r="S31" i="35"/>
  <c r="W31" i="35"/>
  <c r="F36" i="34"/>
  <c r="S36" i="34" s="1"/>
  <c r="S34" i="34"/>
  <c r="W39" i="34"/>
  <c r="H39" i="33"/>
  <c r="AB39" i="33"/>
  <c r="U33" i="33"/>
  <c r="W38" i="33"/>
  <c r="S40" i="33"/>
  <c r="S33" i="33"/>
  <c r="W33" i="33"/>
  <c r="U38" i="33"/>
  <c r="H39" i="37"/>
  <c r="AB39" i="37"/>
  <c r="S10" i="40"/>
  <c r="W10" i="40"/>
  <c r="S11" i="40"/>
  <c r="U11" i="40"/>
  <c r="S36" i="40"/>
  <c r="U36" i="40"/>
  <c r="S40" i="39"/>
  <c r="S36" i="39"/>
  <c r="F11" i="21"/>
  <c r="S11" i="21" s="1"/>
  <c r="AC40" i="21"/>
  <c r="AA38" i="21"/>
  <c r="C29" i="39"/>
  <c r="C23" i="39"/>
  <c r="U36" i="39"/>
  <c r="S42" i="39"/>
  <c r="H32" i="33"/>
  <c r="AB32" i="33"/>
  <c r="H11" i="21"/>
  <c r="U11" i="21" s="1"/>
  <c r="J11" i="21"/>
  <c r="W11" i="21" s="1"/>
  <c r="AA12" i="33"/>
  <c r="J27" i="36"/>
  <c r="W27" i="36" s="1"/>
  <c r="J34" i="36"/>
  <c r="W34" i="36" s="1"/>
  <c r="J30" i="35"/>
  <c r="W30" i="35" s="1"/>
  <c r="F22" i="35"/>
  <c r="H10" i="35"/>
  <c r="U10" i="35" s="1"/>
  <c r="E85" i="36"/>
  <c r="F85" i="36"/>
  <c r="G85" i="36" s="1"/>
  <c r="H85" i="36"/>
  <c r="I85" i="36" s="1"/>
  <c r="J85" i="36" s="1"/>
  <c r="K85" i="36" s="1"/>
  <c r="L85" i="36" s="1"/>
  <c r="M85" i="36" s="1"/>
  <c r="J29" i="36"/>
  <c r="AC29" i="36" s="1"/>
  <c r="F12" i="36"/>
  <c r="S12" i="36" s="1"/>
  <c r="F34" i="36"/>
  <c r="S34" i="36" s="1"/>
  <c r="S10" i="36"/>
  <c r="AB8" i="36"/>
  <c r="H16" i="35"/>
  <c r="H33" i="35"/>
  <c r="AB33" i="35" s="1"/>
  <c r="W8" i="35"/>
  <c r="AC8" i="35"/>
  <c r="F35" i="37"/>
  <c r="E101" i="37"/>
  <c r="F101" i="37"/>
  <c r="G101" i="37" s="1"/>
  <c r="H101" i="37"/>
  <c r="I101" i="37" s="1"/>
  <c r="J101" i="37" s="1"/>
  <c r="K101" i="37" s="1"/>
  <c r="L101" i="37" s="1"/>
  <c r="M101" i="37" s="1"/>
  <c r="J34" i="37"/>
  <c r="W34" i="37" s="1"/>
  <c r="AA39" i="37"/>
  <c r="H43" i="34"/>
  <c r="U42" i="34"/>
  <c r="H36" i="34"/>
  <c r="U36" i="34" s="1"/>
  <c r="F37" i="34"/>
  <c r="AA37" i="34" s="1"/>
  <c r="F33" i="34"/>
  <c r="S33" i="34" s="1"/>
  <c r="F19" i="34"/>
  <c r="AA19" i="34"/>
  <c r="J10" i="34"/>
  <c r="AC10" i="34"/>
  <c r="W8" i="34"/>
  <c r="S38" i="33"/>
  <c r="E113" i="33"/>
  <c r="F36" i="33"/>
  <c r="S36" i="33"/>
  <c r="F19" i="33"/>
  <c r="S19" i="33"/>
  <c r="J19" i="33"/>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c r="F44" i="34"/>
  <c r="S44" i="34"/>
  <c r="J10" i="35"/>
  <c r="W10" i="35"/>
  <c r="AL5" i="3"/>
  <c r="BQ13" i="3"/>
  <c r="BL572" i="3"/>
  <c r="J14" i="21"/>
  <c r="AC14" i="21" s="1"/>
  <c r="J28" i="21"/>
  <c r="AC28" i="21" s="1"/>
  <c r="H30" i="21"/>
  <c r="U30" i="21" s="1"/>
  <c r="F30" i="21"/>
  <c r="S30" i="21" s="1"/>
  <c r="J30" i="21"/>
  <c r="W30" i="21" s="1"/>
  <c r="H44" i="21"/>
  <c r="U44" i="21" s="1"/>
  <c r="H46" i="21"/>
  <c r="J46" i="21"/>
  <c r="W46" i="21" s="1"/>
  <c r="F46" i="21"/>
  <c r="AA46" i="21" s="1"/>
  <c r="H26" i="33"/>
  <c r="U26" i="33" s="1"/>
  <c r="H28" i="33"/>
  <c r="AB28" i="33" s="1"/>
  <c r="F33" i="35"/>
  <c r="S33" i="35"/>
  <c r="J33" i="35"/>
  <c r="W33" i="35"/>
  <c r="F30" i="35"/>
  <c r="AA30"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AC27" i="33" s="1"/>
  <c r="F27" i="33"/>
  <c r="S27" i="33" s="1"/>
  <c r="F13" i="33"/>
  <c r="J31" i="33"/>
  <c r="AC31" i="33" s="1"/>
  <c r="H31" i="33"/>
  <c r="S31" i="33"/>
  <c r="F11" i="35"/>
  <c r="S11" i="35"/>
  <c r="H28" i="36"/>
  <c r="U28" i="36"/>
  <c r="H32" i="36"/>
  <c r="AB32" i="36"/>
  <c r="J32" i="36"/>
  <c r="J11" i="36"/>
  <c r="W11" i="36" s="1"/>
  <c r="H13" i="36"/>
  <c r="AB13" i="36" s="1"/>
  <c r="J13" i="36"/>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AA45" i="34" s="1"/>
  <c r="H47" i="34"/>
  <c r="U47" i="34" s="1"/>
  <c r="F47" i="34"/>
  <c r="AA47" i="34" s="1"/>
  <c r="J47" i="34"/>
  <c r="AC47" i="34" s="1"/>
  <c r="J13" i="35"/>
  <c r="AC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U30" i="33"/>
  <c r="J36" i="37"/>
  <c r="AC36" i="37" s="1"/>
  <c r="G105" i="37"/>
  <c r="AB28" i="36"/>
  <c r="AB31" i="21"/>
  <c r="S46" i="21"/>
  <c r="AC30" i="21"/>
  <c r="AB30" i="21"/>
  <c r="W31" i="34"/>
  <c r="U36" i="37"/>
  <c r="AA27" i="33"/>
  <c r="S45"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AZ560" i="3" s="1"/>
  <c r="BA550" i="3"/>
  <c r="BA540" i="3"/>
  <c r="BA536" i="3"/>
  <c r="BA532" i="3"/>
  <c r="AZ532" i="3" s="1"/>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U43" i="33" s="1"/>
  <c r="H17" i="37"/>
  <c r="F23" i="37"/>
  <c r="S23" i="37" s="1"/>
  <c r="F79" i="37"/>
  <c r="G79" i="37" s="1"/>
  <c r="F39" i="33"/>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U39" i="37"/>
  <c r="AC36" i="34"/>
  <c r="AC37" i="33"/>
  <c r="AA36" i="21"/>
  <c r="F43" i="33"/>
  <c r="AA43" i="33" s="1"/>
  <c r="AA23" i="37"/>
  <c r="S10" i="35"/>
  <c r="G107" i="37"/>
  <c r="H107" i="37"/>
  <c r="I107" i="37" s="1"/>
  <c r="J107" i="37"/>
  <c r="K107" i="37" s="1"/>
  <c r="L107" i="37" s="1"/>
  <c r="M107" i="37" s="1"/>
  <c r="H19" i="34"/>
  <c r="AB19" i="34"/>
  <c r="J10" i="37"/>
  <c r="W10" i="37"/>
  <c r="F11" i="37"/>
  <c r="S11" i="37"/>
  <c r="H15" i="37"/>
  <c r="U15" i="37"/>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F90" i="40"/>
  <c r="J21" i="40"/>
  <c r="AC21" i="40" s="1"/>
  <c r="G90" i="40"/>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s="1"/>
  <c r="G78" i="40"/>
  <c r="H78" i="40" s="1"/>
  <c r="I78" i="40" s="1"/>
  <c r="J78" i="40" s="1"/>
  <c r="K78" i="40" s="1"/>
  <c r="L78" i="40" s="1"/>
  <c r="M78" i="40" s="1"/>
  <c r="R16" i="4"/>
  <c r="P16" i="4"/>
  <c r="D3" i="35"/>
  <c r="G4" i="4"/>
  <c r="S37" i="34"/>
  <c r="J16" i="35"/>
  <c r="W16" i="35"/>
  <c r="AC26" i="36"/>
  <c r="W25" i="35"/>
  <c r="H13" i="39"/>
  <c r="AB13" i="39" s="1"/>
  <c r="F13" i="39"/>
  <c r="J13" i="39"/>
  <c r="AC13" i="39" s="1"/>
  <c r="H11" i="37"/>
  <c r="AB11" i="37" s="1"/>
  <c r="W37" i="37"/>
  <c r="AA30" i="33"/>
  <c r="AA36" i="37"/>
  <c r="S42" i="33"/>
  <c r="U32" i="33"/>
  <c r="AZ516" i="3"/>
  <c r="AB45" i="34"/>
  <c r="AB35" i="35"/>
  <c r="W44" i="33"/>
  <c r="AC30" i="33"/>
  <c r="W30" i="33"/>
  <c r="AC29" i="37"/>
  <c r="W32" i="36"/>
  <c r="AC32" i="36"/>
  <c r="U28" i="33"/>
  <c r="J33" i="34"/>
  <c r="AC33" i="34" s="1"/>
  <c r="AB36" i="34"/>
  <c r="J40" i="34"/>
  <c r="W40" i="34"/>
  <c r="F16" i="35"/>
  <c r="AA16" i="35"/>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s="1"/>
  <c r="AB26" i="21"/>
  <c r="U26" i="21"/>
  <c r="J32" i="21"/>
  <c r="AC32" i="21" s="1"/>
  <c r="G13" i="3"/>
  <c r="F40" i="21"/>
  <c r="S40" i="21" s="1"/>
  <c r="H40" i="21"/>
  <c r="AB40" i="21" s="1"/>
  <c r="E119" i="21"/>
  <c r="F119" i="21" s="1"/>
  <c r="G119" i="21" s="1"/>
  <c r="H119" i="21" s="1"/>
  <c r="I119" i="21" s="1"/>
  <c r="J119" i="21" s="1"/>
  <c r="K119" i="21" s="1"/>
  <c r="L119" i="21" s="1"/>
  <c r="M119" i="21" s="1"/>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S12" i="35"/>
  <c r="U28" i="35"/>
  <c r="H11" i="35"/>
  <c r="J11" i="35"/>
  <c r="AC11" i="35" s="1"/>
  <c r="F96" i="37"/>
  <c r="H32" i="37"/>
  <c r="AB32" i="37"/>
  <c r="J19" i="39"/>
  <c r="W19" i="39" s="1"/>
  <c r="F99" i="37"/>
  <c r="AC27" i="37"/>
  <c r="S45" i="34"/>
  <c r="W27" i="33"/>
  <c r="AA44" i="34"/>
  <c r="U29" i="35"/>
  <c r="AC19" i="33"/>
  <c r="W19" i="33"/>
  <c r="U43" i="34"/>
  <c r="AB43" i="34"/>
  <c r="AC34" i="37"/>
  <c r="S35" i="37"/>
  <c r="AA35" i="37"/>
  <c r="AB10" i="35"/>
  <c r="AA32" i="21"/>
  <c r="U38" i="21"/>
  <c r="AB34" i="21"/>
  <c r="BL571" i="3"/>
  <c r="BA571" i="3"/>
  <c r="AZ571" i="3"/>
  <c r="BL570" i="3"/>
  <c r="F42" i="21"/>
  <c r="AA42" i="21" s="1"/>
  <c r="AB40" i="33"/>
  <c r="U40" i="33"/>
  <c r="AA35" i="34"/>
  <c r="S35" i="34"/>
  <c r="E90" i="34"/>
  <c r="H27" i="34"/>
  <c r="AB27" i="34" s="1"/>
  <c r="AB8" i="35"/>
  <c r="S9" i="35"/>
  <c r="J14" i="35"/>
  <c r="AC14" i="35"/>
  <c r="F14" i="35"/>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c r="AB34" i="36"/>
  <c r="H33" i="36"/>
  <c r="U33" i="36"/>
  <c r="F33" i="36"/>
  <c r="AA33" i="36"/>
  <c r="H27" i="36"/>
  <c r="AB27" i="36"/>
  <c r="AC25" i="37"/>
  <c r="W26" i="37"/>
  <c r="AB29" i="37"/>
  <c r="AA30" i="37"/>
  <c r="S30" i="37"/>
  <c r="AC30" i="37"/>
  <c r="AC31" i="37"/>
  <c r="W31" i="37"/>
  <c r="F21" i="39"/>
  <c r="S21" i="39" s="1"/>
  <c r="H21" i="39"/>
  <c r="U21" i="39" s="1"/>
  <c r="J21" i="39"/>
  <c r="W21" i="39"/>
  <c r="F33" i="39"/>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103" i="39" s="1"/>
  <c r="G103" i="39" s="1"/>
  <c r="H29" i="39"/>
  <c r="U29" i="39" s="1"/>
  <c r="F34" i="39"/>
  <c r="AA34" i="39" s="1"/>
  <c r="H34" i="39"/>
  <c r="AB34" i="39" s="1"/>
  <c r="J34" i="39"/>
  <c r="AC34" i="39" s="1"/>
  <c r="F39" i="39"/>
  <c r="AA39" i="39" s="1"/>
  <c r="H39" i="39"/>
  <c r="AB39" i="39"/>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F36" i="44"/>
  <c r="H38" i="34"/>
  <c r="U38" i="34"/>
  <c r="H30" i="40"/>
  <c r="AB30" i="40"/>
  <c r="J30" i="40"/>
  <c r="AC30" i="40" s="1"/>
  <c r="F38" i="40"/>
  <c r="AA38" i="40" s="1"/>
  <c r="AA36" i="34"/>
  <c r="S35" i="21"/>
  <c r="U8" i="21"/>
  <c r="AB8" i="21"/>
  <c r="AC36" i="21"/>
  <c r="AB8" i="33"/>
  <c r="U8"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F23" i="35"/>
  <c r="AA23" i="35" s="1"/>
  <c r="W12" i="36"/>
  <c r="AC12" i="36"/>
  <c r="U31" i="36"/>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23" i="40"/>
  <c r="U23" i="40"/>
  <c r="H41" i="40"/>
  <c r="AB41" i="40"/>
  <c r="F41" i="40"/>
  <c r="AA41" i="40"/>
  <c r="J41" i="40"/>
  <c r="H36" i="33"/>
  <c r="AB36" i="33" s="1"/>
  <c r="H37" i="34"/>
  <c r="U37" i="34" s="1"/>
  <c r="F15" i="39"/>
  <c r="AA15" i="39"/>
  <c r="H15" i="39"/>
  <c r="U15" i="39"/>
  <c r="J15" i="39"/>
  <c r="AC15" i="39"/>
  <c r="H25" i="39"/>
  <c r="U25" i="39"/>
  <c r="J25" i="39"/>
  <c r="AC25" i="39"/>
  <c r="F25" i="39"/>
  <c r="AA25"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S33" i="40"/>
  <c r="AB25" i="39"/>
  <c r="AB37" i="34"/>
  <c r="AC41" i="40"/>
  <c r="W41" i="40"/>
  <c r="U41" i="40"/>
  <c r="J23" i="40"/>
  <c r="AC23" i="40" s="1"/>
  <c r="F23" i="40"/>
  <c r="S23" i="40"/>
  <c r="W15" i="40"/>
  <c r="AB16" i="39"/>
  <c r="W14" i="39"/>
  <c r="H20" i="35"/>
  <c r="F20" i="35"/>
  <c r="S20" i="35" s="1"/>
  <c r="H15" i="34"/>
  <c r="AB15" i="34" s="1"/>
  <c r="F78" i="34"/>
  <c r="G78" i="34" s="1"/>
  <c r="J15" i="34"/>
  <c r="AC15" i="34" s="1"/>
  <c r="H41" i="33"/>
  <c r="U41" i="33"/>
  <c r="F30" i="40"/>
  <c r="AA30" i="40"/>
  <c r="AB38" i="34"/>
  <c r="AZ537" i="3"/>
  <c r="AB37" i="39"/>
  <c r="U39" i="39"/>
  <c r="J29" i="39"/>
  <c r="AC29" i="39" s="1"/>
  <c r="AB21" i="39"/>
  <c r="AB33" i="36"/>
  <c r="AA14" i="35"/>
  <c r="S14" i="35"/>
  <c r="G99" i="37"/>
  <c r="F33" i="37"/>
  <c r="U17" i="34"/>
  <c r="AA11" i="34"/>
  <c r="W32" i="33"/>
  <c r="H15" i="33"/>
  <c r="U15" i="33"/>
  <c r="AA11" i="33"/>
  <c r="AA40" i="21"/>
  <c r="S13" i="39"/>
  <c r="AA13" i="39"/>
  <c r="U16" i="40"/>
  <c r="W34" i="40"/>
  <c r="AB34" i="40"/>
  <c r="AB42" i="40"/>
  <c r="AC16" i="40"/>
  <c r="H25" i="40"/>
  <c r="AB25" i="40" s="1"/>
  <c r="F94" i="40"/>
  <c r="G94" i="40" s="1"/>
  <c r="W15" i="39"/>
  <c r="J37" i="34"/>
  <c r="AC37" i="34" s="1"/>
  <c r="J36" i="33"/>
  <c r="W36" i="33" s="1"/>
  <c r="S41" i="40"/>
  <c r="AB23" i="40"/>
  <c r="H23" i="39"/>
  <c r="AB23" i="39" s="1"/>
  <c r="F97" i="39"/>
  <c r="G97" i="39" s="1"/>
  <c r="S16" i="39"/>
  <c r="S15" i="34"/>
  <c r="AA15" i="34"/>
  <c r="AA41" i="33"/>
  <c r="J34" i="33"/>
  <c r="AC34" i="33" s="1"/>
  <c r="U30" i="40"/>
  <c r="W29" i="35"/>
  <c r="AC39" i="39"/>
  <c r="W39" i="39"/>
  <c r="S39" i="39"/>
  <c r="AB46" i="39"/>
  <c r="AB44" i="39"/>
  <c r="AC33" i="39"/>
  <c r="AA33" i="39"/>
  <c r="S33" i="39"/>
  <c r="U11" i="36"/>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F25" i="40"/>
  <c r="AA25" i="40" s="1"/>
  <c r="J11" i="33"/>
  <c r="W11" i="33" s="1"/>
  <c r="H33" i="37"/>
  <c r="AB33" i="37" s="1"/>
  <c r="W15" i="34"/>
  <c r="U20" i="35"/>
  <c r="AB20" i="35"/>
  <c r="W23" i="40"/>
  <c r="AP11" i="1"/>
  <c r="B11" i="1"/>
  <c r="E11" i="1" s="1"/>
  <c r="K11" i="1"/>
  <c r="M11" i="1" s="1"/>
  <c r="B9" i="1"/>
  <c r="E9" i="1"/>
  <c r="K9" i="1"/>
  <c r="M9" i="1" s="1"/>
  <c r="B7" i="1"/>
  <c r="E7" i="1" s="1"/>
  <c r="K7" i="1"/>
  <c r="C20" i="43"/>
  <c r="F6" i="1"/>
  <c r="AP6" i="1" s="1"/>
  <c r="G11" i="1"/>
  <c r="F32" i="15"/>
  <c r="F59" i="15" s="1"/>
  <c r="F29" i="12"/>
  <c r="D86" i="9"/>
  <c r="F31" i="43"/>
  <c r="AC25" i="36"/>
  <c r="S23" i="36"/>
  <c r="S8" i="36"/>
  <c r="AA26" i="36"/>
  <c r="AA28" i="36"/>
  <c r="H20" i="36"/>
  <c r="U20" i="36" s="1"/>
  <c r="F68" i="36"/>
  <c r="G68" i="36" s="1"/>
  <c r="J20" i="36"/>
  <c r="AC20" i="36" s="1"/>
  <c r="F20" i="36"/>
  <c r="S20" i="36" s="1"/>
  <c r="F62" i="36"/>
  <c r="G62" i="36" s="1"/>
  <c r="J14" i="36"/>
  <c r="W14" i="36" s="1"/>
  <c r="H14" i="36"/>
  <c r="F14" i="36"/>
  <c r="AA14" i="36" s="1"/>
  <c r="W20" i="36"/>
  <c r="U27" i="36"/>
  <c r="U32" i="36"/>
  <c r="AB12" i="36"/>
  <c r="S33" i="36"/>
  <c r="AA27" i="36"/>
  <c r="S16" i="36"/>
  <c r="S29" i="36"/>
  <c r="AC33" i="35"/>
  <c r="U22" i="35"/>
  <c r="AC9" i="35"/>
  <c r="S8" i="35"/>
  <c r="U33" i="35"/>
  <c r="W20" i="35"/>
  <c r="S16" i="35"/>
  <c r="AC10" i="35"/>
  <c r="W13" i="35"/>
  <c r="AC18" i="35"/>
  <c r="W18" i="35"/>
  <c r="U18" i="35"/>
  <c r="AB18" i="35"/>
  <c r="S30" i="35"/>
  <c r="AA35" i="35"/>
  <c r="AB30" i="35"/>
  <c r="S27" i="35"/>
  <c r="S28" i="35"/>
  <c r="J26" i="35"/>
  <c r="AC26" i="35" s="1"/>
  <c r="F26" i="35"/>
  <c r="H26" i="35"/>
  <c r="AB26" i="35" s="1"/>
  <c r="S17" i="37"/>
  <c r="W28" i="37"/>
  <c r="AB37" i="37"/>
  <c r="AA31" i="37"/>
  <c r="S33" i="37"/>
  <c r="AA33" i="37"/>
  <c r="U32" i="37"/>
  <c r="AA32" i="37"/>
  <c r="J33" i="37"/>
  <c r="W33" i="37" s="1"/>
  <c r="H99" i="37"/>
  <c r="I99" i="37" s="1"/>
  <c r="J99" i="37" s="1"/>
  <c r="K99" i="37" s="1"/>
  <c r="L99" i="37" s="1"/>
  <c r="M99" i="37" s="1"/>
  <c r="S29" i="37"/>
  <c r="J19" i="37"/>
  <c r="AC19" i="37"/>
  <c r="F19" i="37"/>
  <c r="AA19" i="37" s="1"/>
  <c r="H19" i="37"/>
  <c r="U19" i="37" s="1"/>
  <c r="J17" i="37"/>
  <c r="S15" i="37"/>
  <c r="AC10" i="37"/>
  <c r="AC21" i="37"/>
  <c r="W21" i="37"/>
  <c r="AC11" i="37"/>
  <c r="W32" i="37"/>
  <c r="U35" i="37"/>
  <c r="U8" i="37"/>
  <c r="AB25" i="37"/>
  <c r="AB21" i="37"/>
  <c r="U21" i="37"/>
  <c r="S37" i="37"/>
  <c r="S40" i="37"/>
  <c r="AA11" i="37"/>
  <c r="AA40" i="34"/>
  <c r="W33" i="34"/>
  <c r="AB33" i="34"/>
  <c r="AC35" i="34"/>
  <c r="AA33" i="34"/>
  <c r="U44" i="34"/>
  <c r="U34" i="34"/>
  <c r="J25" i="34"/>
  <c r="AC25" i="34" s="1"/>
  <c r="H25" i="34"/>
  <c r="F25" i="34"/>
  <c r="S25" i="34" s="1"/>
  <c r="J23" i="34"/>
  <c r="F86" i="34"/>
  <c r="G86" i="34" s="1"/>
  <c r="F23" i="34"/>
  <c r="S23" i="34" s="1"/>
  <c r="H23" i="34"/>
  <c r="W17" i="34"/>
  <c r="U11" i="34"/>
  <c r="W10" i="34"/>
  <c r="U10" i="34"/>
  <c r="AC40" i="34"/>
  <c r="W44" i="34"/>
  <c r="W19" i="34"/>
  <c r="W29" i="34"/>
  <c r="AC21" i="34"/>
  <c r="W21" i="34"/>
  <c r="U15" i="34"/>
  <c r="AB21" i="34"/>
  <c r="U21" i="34"/>
  <c r="U19" i="34"/>
  <c r="AB41" i="34"/>
  <c r="S13" i="34"/>
  <c r="AA41" i="34"/>
  <c r="S9" i="34"/>
  <c r="U39" i="33"/>
  <c r="S35" i="33"/>
  <c r="AC12" i="33"/>
  <c r="AB41" i="33"/>
  <c r="AC35" i="33"/>
  <c r="W31" i="33"/>
  <c r="W43" i="33"/>
  <c r="U46" i="33"/>
  <c r="W39" i="33"/>
  <c r="U35" i="33"/>
  <c r="H25" i="33"/>
  <c r="AB25" i="33" s="1"/>
  <c r="J25" i="33"/>
  <c r="W25" i="33" s="1"/>
  <c r="F87" i="33"/>
  <c r="G87" i="33" s="1"/>
  <c r="H87" i="33" s="1"/>
  <c r="I87" i="33" s="1"/>
  <c r="J87" i="33" s="1"/>
  <c r="K87" i="33" s="1"/>
  <c r="L87" i="33" s="1"/>
  <c r="M87" i="33" s="1"/>
  <c r="F25" i="33"/>
  <c r="S25" i="33" s="1"/>
  <c r="F85" i="33"/>
  <c r="G85" i="33"/>
  <c r="J23" i="33"/>
  <c r="F23" i="33"/>
  <c r="AA23" i="33" s="1"/>
  <c r="H23" i="33"/>
  <c r="U19" i="33"/>
  <c r="F17" i="33"/>
  <c r="H17" i="33"/>
  <c r="AB17" i="33" s="1"/>
  <c r="J17" i="33"/>
  <c r="AB15" i="33"/>
  <c r="S10" i="33"/>
  <c r="S14" i="33"/>
  <c r="W10" i="33"/>
  <c r="AC21" i="33"/>
  <c r="W21" i="33"/>
  <c r="W14" i="33"/>
  <c r="AB10" i="33"/>
  <c r="AB21" i="33"/>
  <c r="U21" i="33"/>
  <c r="AA21" i="33"/>
  <c r="S21" i="33"/>
  <c r="AA44" i="33"/>
  <c r="AA36" i="33"/>
  <c r="W39" i="21"/>
  <c r="W32" i="21"/>
  <c r="U35" i="21"/>
  <c r="W43" i="21"/>
  <c r="AB32" i="21"/>
  <c r="W28" i="21"/>
  <c r="AC26" i="21"/>
  <c r="J23" i="21"/>
  <c r="W23" i="21" s="1"/>
  <c r="F23" i="21"/>
  <c r="AA23" i="21" s="1"/>
  <c r="H23" i="21"/>
  <c r="AB23" i="21" s="1"/>
  <c r="F15" i="21"/>
  <c r="S15" i="21" s="1"/>
  <c r="J15" i="21"/>
  <c r="AC15" i="21" s="1"/>
  <c r="H15" i="21"/>
  <c r="U15" i="21" s="1"/>
  <c r="AB11" i="21"/>
  <c r="AA11" i="21"/>
  <c r="AC23" i="21"/>
  <c r="AC21" i="21"/>
  <c r="W21" i="21"/>
  <c r="AC38" i="21"/>
  <c r="AB21" i="21"/>
  <c r="U21" i="21"/>
  <c r="AB29" i="21"/>
  <c r="AA31" i="21"/>
  <c r="U33" i="40"/>
  <c r="S15" i="40"/>
  <c r="AB13" i="40"/>
  <c r="S16" i="40"/>
  <c r="W11" i="40"/>
  <c r="AA21" i="40"/>
  <c r="W25" i="40"/>
  <c r="F37" i="40"/>
  <c r="AA37" i="40" s="1"/>
  <c r="J37" i="40"/>
  <c r="AC37" i="40"/>
  <c r="H37" i="40"/>
  <c r="G113" i="40"/>
  <c r="H113" i="40" s="1"/>
  <c r="I113" i="40" s="1"/>
  <c r="J113" i="40" s="1"/>
  <c r="K113" i="40" s="1"/>
  <c r="L113" i="40" s="1"/>
  <c r="M113" i="40" s="1"/>
  <c r="F39" i="40"/>
  <c r="S38" i="40"/>
  <c r="H39" i="40"/>
  <c r="J39" i="40"/>
  <c r="AC39" i="40" s="1"/>
  <c r="W38" i="40"/>
  <c r="F29" i="40"/>
  <c r="AA29" i="40" s="1"/>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A21" i="39"/>
  <c r="AC21" i="39"/>
  <c r="S14" i="39"/>
  <c r="AB15" i="39"/>
  <c r="U11" i="39"/>
  <c r="AB38" i="39"/>
  <c r="U31" i="39"/>
  <c r="AB31" i="39"/>
  <c r="S25" i="39"/>
  <c r="S38" i="39"/>
  <c r="M20" i="15"/>
  <c r="D96" i="9"/>
  <c r="F28" i="15"/>
  <c r="A18" i="64"/>
  <c r="B74" i="63" s="1"/>
  <c r="C53" i="10"/>
  <c r="A25" i="64" s="1"/>
  <c r="A18" i="51"/>
  <c r="B14" i="63"/>
  <c r="BA16" i="3"/>
  <c r="BA17" i="3"/>
  <c r="AZ17" i="3" s="1"/>
  <c r="F3" i="35"/>
  <c r="K1" i="43"/>
  <c r="K1" i="12"/>
  <c r="G1" i="44"/>
  <c r="G3" i="46"/>
  <c r="Y11" i="46" s="1"/>
  <c r="Y13" i="46" s="1"/>
  <c r="AZ15" i="3"/>
  <c r="BP5" i="3"/>
  <c r="BL18" i="3"/>
  <c r="BC5" i="3"/>
  <c r="BR5" i="3"/>
  <c r="G28" i="6" s="1"/>
  <c r="BQ5" i="3"/>
  <c r="BL16" i="3"/>
  <c r="BA13" i="3"/>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U12" i="35"/>
  <c r="W11" i="35"/>
  <c r="AA11" i="35"/>
  <c r="S14" i="37"/>
  <c r="U13" i="37"/>
  <c r="S13" i="21"/>
  <c r="C24" i="9"/>
  <c r="C25" i="9"/>
  <c r="G9" i="1"/>
  <c r="G8" i="1"/>
  <c r="I20" i="46"/>
  <c r="B6" i="63"/>
  <c r="L5" i="54"/>
  <c r="B39" i="63"/>
  <c r="K5" i="54"/>
  <c r="B38" i="63"/>
  <c r="T41" i="4"/>
  <c r="A17" i="64"/>
  <c r="B46" i="50"/>
  <c r="B4" i="63"/>
  <c r="C46" i="36"/>
  <c r="C48" i="35"/>
  <c r="D48" i="35" s="1"/>
  <c r="E48" i="35" s="1"/>
  <c r="F48" i="35" s="1"/>
  <c r="G48" i="35" s="1"/>
  <c r="C52" i="37"/>
  <c r="D52" i="37" s="1"/>
  <c r="E52" i="37" s="1"/>
  <c r="F52" i="37" s="1"/>
  <c r="G52" i="37" s="1"/>
  <c r="H52" i="37" s="1"/>
  <c r="O19"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AB18" i="36" s="1"/>
  <c r="U16" i="36"/>
  <c r="S25" i="36"/>
  <c r="U23" i="36"/>
  <c r="AC27" i="36"/>
  <c r="W28" i="36"/>
  <c r="AA32" i="36"/>
  <c r="U13" i="36"/>
  <c r="AA22" i="36"/>
  <c r="U10" i="36"/>
  <c r="AA13" i="36"/>
  <c r="W29" i="36"/>
  <c r="W8" i="36"/>
  <c r="AC30" i="35"/>
  <c r="U24" i="35"/>
  <c r="W32" i="35"/>
  <c r="S24" i="35"/>
  <c r="AA33" i="35"/>
  <c r="W22" i="35"/>
  <c r="W34" i="35"/>
  <c r="S32" i="35"/>
  <c r="W35" i="37"/>
  <c r="AC33" i="37"/>
  <c r="AC15" i="37"/>
  <c r="W36" i="37"/>
  <c r="AB28" i="37"/>
  <c r="W13" i="37"/>
  <c r="U38" i="37"/>
  <c r="AB35" i="34"/>
  <c r="AB29" i="34"/>
  <c r="AB13" i="34"/>
  <c r="AC13" i="34"/>
  <c r="S47" i="34"/>
  <c r="S19" i="34"/>
  <c r="S8" i="34"/>
  <c r="AA19" i="33"/>
  <c r="S43" i="33"/>
  <c r="AB42" i="33"/>
  <c r="AB14" i="33"/>
  <c r="AB12" i="33"/>
  <c r="S15" i="33"/>
  <c r="AB25" i="21"/>
  <c r="AB45" i="21"/>
  <c r="W25" i="21"/>
  <c r="AA25" i="21"/>
  <c r="AA29" i="21"/>
  <c r="U27" i="21"/>
  <c r="S27" i="21"/>
  <c r="AC27" i="21"/>
  <c r="W29" i="21"/>
  <c r="G96" i="40"/>
  <c r="J27" i="40"/>
  <c r="AC27" i="40" s="1"/>
  <c r="W37" i="40"/>
  <c r="S17" i="40"/>
  <c r="S34" i="40"/>
  <c r="U17" i="40"/>
  <c r="U38" i="40"/>
  <c r="S40" i="40"/>
  <c r="S42" i="40"/>
  <c r="J31" i="39"/>
  <c r="AC31" i="39" s="1"/>
  <c r="AC46" i="39"/>
  <c r="W42" i="39"/>
  <c r="W36" i="39"/>
  <c r="AC37" i="39"/>
  <c r="U14" i="39"/>
  <c r="W16" i="39"/>
  <c r="S15" i="39"/>
  <c r="W25" i="39"/>
  <c r="AA44" i="39"/>
  <c r="W34" i="39"/>
  <c r="W10" i="39"/>
  <c r="W11" i="39"/>
  <c r="U42" i="39"/>
  <c r="W40" i="39"/>
  <c r="S32" i="40"/>
  <c r="C27" i="39"/>
  <c r="C17" i="40"/>
  <c r="C19" i="40"/>
  <c r="C17" i="39"/>
  <c r="C19" i="39"/>
  <c r="C21" i="39"/>
  <c r="C23" i="40"/>
  <c r="B48" i="46"/>
  <c r="B51" i="46"/>
  <c r="B55" i="46"/>
  <c r="B59" i="46"/>
  <c r="B62" i="46"/>
  <c r="B66" i="46"/>
  <c r="B53" i="46"/>
  <c r="B64" i="46"/>
  <c r="D24" i="15"/>
  <c r="AB20" i="36"/>
  <c r="AC14" i="36"/>
  <c r="U14" i="36"/>
  <c r="AB14" i="36"/>
  <c r="U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S23" i="21"/>
  <c r="AB39" i="40"/>
  <c r="U39" i="40"/>
  <c r="W39" i="40"/>
  <c r="AA39" i="40"/>
  <c r="S39" i="40"/>
  <c r="U37" i="40"/>
  <c r="AB37" i="40"/>
  <c r="S37" i="40"/>
  <c r="W29" i="40"/>
  <c r="S29" i="40"/>
  <c r="AC19" i="40"/>
  <c r="S19" i="40"/>
  <c r="AB19" i="40"/>
  <c r="U19" i="40"/>
  <c r="W27" i="40"/>
  <c r="A17" i="51"/>
  <c r="B13" i="63"/>
  <c r="AT6" i="3"/>
  <c r="AZ16" i="3"/>
  <c r="A9" i="64"/>
  <c r="A9" i="51"/>
  <c r="B9" i="63" s="1"/>
  <c r="A3" i="55"/>
  <c r="B56" i="63" s="1"/>
  <c r="E4" i="4"/>
  <c r="B21" i="55" s="1"/>
  <c r="B72" i="63" s="1"/>
  <c r="C4" i="4"/>
  <c r="B20" i="55" s="1"/>
  <c r="B70" i="63" s="1"/>
  <c r="G66" i="36"/>
  <c r="J18" i="36"/>
  <c r="AE6" i="1"/>
  <c r="W18" i="36"/>
  <c r="AC18" i="36"/>
  <c r="AG6" i="1"/>
  <c r="L20" i="6"/>
  <c r="C45" i="9"/>
  <c r="H14" i="66" s="1"/>
  <c r="B7" i="66" s="1"/>
  <c r="O40" i="9"/>
  <c r="K31" i="9"/>
  <c r="K32" i="9" s="1"/>
  <c r="R7" i="54"/>
  <c r="B52" i="63" s="1"/>
  <c r="N76" i="9"/>
  <c r="C46" i="9"/>
  <c r="A25" i="51"/>
  <c r="B18" i="63" s="1"/>
  <c r="D58" i="33"/>
  <c r="C67" i="40"/>
  <c r="H58" i="46"/>
  <c r="J17" i="46"/>
  <c r="C17" i="46"/>
  <c r="F34" i="46"/>
  <c r="F38" i="46"/>
  <c r="F37" i="46"/>
  <c r="H113" i="46"/>
  <c r="H53" i="46"/>
  <c r="Y13" i="59"/>
  <c r="Z13" i="59"/>
  <c r="AA13" i="59"/>
  <c r="AB13" i="59"/>
  <c r="Y12" i="59"/>
  <c r="Z12" i="59"/>
  <c r="Y11" i="59"/>
  <c r="Z11" i="59" s="1"/>
  <c r="Y10" i="59"/>
  <c r="Z10" i="59" s="1"/>
  <c r="AB12" i="59"/>
  <c r="AB11" i="59"/>
  <c r="AB10" i="59"/>
  <c r="AA15" i="59"/>
  <c r="X13" i="59"/>
  <c r="X11" i="59"/>
  <c r="X10" i="59"/>
  <c r="AA11" i="59"/>
  <c r="AA10" i="59"/>
  <c r="H1" i="65"/>
  <c r="X7" i="46"/>
  <c r="E17" i="46"/>
  <c r="N17" i="46"/>
  <c r="O17" i="46"/>
  <c r="M17" i="46"/>
  <c r="L17" i="46"/>
  <c r="H101" i="46"/>
  <c r="H102" i="46" s="1"/>
  <c r="AP7" i="1"/>
  <c r="G13" i="1"/>
  <c r="D46" i="36"/>
  <c r="D59" i="34"/>
  <c r="E59" i="34" s="1"/>
  <c r="F59" i="34" s="1"/>
  <c r="G59" i="34" s="1"/>
  <c r="H59" i="34" s="1"/>
  <c r="I59" i="34" s="1"/>
  <c r="J59" i="34" s="1"/>
  <c r="K59" i="34" s="1"/>
  <c r="L59" i="34" s="1"/>
  <c r="M59" i="34" s="1"/>
  <c r="N59" i="34" s="1"/>
  <c r="O59" i="34" s="1"/>
  <c r="G6" i="1"/>
  <c r="H70" i="46"/>
  <c r="H73" i="46"/>
  <c r="H50" i="46"/>
  <c r="F35" i="46"/>
  <c r="I17" i="46"/>
  <c r="H63" i="46"/>
  <c r="AD11" i="46"/>
  <c r="H64" i="46"/>
  <c r="D100" i="46"/>
  <c r="AF12" i="46"/>
  <c r="K100" i="46"/>
  <c r="AB12" i="46"/>
  <c r="AJ12" i="46"/>
  <c r="H59" i="46"/>
  <c r="H74" i="46"/>
  <c r="H65" i="46"/>
  <c r="H75" i="46"/>
  <c r="E10" i="46"/>
  <c r="E9" i="46"/>
  <c r="E11" i="46"/>
  <c r="E8" i="46"/>
  <c r="H72" i="46"/>
  <c r="H69" i="46"/>
  <c r="H77" i="46"/>
  <c r="H76" i="46"/>
  <c r="H55" i="46"/>
  <c r="H52" i="46"/>
  <c r="AD12" i="46"/>
  <c r="AH12" i="46"/>
  <c r="E65" i="40"/>
  <c r="F65" i="40" s="1"/>
  <c r="G65" i="40" s="1"/>
  <c r="G67" i="40" s="1"/>
  <c r="C7" i="46"/>
  <c r="G20" i="46"/>
  <c r="E41" i="46"/>
  <c r="C41" i="46" s="1"/>
  <c r="H65" i="40"/>
  <c r="I65" i="40" s="1"/>
  <c r="F40" i="44"/>
  <c r="F11" i="67"/>
  <c r="M28" i="44"/>
  <c r="N5" i="65"/>
  <c r="F36" i="15"/>
  <c r="E8" i="67"/>
  <c r="F43" i="44"/>
  <c r="M23" i="15"/>
  <c r="F13" i="67"/>
  <c r="E13" i="67"/>
  <c r="F14" i="67"/>
  <c r="N6" i="65"/>
  <c r="E12" i="67"/>
  <c r="N4" i="65"/>
  <c r="J5" i="65"/>
  <c r="F6" i="15"/>
  <c r="J3" i="65"/>
  <c r="M22" i="15"/>
  <c r="F8" i="44"/>
  <c r="F9" i="15"/>
  <c r="J4" i="65"/>
  <c r="F38" i="44"/>
  <c r="F46" i="44"/>
  <c r="B12" i="67"/>
  <c r="F8" i="67"/>
  <c r="N7" i="65"/>
  <c r="M6" i="15"/>
  <c r="M25" i="44"/>
  <c r="M10" i="44"/>
  <c r="F39" i="44"/>
  <c r="J17" i="44"/>
  <c r="F42" i="15"/>
  <c r="F43" i="15"/>
  <c r="F40" i="15"/>
  <c r="M29" i="44"/>
  <c r="F15" i="44"/>
  <c r="B13" i="67"/>
  <c r="F26" i="15"/>
  <c r="M8" i="15"/>
  <c r="M9" i="15"/>
  <c r="E9" i="67"/>
  <c r="I4" i="65"/>
  <c r="M28" i="15"/>
  <c r="B11" i="67"/>
  <c r="J36" i="15"/>
  <c r="M24" i="15"/>
  <c r="B14" i="67"/>
  <c r="L47" i="15"/>
  <c r="F16" i="15"/>
  <c r="I7" i="65"/>
  <c r="J15" i="15"/>
  <c r="E14" i="67"/>
  <c r="L49" i="44"/>
  <c r="F28" i="44"/>
  <c r="F37" i="15"/>
  <c r="M31" i="44"/>
  <c r="I3" i="65"/>
  <c r="F8" i="15"/>
  <c r="M26" i="15"/>
  <c r="M30" i="44"/>
  <c r="F11" i="44"/>
  <c r="F45" i="44"/>
  <c r="I6" i="65"/>
  <c r="I5" i="65"/>
  <c r="M29" i="15"/>
  <c r="E11" i="67"/>
  <c r="E10" i="67"/>
  <c r="F13" i="15"/>
  <c r="M11" i="44"/>
  <c r="F9" i="44"/>
  <c r="B10" i="67"/>
  <c r="B9" i="67"/>
  <c r="N3" i="65"/>
  <c r="M26" i="44"/>
  <c r="F10" i="44"/>
  <c r="F7" i="15"/>
  <c r="L48" i="44"/>
  <c r="B8" i="67"/>
  <c r="F9" i="67"/>
  <c r="F38" i="15"/>
  <c r="F12" i="67"/>
  <c r="J7" i="65"/>
  <c r="M24" i="44"/>
  <c r="L48" i="15"/>
  <c r="F18" i="44"/>
  <c r="J6" i="65"/>
  <c r="M27" i="15"/>
  <c r="F10" i="67"/>
  <c r="M8" i="44"/>
  <c r="F29" i="39" l="1"/>
  <c r="AA29" i="39" s="1"/>
  <c r="I4" i="6"/>
  <c r="F28" i="6"/>
  <c r="AI11" i="46"/>
  <c r="AI13" i="46" s="1"/>
  <c r="E101" i="46"/>
  <c r="E106" i="46" s="1"/>
  <c r="S7" i="46"/>
  <c r="AG11" i="46"/>
  <c r="AG13" i="46" s="1"/>
  <c r="B113" i="46"/>
  <c r="I115" i="46" s="1"/>
  <c r="J115" i="46" s="1"/>
  <c r="K115" i="46" s="1"/>
  <c r="L115" i="46" s="1"/>
  <c r="M115" i="46" s="1"/>
  <c r="I101" i="46"/>
  <c r="I104" i="46" s="1"/>
  <c r="D101" i="46"/>
  <c r="D106" i="46" s="1"/>
  <c r="S4" i="46"/>
  <c r="S2" i="46"/>
  <c r="H105" i="46"/>
  <c r="AE11" i="46"/>
  <c r="AE13" i="46" s="1"/>
  <c r="AH11" i="46"/>
  <c r="AH13" i="46" s="1"/>
  <c r="K101" i="46"/>
  <c r="K103" i="46" s="1"/>
  <c r="L101" i="46"/>
  <c r="L105" i="46" s="1"/>
  <c r="G101" i="46"/>
  <c r="G103" i="46" s="1"/>
  <c r="N101" i="46"/>
  <c r="N105" i="46" s="1"/>
  <c r="J22" i="46"/>
  <c r="H22" i="46"/>
  <c r="K33" i="9"/>
  <c r="K34" i="9" s="1"/>
  <c r="O41" i="9"/>
  <c r="R8" i="54" s="1"/>
  <c r="B54" i="63" s="1"/>
  <c r="AB9" i="34"/>
  <c r="U9" i="34"/>
  <c r="AA45" i="39"/>
  <c r="S45" i="39"/>
  <c r="S47" i="39"/>
  <c r="AA47" i="39"/>
  <c r="AZ556" i="3"/>
  <c r="AZ535" i="3"/>
  <c r="AZ531" i="3"/>
  <c r="AZ19" i="3"/>
  <c r="B20" i="31"/>
  <c r="R22" i="31"/>
  <c r="B21" i="31" s="1"/>
  <c r="S13" i="35"/>
  <c r="AA13" i="35"/>
  <c r="AB15" i="40"/>
  <c r="U15" i="40"/>
  <c r="U29" i="40"/>
  <c r="AB29" i="40"/>
  <c r="F32" i="69"/>
  <c r="F59" i="69" s="1"/>
  <c r="F28" i="69"/>
  <c r="M18" i="69"/>
  <c r="AZ379" i="3"/>
  <c r="W23" i="37"/>
  <c r="AC23" i="37"/>
  <c r="U17" i="37"/>
  <c r="AB17" i="37"/>
  <c r="AZ542" i="3"/>
  <c r="AZ502" i="3"/>
  <c r="AZ540" i="3"/>
  <c r="AZ550" i="3"/>
  <c r="W14" i="37"/>
  <c r="AC14" i="37"/>
  <c r="AB25" i="35"/>
  <c r="U25" i="35"/>
  <c r="AA46" i="33"/>
  <c r="S46" i="33"/>
  <c r="W13" i="36"/>
  <c r="AC13" i="36"/>
  <c r="S13" i="33"/>
  <c r="AA13" i="33"/>
  <c r="AA22" i="35"/>
  <c r="S22" i="35"/>
  <c r="AA26" i="21"/>
  <c r="S26" i="21"/>
  <c r="BL13" i="3"/>
  <c r="AZ13" i="3" s="1"/>
  <c r="J9" i="33"/>
  <c r="H9" i="33"/>
  <c r="F9" i="33"/>
  <c r="U8" i="34"/>
  <c r="AB8" i="34"/>
  <c r="F28" i="34"/>
  <c r="J28" i="34"/>
  <c r="H28" i="34"/>
  <c r="AB34" i="35"/>
  <c r="U34" i="35"/>
  <c r="AC36" i="35"/>
  <c r="W36" i="35"/>
  <c r="J13" i="33"/>
  <c r="H13" i="33"/>
  <c r="H29" i="33"/>
  <c r="F29" i="33"/>
  <c r="H45" i="33"/>
  <c r="J45" i="33"/>
  <c r="F45" i="33"/>
  <c r="J12" i="34"/>
  <c r="H12" i="34"/>
  <c r="F12" i="34"/>
  <c r="J14" i="34"/>
  <c r="F14" i="34"/>
  <c r="H14" i="34"/>
  <c r="H30" i="34"/>
  <c r="F30" i="34"/>
  <c r="J30" i="34"/>
  <c r="H32" i="34"/>
  <c r="F32" i="34"/>
  <c r="J32" i="34"/>
  <c r="H46" i="34"/>
  <c r="F46" i="34"/>
  <c r="J46" i="34"/>
  <c r="H36" i="35"/>
  <c r="F36" i="35"/>
  <c r="J9" i="36"/>
  <c r="H9" i="36"/>
  <c r="F9" i="36"/>
  <c r="J24" i="36"/>
  <c r="H24" i="36"/>
  <c r="W31" i="36"/>
  <c r="AC31" i="36"/>
  <c r="AA25" i="37"/>
  <c r="S25" i="37"/>
  <c r="AB30" i="37"/>
  <c r="U30" i="37"/>
  <c r="J9" i="37"/>
  <c r="H9" i="37"/>
  <c r="F9" i="37"/>
  <c r="AB34" i="37"/>
  <c r="U34" i="37"/>
  <c r="BA569" i="3"/>
  <c r="AZ569" i="3" s="1"/>
  <c r="BA558" i="3"/>
  <c r="AZ558" i="3" s="1"/>
  <c r="BL557" i="3"/>
  <c r="AZ557" i="3" s="1"/>
  <c r="BL555" i="3"/>
  <c r="AZ555" i="3" s="1"/>
  <c r="BA554" i="3"/>
  <c r="AZ554" i="3" s="1"/>
  <c r="BL546" i="3"/>
  <c r="AZ546" i="3" s="1"/>
  <c r="BL545" i="3"/>
  <c r="AZ545" i="3" s="1"/>
  <c r="BL544" i="3"/>
  <c r="BA544" i="3"/>
  <c r="BA543" i="3"/>
  <c r="AZ543" i="3" s="1"/>
  <c r="BL541" i="3"/>
  <c r="AZ541" i="3" s="1"/>
  <c r="BL534" i="3"/>
  <c r="AZ534" i="3" s="1"/>
  <c r="BA528" i="3"/>
  <c r="AZ528" i="3" s="1"/>
  <c r="BL527" i="3"/>
  <c r="AZ527" i="3" s="1"/>
  <c r="BA521" i="3"/>
  <c r="AZ521" i="3" s="1"/>
  <c r="BA520" i="3"/>
  <c r="AZ520" i="3" s="1"/>
  <c r="BL511" i="3"/>
  <c r="AZ511" i="3" s="1"/>
  <c r="BL503" i="3"/>
  <c r="AZ503" i="3" s="1"/>
  <c r="BH5" i="3"/>
  <c r="BA488" i="3"/>
  <c r="AZ488" i="3" s="1"/>
  <c r="BA487" i="3"/>
  <c r="BL20" i="3"/>
  <c r="AZ20" i="3" s="1"/>
  <c r="G16" i="3"/>
  <c r="AC5" i="3"/>
  <c r="F34" i="15"/>
  <c r="F61" i="15" s="1"/>
  <c r="M20" i="69"/>
  <c r="F34" i="69"/>
  <c r="F61" i="69" s="1"/>
  <c r="H47" i="46"/>
  <c r="H54" i="46"/>
  <c r="H60" i="46"/>
  <c r="H62" i="46"/>
  <c r="H66" i="46"/>
  <c r="AD13" i="46"/>
  <c r="G17" i="46"/>
  <c r="C16" i="46" s="1"/>
  <c r="H48" i="46"/>
  <c r="H51" i="46"/>
  <c r="AA20" i="36"/>
  <c r="S14" i="36"/>
  <c r="AA46" i="39"/>
  <c r="S34" i="39"/>
  <c r="AB33" i="39"/>
  <c r="W30" i="40"/>
  <c r="W31" i="21"/>
  <c r="AC25" i="33"/>
  <c r="AA29" i="34"/>
  <c r="AB47" i="34"/>
  <c r="W47" i="34"/>
  <c r="AA31" i="34"/>
  <c r="S28" i="37"/>
  <c r="U26" i="37"/>
  <c r="W38" i="37"/>
  <c r="AA13" i="37"/>
  <c r="U33" i="37"/>
  <c r="U32" i="35"/>
  <c r="AA34" i="36"/>
  <c r="C20" i="46"/>
  <c r="AA12" i="36"/>
  <c r="BM5" i="3"/>
  <c r="F29" i="6" s="1"/>
  <c r="E29" i="6" s="1"/>
  <c r="BN5" i="3"/>
  <c r="G29" i="6" s="1"/>
  <c r="G30" i="6" s="1"/>
  <c r="G31" i="6" s="1"/>
  <c r="M18" i="15"/>
  <c r="AC38" i="39"/>
  <c r="W13" i="39"/>
  <c r="U35" i="40"/>
  <c r="U25" i="40"/>
  <c r="U21" i="40"/>
  <c r="S14" i="40"/>
  <c r="S35" i="40"/>
  <c r="W33" i="40"/>
  <c r="AA30" i="21"/>
  <c r="W13" i="21"/>
  <c r="AC11" i="21"/>
  <c r="AC46" i="21"/>
  <c r="U25" i="33"/>
  <c r="AC11" i="33"/>
  <c r="AB26" i="33"/>
  <c r="AB34" i="33"/>
  <c r="U36" i="33"/>
  <c r="AB11" i="33"/>
  <c r="W34" i="33"/>
  <c r="U37" i="33"/>
  <c r="S10" i="34"/>
  <c r="U27" i="34"/>
  <c r="W37" i="34"/>
  <c r="AC11" i="34"/>
  <c r="AA27" i="34"/>
  <c r="AC45" i="34"/>
  <c r="S10" i="37"/>
  <c r="U9" i="35"/>
  <c r="AB14" i="35"/>
  <c r="S23" i="35"/>
  <c r="AA20" i="35"/>
  <c r="U25" i="36"/>
  <c r="F30" i="44"/>
  <c r="M20" i="44"/>
  <c r="F70" i="9"/>
  <c r="M22" i="44"/>
  <c r="M7" i="1"/>
  <c r="O7" i="1" s="1"/>
  <c r="P7" i="1" s="1"/>
  <c r="X25" i="1"/>
  <c r="V25" i="1"/>
  <c r="AC36" i="33"/>
  <c r="U13" i="39"/>
  <c r="U34" i="39"/>
  <c r="AA37" i="39"/>
  <c r="AA34" i="33"/>
  <c r="J23" i="39"/>
  <c r="AC23" i="39" s="1"/>
  <c r="W32" i="40"/>
  <c r="AA11" i="36"/>
  <c r="AA29" i="35"/>
  <c r="AB32" i="40"/>
  <c r="W35" i="40"/>
  <c r="F72" i="9"/>
  <c r="F66" i="9"/>
  <c r="P72" i="9" s="1"/>
  <c r="F34" i="44"/>
  <c r="J42" i="40"/>
  <c r="J47" i="39"/>
  <c r="H47" i="39"/>
  <c r="J45" i="39"/>
  <c r="H45" i="39"/>
  <c r="H23" i="35"/>
  <c r="AB10" i="21"/>
  <c r="AB14" i="37"/>
  <c r="AA31" i="36"/>
  <c r="AC40" i="37"/>
  <c r="AC11" i="36"/>
  <c r="AZ378" i="3"/>
  <c r="AZ299" i="3"/>
  <c r="AZ377" i="3"/>
  <c r="AB44" i="33"/>
  <c r="AC8" i="37"/>
  <c r="AA39" i="33"/>
  <c r="S39" i="33"/>
  <c r="AZ524" i="3"/>
  <c r="W14" i="21"/>
  <c r="AC35" i="35"/>
  <c r="W35" i="35"/>
  <c r="AA25" i="35"/>
  <c r="S25" i="35"/>
  <c r="H13" i="35"/>
  <c r="AB31" i="34"/>
  <c r="U31" i="34"/>
  <c r="AC46" i="33"/>
  <c r="W46" i="33"/>
  <c r="U40" i="37"/>
  <c r="AB40" i="37"/>
  <c r="U31" i="33"/>
  <c r="AB31" i="33"/>
  <c r="J29" i="33"/>
  <c r="W45" i="21"/>
  <c r="AC45" i="21"/>
  <c r="U13" i="21"/>
  <c r="AB13" i="21"/>
  <c r="AB46" i="21"/>
  <c r="U46" i="21"/>
  <c r="U16" i="35"/>
  <c r="AB16" i="35"/>
  <c r="F24" i="36"/>
  <c r="W8" i="21"/>
  <c r="W9" i="34"/>
  <c r="AB41" i="21"/>
  <c r="G572" i="3"/>
  <c r="H5" i="3"/>
  <c r="BA572" i="3"/>
  <c r="AZ572" i="3" s="1"/>
  <c r="F12" i="21"/>
  <c r="J12" i="21"/>
  <c r="F14" i="21"/>
  <c r="H14" i="21"/>
  <c r="H28" i="21"/>
  <c r="F28" i="21"/>
  <c r="J44" i="21"/>
  <c r="F44" i="21"/>
  <c r="E81" i="21"/>
  <c r="H19" i="21" s="1"/>
  <c r="F9" i="21"/>
  <c r="J9" i="21"/>
  <c r="H9" i="21"/>
  <c r="AB9" i="21" s="1"/>
  <c r="U27" i="33"/>
  <c r="AB27" i="33"/>
  <c r="F28" i="33"/>
  <c r="J28" i="33"/>
  <c r="J26" i="33"/>
  <c r="F26" i="33"/>
  <c r="U27" i="35"/>
  <c r="AB27" i="35"/>
  <c r="W10" i="36"/>
  <c r="AC10" i="36"/>
  <c r="AB29" i="36"/>
  <c r="U29" i="36"/>
  <c r="F26" i="37"/>
  <c r="U10" i="37"/>
  <c r="AB10" i="37"/>
  <c r="J12" i="37"/>
  <c r="H12" i="37"/>
  <c r="F12" i="37"/>
  <c r="U27" i="37"/>
  <c r="AB27" i="37"/>
  <c r="G93" i="39"/>
  <c r="F19" i="39"/>
  <c r="S19" i="39" s="1"/>
  <c r="BO5" i="3"/>
  <c r="BF5" i="3"/>
  <c r="G553" i="3"/>
  <c r="G548" i="3"/>
  <c r="G527" i="3"/>
  <c r="G519" i="3"/>
  <c r="G503" i="3"/>
  <c r="G495" i="3"/>
  <c r="G486" i="3"/>
  <c r="AZ392" i="3"/>
  <c r="AZ395" i="3"/>
  <c r="AZ397" i="3"/>
  <c r="AZ402" i="3"/>
  <c r="AZ420" i="3"/>
  <c r="AZ424" i="3"/>
  <c r="AZ427" i="3"/>
  <c r="AZ447" i="3"/>
  <c r="AZ451" i="3"/>
  <c r="AZ465" i="3"/>
  <c r="AZ470" i="3"/>
  <c r="AZ478" i="3"/>
  <c r="AZ387" i="3"/>
  <c r="AZ216" i="3"/>
  <c r="AZ219" i="3"/>
  <c r="AZ232" i="3"/>
  <c r="AZ235" i="3"/>
  <c r="AZ248" i="3"/>
  <c r="AZ251" i="3"/>
  <c r="AZ264" i="3"/>
  <c r="AZ267" i="3"/>
  <c r="AZ271" i="3"/>
  <c r="AZ283" i="3"/>
  <c r="AZ287" i="3"/>
  <c r="AZ156" i="3"/>
  <c r="AZ159" i="3"/>
  <c r="AZ172" i="3"/>
  <c r="AZ175" i="3"/>
  <c r="AZ202" i="3"/>
  <c r="AZ21" i="3"/>
  <c r="C43" i="59"/>
  <c r="D42" i="59"/>
  <c r="D50" i="59"/>
  <c r="C51" i="59"/>
  <c r="K145" i="21"/>
  <c r="R12" i="1"/>
  <c r="K12" i="1"/>
  <c r="M12" i="1" s="1"/>
  <c r="O12" i="1" s="1"/>
  <c r="P12" i="1" s="1"/>
  <c r="B65" i="46"/>
  <c r="B54" i="46"/>
  <c r="E105" i="39"/>
  <c r="F105" i="39" s="1"/>
  <c r="G105" i="39" s="1"/>
  <c r="F31" i="39"/>
  <c r="AA31" i="39" s="1"/>
  <c r="Y24" i="59"/>
  <c r="Z24" i="59" s="1"/>
  <c r="C25" i="59"/>
  <c r="Y18" i="59"/>
  <c r="Z18" i="59" s="1"/>
  <c r="C30" i="59"/>
  <c r="D29" i="59"/>
  <c r="Y16" i="59"/>
  <c r="Z16" i="59" s="1"/>
  <c r="U15" i="59"/>
  <c r="E14" i="59"/>
  <c r="E13" i="59" s="1"/>
  <c r="E12" i="59" s="1"/>
  <c r="E11" i="59" s="1"/>
  <c r="AA14" i="59"/>
  <c r="X12" i="59"/>
  <c r="Y9" i="59"/>
  <c r="Z9" i="59" s="1"/>
  <c r="Y8" i="59"/>
  <c r="Z8" i="59" s="1"/>
  <c r="AA12" i="59"/>
  <c r="AB3" i="59"/>
  <c r="AB5" i="59"/>
  <c r="AB8" i="59"/>
  <c r="AB9" i="59"/>
  <c r="AA3" i="59"/>
  <c r="AA8" i="59"/>
  <c r="G12" i="1"/>
  <c r="C18" i="9"/>
  <c r="K8" i="1"/>
  <c r="M8" i="1" s="1"/>
  <c r="O8" i="1" s="1"/>
  <c r="P8" i="1" s="1"/>
  <c r="AZ25" i="3"/>
  <c r="AZ28" i="3"/>
  <c r="AZ30" i="3"/>
  <c r="AZ34" i="3"/>
  <c r="AZ53" i="3"/>
  <c r="AZ57" i="3"/>
  <c r="AZ60" i="3"/>
  <c r="AZ62" i="3"/>
  <c r="AZ68" i="3"/>
  <c r="AZ72" i="3"/>
  <c r="AZ75" i="3"/>
  <c r="AZ77" i="3"/>
  <c r="AZ81" i="3"/>
  <c r="AZ88" i="3"/>
  <c r="AZ92" i="3"/>
  <c r="AZ95" i="3"/>
  <c r="AZ97" i="3"/>
  <c r="AZ101" i="3"/>
  <c r="E26" i="57"/>
  <c r="B74" i="46"/>
  <c r="S18" i="36"/>
  <c r="B85" i="46"/>
  <c r="C27" i="40"/>
  <c r="AA21" i="34"/>
  <c r="S21" i="34"/>
  <c r="AA18" i="35"/>
  <c r="S18" i="35"/>
  <c r="N57" i="59"/>
  <c r="Y19" i="59"/>
  <c r="Z19" i="59" s="1"/>
  <c r="AA20" i="59"/>
  <c r="E21" i="59"/>
  <c r="E22" i="59" s="1"/>
  <c r="E23" i="59" s="1"/>
  <c r="U23" i="59" s="1"/>
  <c r="E29" i="59"/>
  <c r="E30" i="59" s="1"/>
  <c r="E31" i="59" s="1"/>
  <c r="U31" i="59" s="1"/>
  <c r="AA28" i="59"/>
  <c r="AB30" i="59"/>
  <c r="AB19" i="59"/>
  <c r="AB18" i="59"/>
  <c r="P58" i="59"/>
  <c r="E57" i="59"/>
  <c r="T63" i="59"/>
  <c r="C62" i="59"/>
  <c r="T71" i="59"/>
  <c r="C70" i="59"/>
  <c r="D71" i="59"/>
  <c r="X15" i="59"/>
  <c r="B19" i="59"/>
  <c r="X16" i="59"/>
  <c r="X18" i="59"/>
  <c r="X17" i="59"/>
  <c r="E19" i="59"/>
  <c r="AA17" i="59"/>
  <c r="AA19" i="59"/>
  <c r="AA16" i="59"/>
  <c r="X23" i="59"/>
  <c r="Y20" i="59"/>
  <c r="Z20" i="59" s="1"/>
  <c r="AB20" i="59"/>
  <c r="F21" i="59"/>
  <c r="F22" i="59" s="1"/>
  <c r="F23" i="59" s="1"/>
  <c r="V23" i="59" s="1"/>
  <c r="AB17" i="59"/>
  <c r="Y21" i="59"/>
  <c r="Z21" i="59" s="1"/>
  <c r="AB21" i="59"/>
  <c r="AB22" i="59"/>
  <c r="Y23" i="59"/>
  <c r="Z23" i="59" s="1"/>
  <c r="X24" i="59"/>
  <c r="B25" i="59"/>
  <c r="B26" i="59" s="1"/>
  <c r="B27" i="59" s="1"/>
  <c r="S27" i="59" s="1"/>
  <c r="AB25" i="59"/>
  <c r="AB28" i="59"/>
  <c r="F29" i="59"/>
  <c r="F30" i="59" s="1"/>
  <c r="F31" i="59" s="1"/>
  <c r="V31" i="59" s="1"/>
  <c r="AB29" i="59"/>
  <c r="C38" i="59"/>
  <c r="D38" i="59" s="1"/>
  <c r="D37" i="59"/>
  <c r="Q57" i="59"/>
  <c r="Q56" i="59"/>
  <c r="O59" i="59"/>
  <c r="C58" i="59"/>
  <c r="D75" i="59"/>
  <c r="C74" i="59"/>
  <c r="D18" i="59"/>
  <c r="C17" i="59"/>
  <c r="D17" i="59" s="1"/>
  <c r="F18" i="59"/>
  <c r="F17" i="59" s="1"/>
  <c r="V19" i="59"/>
  <c r="B14" i="59"/>
  <c r="B13" i="59" s="1"/>
  <c r="B12" i="59" s="1"/>
  <c r="B11" i="59" s="1"/>
  <c r="X9" i="59"/>
  <c r="X5" i="59"/>
  <c r="X8" i="59"/>
  <c r="L16" i="4"/>
  <c r="X20" i="59"/>
  <c r="AA21" i="59"/>
  <c r="X22" i="59"/>
  <c r="AA23" i="59"/>
  <c r="AB24" i="59"/>
  <c r="Y25" i="59"/>
  <c r="Z25" i="59" s="1"/>
  <c r="AB26" i="59"/>
  <c r="Y27" i="59"/>
  <c r="Z27" i="59" s="1"/>
  <c r="X28" i="59"/>
  <c r="X29" i="59"/>
  <c r="AA29" i="59"/>
  <c r="A28" i="64"/>
  <c r="C14" i="59"/>
  <c r="D15" i="59"/>
  <c r="O76" i="9"/>
  <c r="K76" i="9"/>
  <c r="Y14" i="59"/>
  <c r="Z14" i="59" s="1"/>
  <c r="Y15" i="59"/>
  <c r="Z15" i="59" s="1"/>
  <c r="AB14" i="59"/>
  <c r="AB15" i="59"/>
  <c r="F15" i="59"/>
  <c r="AA9" i="59"/>
  <c r="Y5" i="59"/>
  <c r="Z5" i="59" s="1"/>
  <c r="AB6" i="59"/>
  <c r="AA5" i="59"/>
  <c r="AA6" i="59"/>
  <c r="X7" i="59"/>
  <c r="AA19" i="39"/>
  <c r="H19" i="39"/>
  <c r="AB15" i="21"/>
  <c r="W15" i="21"/>
  <c r="U23" i="21"/>
  <c r="U43" i="21"/>
  <c r="AA43" i="21"/>
  <c r="AB44" i="21"/>
  <c r="S39" i="21"/>
  <c r="U39" i="21"/>
  <c r="W42" i="21"/>
  <c r="S42" i="21"/>
  <c r="U42" i="21"/>
  <c r="AB36" i="21"/>
  <c r="AC35" i="21"/>
  <c r="S34" i="21"/>
  <c r="AC34" i="21"/>
  <c r="S21" i="21"/>
  <c r="F79" i="21"/>
  <c r="G79" i="21" s="1"/>
  <c r="F17" i="21"/>
  <c r="J17" i="21"/>
  <c r="AC17" i="21" s="1"/>
  <c r="H17" i="21"/>
  <c r="W17" i="21"/>
  <c r="AA15" i="21"/>
  <c r="S31" i="39"/>
  <c r="D70" i="39"/>
  <c r="C72" i="39"/>
  <c r="G7" i="21"/>
  <c r="I7" i="21"/>
  <c r="E7" i="21"/>
  <c r="J51" i="15"/>
  <c r="H67" i="40"/>
  <c r="F67" i="40"/>
  <c r="E67" i="40"/>
  <c r="C42" i="1"/>
  <c r="C28" i="69" s="1"/>
  <c r="J51" i="69"/>
  <c r="G126" i="39"/>
  <c r="H126" i="39" s="1"/>
  <c r="I126" i="39" s="1"/>
  <c r="J126" i="39" s="1"/>
  <c r="K126" i="39" s="1"/>
  <c r="L126" i="39" s="1"/>
  <c r="M126" i="39" s="1"/>
  <c r="F43" i="39"/>
  <c r="J43" i="39"/>
  <c r="AC43" i="39" s="1"/>
  <c r="H43" i="39"/>
  <c r="J37" i="21"/>
  <c r="H37" i="21"/>
  <c r="H113" i="21"/>
  <c r="F37" i="21"/>
  <c r="W10" i="21"/>
  <c r="U9" i="21"/>
  <c r="S8" i="21"/>
  <c r="D18" i="9"/>
  <c r="M44" i="9" s="1"/>
  <c r="M43" i="9"/>
  <c r="A30" i="64"/>
  <c r="A30" i="51"/>
  <c r="B22" i="63" s="1"/>
  <c r="U40" i="39"/>
  <c r="F122" i="39"/>
  <c r="G122" i="39" s="1"/>
  <c r="H122" i="39" s="1"/>
  <c r="I122" i="39" s="1"/>
  <c r="J122" i="39" s="1"/>
  <c r="K122" i="39" s="1"/>
  <c r="L122" i="39" s="1"/>
  <c r="M122" i="39" s="1"/>
  <c r="F41" i="39"/>
  <c r="AA41" i="39" s="1"/>
  <c r="J41" i="39"/>
  <c r="AC41" i="39" s="1"/>
  <c r="H41" i="39"/>
  <c r="AB41" i="39" s="1"/>
  <c r="W31" i="39"/>
  <c r="AB29" i="39"/>
  <c r="W29" i="39"/>
  <c r="S29" i="39"/>
  <c r="S27" i="39"/>
  <c r="W27" i="39"/>
  <c r="U27" i="39"/>
  <c r="S23" i="39"/>
  <c r="W23" i="39"/>
  <c r="U23" i="39"/>
  <c r="AC19" i="39"/>
  <c r="F91" i="39"/>
  <c r="J17" i="39"/>
  <c r="H17" i="39"/>
  <c r="S41" i="39"/>
  <c r="W41" i="39"/>
  <c r="G1" i="69"/>
  <c r="S6" i="46"/>
  <c r="S3" i="46"/>
  <c r="S5" i="46"/>
  <c r="C23" i="46"/>
  <c r="AB11" i="46"/>
  <c r="AB13" i="46" s="1"/>
  <c r="AF11" i="46"/>
  <c r="AF13" i="46" s="1"/>
  <c r="AA11" i="46"/>
  <c r="AA13" i="46" s="1"/>
  <c r="Z11" i="46"/>
  <c r="Z13" i="46" s="1"/>
  <c r="E22" i="46"/>
  <c r="Z7" i="46"/>
  <c r="F22" i="46"/>
  <c r="N104" i="45"/>
  <c r="J101" i="46"/>
  <c r="J104" i="46" s="1"/>
  <c r="C101" i="46"/>
  <c r="C109" i="46" s="1"/>
  <c r="AJ11" i="46"/>
  <c r="AJ13" i="46" s="1"/>
  <c r="AC11" i="46"/>
  <c r="AC13" i="46" s="1"/>
  <c r="M101" i="46"/>
  <c r="M107" i="46" s="1"/>
  <c r="F101" i="46"/>
  <c r="F104" i="46" s="1"/>
  <c r="G22" i="46"/>
  <c r="B118" i="46"/>
  <c r="C118" i="46" s="1"/>
  <c r="E102" i="46"/>
  <c r="H104" i="46"/>
  <c r="E8" i="6"/>
  <c r="P75" i="15"/>
  <c r="D23" i="15"/>
  <c r="D107" i="46"/>
  <c r="B115" i="46"/>
  <c r="C115" i="46" s="1"/>
  <c r="K105" i="46"/>
  <c r="H106" i="46"/>
  <c r="H109" i="46"/>
  <c r="H107" i="46"/>
  <c r="H103" i="46"/>
  <c r="E28" i="6"/>
  <c r="E13" i="6"/>
  <c r="E14" i="6"/>
  <c r="E10" i="6"/>
  <c r="E15" i="6"/>
  <c r="E12" i="6"/>
  <c r="E64" i="39" s="1"/>
  <c r="E11" i="6"/>
  <c r="E58" i="39"/>
  <c r="C5" i="46"/>
  <c r="D5" i="46"/>
  <c r="D21" i="12"/>
  <c r="C21" i="12" s="1"/>
  <c r="O10" i="1"/>
  <c r="P10" i="1" s="1"/>
  <c r="O9" i="1"/>
  <c r="P9" i="1" s="1"/>
  <c r="O13" i="1"/>
  <c r="P13" i="1" s="1"/>
  <c r="O6" i="1"/>
  <c r="P6" i="1" s="1"/>
  <c r="C15" i="12" s="1"/>
  <c r="O11" i="1"/>
  <c r="P11" i="1" s="1"/>
  <c r="K17" i="4"/>
  <c r="A22" i="51" s="1"/>
  <c r="B16" i="63" s="1"/>
  <c r="C30" i="44"/>
  <c r="C27" i="43"/>
  <c r="C28" i="15"/>
  <c r="C95" i="9"/>
  <c r="C92" i="9" s="1"/>
  <c r="C25" i="12"/>
  <c r="C15" i="43"/>
  <c r="C31" i="43"/>
  <c r="I14" i="66"/>
  <c r="B8" i="66" s="1"/>
  <c r="J65" i="40"/>
  <c r="I67" i="40"/>
  <c r="H48" i="35"/>
  <c r="I48" i="35" s="1"/>
  <c r="J48" i="35" s="1"/>
  <c r="K48" i="35" s="1"/>
  <c r="L48" i="35" s="1"/>
  <c r="M48" i="35" s="1"/>
  <c r="N48" i="35" s="1"/>
  <c r="O48" i="35" s="1"/>
  <c r="I52" i="37"/>
  <c r="J52" i="37" s="1"/>
  <c r="K52" i="37" s="1"/>
  <c r="L52" i="37" s="1"/>
  <c r="M52" i="37" s="1"/>
  <c r="N52" i="37" s="1"/>
  <c r="O52" i="37" s="1"/>
  <c r="E46" i="36"/>
  <c r="F46" i="36" s="1"/>
  <c r="G46" i="36" s="1"/>
  <c r="H46" i="36" s="1"/>
  <c r="I46" i="36" s="1"/>
  <c r="J46" i="36" s="1"/>
  <c r="K46" i="36" s="1"/>
  <c r="L46" i="36" s="1"/>
  <c r="M46" i="36" s="1"/>
  <c r="N46" i="36" s="1"/>
  <c r="O46" i="36" s="1"/>
  <c r="F7" i="36"/>
  <c r="H7" i="36"/>
  <c r="J7" i="36"/>
  <c r="E58" i="33"/>
  <c r="F58" i="21"/>
  <c r="H7" i="34"/>
  <c r="F7" i="34"/>
  <c r="F7" i="37"/>
  <c r="F7" i="35"/>
  <c r="J7" i="34"/>
  <c r="C18" i="11"/>
  <c r="K77" i="9"/>
  <c r="K79" i="9" s="1"/>
  <c r="K81" i="9" s="1"/>
  <c r="E12" i="52"/>
  <c r="B15" i="52"/>
  <c r="F31" i="15"/>
  <c r="F33" i="44"/>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Y7" i="59"/>
  <c r="Z7" i="59" s="1"/>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J36" i="69"/>
  <c r="F26" i="69"/>
  <c r="M9" i="69"/>
  <c r="E3" i="65"/>
  <c r="F13" i="69"/>
  <c r="C18" i="44"/>
  <c r="F42" i="69"/>
  <c r="E2" i="65"/>
  <c r="J15" i="69"/>
  <c r="M28" i="69"/>
  <c r="F37" i="69"/>
  <c r="L47" i="69"/>
  <c r="F38" i="69"/>
  <c r="L48" i="69"/>
  <c r="M22" i="69"/>
  <c r="C16" i="15"/>
  <c r="F16" i="69"/>
  <c r="F7" i="69"/>
  <c r="M8" i="69"/>
  <c r="M27" i="69"/>
  <c r="M29" i="69"/>
  <c r="F9" i="69"/>
  <c r="M6" i="69"/>
  <c r="F36" i="69"/>
  <c r="M24" i="69"/>
  <c r="M26" i="69"/>
  <c r="F6" i="69"/>
  <c r="F43" i="69"/>
  <c r="F40" i="69"/>
  <c r="M23" i="69"/>
  <c r="F8" i="69"/>
  <c r="J106" i="46" l="1"/>
  <c r="E105" i="46"/>
  <c r="M102" i="46"/>
  <c r="I107" i="46"/>
  <c r="E107" i="46"/>
  <c r="E104" i="46"/>
  <c r="H16" i="1"/>
  <c r="B117" i="46"/>
  <c r="C117" i="46" s="1"/>
  <c r="K107" i="46"/>
  <c r="D117" i="46"/>
  <c r="E117" i="46" s="1"/>
  <c r="F117" i="46" s="1"/>
  <c r="G117" i="46" s="1"/>
  <c r="H117" i="46" s="1"/>
  <c r="G16" i="1"/>
  <c r="F12" i="39" s="1"/>
  <c r="S12" i="39" s="1"/>
  <c r="D118" i="46"/>
  <c r="E118" i="46" s="1"/>
  <c r="F118" i="46" s="1"/>
  <c r="G105" i="46"/>
  <c r="D105" i="46"/>
  <c r="G106" i="46"/>
  <c r="D115" i="46"/>
  <c r="E115" i="46" s="1"/>
  <c r="F115" i="46" s="1"/>
  <c r="G115" i="46" s="1"/>
  <c r="H115" i="46" s="1"/>
  <c r="K109" i="46"/>
  <c r="AP16" i="1"/>
  <c r="F22" i="11" s="1"/>
  <c r="Q16" i="1"/>
  <c r="F33" i="12" s="1"/>
  <c r="C34" i="12" s="1"/>
  <c r="D33" i="12" s="1"/>
  <c r="D102" i="46"/>
  <c r="D109" i="46"/>
  <c r="K106" i="46"/>
  <c r="B116" i="46"/>
  <c r="C116" i="46" s="1"/>
  <c r="I117" i="46"/>
  <c r="J117" i="46" s="1"/>
  <c r="K117" i="46" s="1"/>
  <c r="L117" i="46" s="1"/>
  <c r="M117" i="46" s="1"/>
  <c r="G102" i="46"/>
  <c r="G109" i="46"/>
  <c r="D103" i="46"/>
  <c r="D104" i="46"/>
  <c r="K104" i="46"/>
  <c r="I118" i="46"/>
  <c r="J118" i="46" s="1"/>
  <c r="K118" i="46" s="1"/>
  <c r="L118" i="46" s="1"/>
  <c r="M118" i="46" s="1"/>
  <c r="G118" i="46"/>
  <c r="H118" i="46" s="1"/>
  <c r="G107" i="46"/>
  <c r="I116" i="46"/>
  <c r="J116" i="46" s="1"/>
  <c r="K116" i="46" s="1"/>
  <c r="L116" i="46" s="1"/>
  <c r="M116" i="46" s="1"/>
  <c r="G104" i="46"/>
  <c r="D116" i="46"/>
  <c r="E116" i="46" s="1"/>
  <c r="F116" i="46" s="1"/>
  <c r="G116" i="46" s="1"/>
  <c r="H116" i="46" s="1"/>
  <c r="K102" i="46"/>
  <c r="J109" i="46"/>
  <c r="I109" i="46"/>
  <c r="I103" i="46"/>
  <c r="E103" i="46"/>
  <c r="I106" i="46"/>
  <c r="L107" i="46"/>
  <c r="N104" i="46"/>
  <c r="E109" i="46"/>
  <c r="D22" i="46"/>
  <c r="C21" i="46" s="1"/>
  <c r="J103" i="46"/>
  <c r="M109" i="46"/>
  <c r="M104" i="46"/>
  <c r="I102" i="46"/>
  <c r="N107" i="46"/>
  <c r="N106" i="46"/>
  <c r="L103" i="46"/>
  <c r="N103" i="46"/>
  <c r="L102" i="46"/>
  <c r="I105" i="46"/>
  <c r="J102" i="46"/>
  <c r="M103" i="46"/>
  <c r="M106" i="46"/>
  <c r="M105" i="46"/>
  <c r="N102" i="46"/>
  <c r="L106" i="46"/>
  <c r="L109" i="46"/>
  <c r="L104" i="46"/>
  <c r="N109" i="46"/>
  <c r="AB19" i="21"/>
  <c r="U19" i="21"/>
  <c r="J7" i="37"/>
  <c r="K15" i="1"/>
  <c r="L19" i="6"/>
  <c r="L27" i="6" s="1"/>
  <c r="U41" i="39"/>
  <c r="V15" i="59"/>
  <c r="F14" i="59"/>
  <c r="F13" i="59" s="1"/>
  <c r="F12" i="59" s="1"/>
  <c r="F11" i="59" s="1"/>
  <c r="D14" i="59"/>
  <c r="C13" i="59"/>
  <c r="D74" i="59"/>
  <c r="C73" i="59"/>
  <c r="D73" i="59" s="1"/>
  <c r="O58" i="59"/>
  <c r="C57" i="59"/>
  <c r="D58" i="59"/>
  <c r="U19" i="59"/>
  <c r="E18" i="59"/>
  <c r="E17" i="59" s="1"/>
  <c r="S19" i="59"/>
  <c r="B18" i="59"/>
  <c r="B17" i="59" s="1"/>
  <c r="D51" i="59"/>
  <c r="T51" i="59"/>
  <c r="AB12" i="37"/>
  <c r="U12" i="37"/>
  <c r="AA26" i="37"/>
  <c r="S26" i="37"/>
  <c r="AC26" i="33"/>
  <c r="W26" i="33"/>
  <c r="S28" i="33"/>
  <c r="AA28" i="33"/>
  <c r="AC9" i="21"/>
  <c r="W9" i="21"/>
  <c r="AA44" i="21"/>
  <c r="S44" i="21"/>
  <c r="S28" i="21"/>
  <c r="AA28" i="21"/>
  <c r="AB14" i="21"/>
  <c r="U14" i="21"/>
  <c r="AC12" i="21"/>
  <c r="W12" i="21"/>
  <c r="AA24" i="36"/>
  <c r="S24" i="36"/>
  <c r="U13" i="35"/>
  <c r="AB13" i="35"/>
  <c r="U23" i="35"/>
  <c r="AB23" i="35"/>
  <c r="W45" i="39"/>
  <c r="AC45" i="39"/>
  <c r="W47" i="39"/>
  <c r="AC47" i="39"/>
  <c r="AZ487" i="3"/>
  <c r="AZ5" i="3" s="1"/>
  <c r="BA5" i="3"/>
  <c r="AZ544" i="3"/>
  <c r="U9" i="37"/>
  <c r="AB9" i="37"/>
  <c r="AB24" i="36"/>
  <c r="U24" i="36"/>
  <c r="AA9" i="36"/>
  <c r="S9" i="36"/>
  <c r="W9" i="36"/>
  <c r="AC9" i="36"/>
  <c r="U36" i="35"/>
  <c r="AB36" i="35"/>
  <c r="S46" i="34"/>
  <c r="AA46" i="34"/>
  <c r="W32" i="34"/>
  <c r="AC32" i="34"/>
  <c r="AB32" i="34"/>
  <c r="U32" i="34"/>
  <c r="AA30" i="34"/>
  <c r="S30" i="34"/>
  <c r="U14" i="34"/>
  <c r="AB14" i="34"/>
  <c r="W14" i="34"/>
  <c r="AC14" i="34"/>
  <c r="U12" i="34"/>
  <c r="AB12" i="34"/>
  <c r="AA45" i="33"/>
  <c r="S45" i="33"/>
  <c r="U45" i="33"/>
  <c r="AB45" i="33"/>
  <c r="AB29" i="33"/>
  <c r="U29" i="33"/>
  <c r="W13" i="33"/>
  <c r="AC13" i="33"/>
  <c r="W28" i="34"/>
  <c r="AC28" i="34"/>
  <c r="AA9" i="33"/>
  <c r="S9" i="33"/>
  <c r="AC9" i="33"/>
  <c r="W9" i="33"/>
  <c r="B10" i="59"/>
  <c r="B9" i="59" s="1"/>
  <c r="B8" i="59" s="1"/>
  <c r="B7" i="59" s="1"/>
  <c r="S11" i="59"/>
  <c r="C69" i="59"/>
  <c r="D69" i="59" s="1"/>
  <c r="D70" i="59"/>
  <c r="D62" i="59"/>
  <c r="C61" i="59"/>
  <c r="D61" i="59" s="1"/>
  <c r="P56" i="59"/>
  <c r="P57" i="59"/>
  <c r="E10" i="59"/>
  <c r="E9" i="59" s="1"/>
  <c r="E8" i="59" s="1"/>
  <c r="E7" i="59" s="1"/>
  <c r="U11" i="59"/>
  <c r="C31" i="59"/>
  <c r="D30" i="59"/>
  <c r="D25" i="59"/>
  <c r="C26" i="59"/>
  <c r="D43" i="59"/>
  <c r="T43" i="59"/>
  <c r="AA12" i="37"/>
  <c r="S12" i="37"/>
  <c r="AC12" i="37"/>
  <c r="W12" i="37"/>
  <c r="S26" i="33"/>
  <c r="AA26" i="33"/>
  <c r="AC28" i="33"/>
  <c r="W28" i="33"/>
  <c r="S9" i="21"/>
  <c r="AA9" i="21"/>
  <c r="F81" i="21"/>
  <c r="G81" i="21" s="1"/>
  <c r="J19" i="21"/>
  <c r="F19" i="21"/>
  <c r="AC44" i="21"/>
  <c r="W44" i="21"/>
  <c r="AB28" i="21"/>
  <c r="U28" i="21"/>
  <c r="S14" i="21"/>
  <c r="AA14" i="21"/>
  <c r="AA12" i="21"/>
  <c r="S12" i="21"/>
  <c r="W29" i="33"/>
  <c r="AC29" i="33"/>
  <c r="G5" i="3"/>
  <c r="B3" i="3" s="1"/>
  <c r="E503" i="3" s="1"/>
  <c r="AB45" i="39"/>
  <c r="U45" i="39"/>
  <c r="AB47" i="39"/>
  <c r="U47" i="39"/>
  <c r="AC42" i="40"/>
  <c r="W42" i="40"/>
  <c r="AA9" i="37"/>
  <c r="S9" i="37"/>
  <c r="AC9" i="37"/>
  <c r="W9" i="37"/>
  <c r="W24" i="36"/>
  <c r="AC24" i="36"/>
  <c r="AB9" i="36"/>
  <c r="U9" i="36"/>
  <c r="AA36" i="35"/>
  <c r="S36" i="35"/>
  <c r="AC46" i="34"/>
  <c r="W46" i="34"/>
  <c r="AB46" i="34"/>
  <c r="U46" i="34"/>
  <c r="AA32" i="34"/>
  <c r="S32" i="34"/>
  <c r="W30" i="34"/>
  <c r="AC30" i="34"/>
  <c r="AB30" i="34"/>
  <c r="U30" i="34"/>
  <c r="S14" i="34"/>
  <c r="AA14" i="34"/>
  <c r="S12" i="34"/>
  <c r="AA12" i="34"/>
  <c r="AC12" i="34"/>
  <c r="W12" i="34"/>
  <c r="W45" i="33"/>
  <c r="AC45" i="33"/>
  <c r="S29" i="33"/>
  <c r="AA29" i="33"/>
  <c r="U13" i="33"/>
  <c r="AB13" i="33"/>
  <c r="AB28" i="34"/>
  <c r="U28" i="34"/>
  <c r="S28" i="34"/>
  <c r="AA28" i="34"/>
  <c r="U9" i="33"/>
  <c r="AB9" i="33"/>
  <c r="BL5" i="3"/>
  <c r="AB19" i="39"/>
  <c r="U19" i="39"/>
  <c r="W43" i="39"/>
  <c r="AB17" i="21"/>
  <c r="U17" i="21"/>
  <c r="S17" i="21"/>
  <c r="AA17" i="21"/>
  <c r="E70" i="39"/>
  <c r="D72" i="39"/>
  <c r="U43" i="39"/>
  <c r="AB43" i="39"/>
  <c r="S43" i="39"/>
  <c r="AA43" i="39"/>
  <c r="S37" i="21"/>
  <c r="AA37" i="21"/>
  <c r="U37" i="21"/>
  <c r="AB37" i="21"/>
  <c r="W37" i="21"/>
  <c r="AC37" i="21"/>
  <c r="G91" i="39"/>
  <c r="F17" i="39"/>
  <c r="W17" i="39"/>
  <c r="AC17" i="39"/>
  <c r="U17" i="39"/>
  <c r="AB17" i="39"/>
  <c r="C104" i="46"/>
  <c r="C102" i="46"/>
  <c r="F67" i="69"/>
  <c r="F63" i="69"/>
  <c r="L60" i="69"/>
  <c r="Q67" i="69" s="1"/>
  <c r="L57" i="69"/>
  <c r="J53" i="69"/>
  <c r="Q53" i="69" s="1"/>
  <c r="L56" i="69"/>
  <c r="J57" i="69"/>
  <c r="J55" i="69" s="1"/>
  <c r="J58" i="69" s="1"/>
  <c r="Q51" i="69" s="1"/>
  <c r="I54" i="69"/>
  <c r="F65" i="69"/>
  <c r="Q72" i="69"/>
  <c r="C27" i="69"/>
  <c r="C6" i="69"/>
  <c r="C33" i="69" s="1"/>
  <c r="F70" i="69"/>
  <c r="F64" i="69"/>
  <c r="L59" i="69"/>
  <c r="Q75" i="69" s="1"/>
  <c r="L58" i="69"/>
  <c r="Q61" i="69" s="1"/>
  <c r="F50" i="69"/>
  <c r="M7" i="69"/>
  <c r="J6" i="69" s="1"/>
  <c r="J18" i="69" s="1"/>
  <c r="F49" i="69"/>
  <c r="C106" i="46"/>
  <c r="C107" i="46"/>
  <c r="F106" i="46"/>
  <c r="F109" i="46"/>
  <c r="F102" i="46"/>
  <c r="F103" i="46"/>
  <c r="C103" i="46"/>
  <c r="C105" i="46"/>
  <c r="F107" i="46"/>
  <c r="F105" i="46"/>
  <c r="J107" i="46"/>
  <c r="J105" i="46"/>
  <c r="M11" i="69"/>
  <c r="J10" i="69" s="1"/>
  <c r="F11" i="69"/>
  <c r="F27" i="6"/>
  <c r="E53" i="40"/>
  <c r="E16" i="6"/>
  <c r="E65" i="39"/>
  <c r="E60" i="40"/>
  <c r="K14" i="1"/>
  <c r="E30" i="6"/>
  <c r="E61" i="40"/>
  <c r="E66" i="39"/>
  <c r="F30" i="6"/>
  <c r="E59" i="40"/>
  <c r="E63" i="39"/>
  <c r="E58" i="40"/>
  <c r="E67" i="39"/>
  <c r="E62" i="40"/>
  <c r="J12" i="39"/>
  <c r="AC12" i="39" s="1"/>
  <c r="H7" i="37"/>
  <c r="AB7" i="37" s="1"/>
  <c r="T42" i="37" s="1"/>
  <c r="G42" i="37" s="1"/>
  <c r="H7" i="35"/>
  <c r="U7" i="35" s="1"/>
  <c r="AC7" i="34"/>
  <c r="V49" i="34" s="1"/>
  <c r="I49" i="34" s="1"/>
  <c r="W7" i="34"/>
  <c r="AA7" i="37"/>
  <c r="R42" i="37" s="1"/>
  <c r="S7" i="37"/>
  <c r="AA7" i="34"/>
  <c r="R49" i="34" s="1"/>
  <c r="S7" i="34"/>
  <c r="AC7" i="36"/>
  <c r="V36" i="36" s="1"/>
  <c r="I36" i="36" s="1"/>
  <c r="W7" i="36"/>
  <c r="AA7" i="36"/>
  <c r="R36" i="36" s="1"/>
  <c r="S7" i="36"/>
  <c r="U7" i="37"/>
  <c r="J7" i="35"/>
  <c r="AA7" i="35"/>
  <c r="R38" i="35" s="1"/>
  <c r="S7" i="35"/>
  <c r="AC7" i="37"/>
  <c r="V42" i="37" s="1"/>
  <c r="I42" i="37" s="1"/>
  <c r="W7" i="37"/>
  <c r="U7" i="34"/>
  <c r="AB7" i="34"/>
  <c r="T49" i="34" s="1"/>
  <c r="G49" i="34" s="1"/>
  <c r="G58" i="21"/>
  <c r="F58" i="33"/>
  <c r="U7" i="36"/>
  <c r="AB7" i="36"/>
  <c r="T36" i="36" s="1"/>
  <c r="G36" i="36" s="1"/>
  <c r="AB7" i="35"/>
  <c r="T38" i="35" s="1"/>
  <c r="G38" i="35" s="1"/>
  <c r="J67" i="40"/>
  <c r="K65" i="40"/>
  <c r="M19" i="44"/>
  <c r="C19" i="46"/>
  <c r="C34" i="46" s="1"/>
  <c r="B40" i="1"/>
  <c r="F24" i="69" s="1"/>
  <c r="F17" i="11"/>
  <c r="C17" i="11" s="1"/>
  <c r="C19"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C16" i="69"/>
  <c r="H12" i="39" l="1"/>
  <c r="U12" i="39" s="1"/>
  <c r="AA12" i="39"/>
  <c r="F12" i="40"/>
  <c r="AA12" i="40" s="1"/>
  <c r="E27" i="6"/>
  <c r="K21" i="6" s="1"/>
  <c r="M21" i="6" s="1"/>
  <c r="I21" i="6" s="1"/>
  <c r="S21" i="6" s="1"/>
  <c r="H12" i="40"/>
  <c r="U12" i="40" s="1"/>
  <c r="J12" i="40"/>
  <c r="AC12" i="40" s="1"/>
  <c r="D113" i="46"/>
  <c r="F24" i="43"/>
  <c r="C26" i="43" s="1"/>
  <c r="D24" i="43" s="1"/>
  <c r="W12" i="39"/>
  <c r="E68" i="39"/>
  <c r="K26" i="6"/>
  <c r="M26" i="6" s="1"/>
  <c r="I26" i="6" s="1"/>
  <c r="S26" i="6" s="1"/>
  <c r="E3" i="6"/>
  <c r="AY6" i="3"/>
  <c r="AA19" i="21"/>
  <c r="S19" i="21"/>
  <c r="E519" i="3"/>
  <c r="C27" i="59"/>
  <c r="D26" i="59"/>
  <c r="E572" i="3"/>
  <c r="C33" i="21"/>
  <c r="AN6" i="3"/>
  <c r="E59" i="3"/>
  <c r="E464" i="3"/>
  <c r="E209" i="3"/>
  <c r="E450" i="3"/>
  <c r="E472" i="3"/>
  <c r="E253" i="3"/>
  <c r="E54" i="3"/>
  <c r="E452" i="3"/>
  <c r="E213" i="3"/>
  <c r="E397" i="3"/>
  <c r="E462" i="3"/>
  <c r="E47" i="3"/>
  <c r="E184" i="3"/>
  <c r="E482" i="3"/>
  <c r="E473" i="3"/>
  <c r="N6" i="3"/>
  <c r="E232" i="3"/>
  <c r="E19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160" i="3"/>
  <c r="E198" i="3"/>
  <c r="E134" i="3"/>
  <c r="E345" i="3"/>
  <c r="E242" i="3"/>
  <c r="E281" i="3"/>
  <c r="AI6" i="3"/>
  <c r="E72" i="3"/>
  <c r="E133" i="3"/>
  <c r="E290" i="3"/>
  <c r="E239" i="3"/>
  <c r="E440" i="3"/>
  <c r="E87" i="3"/>
  <c r="AF6" i="3"/>
  <c r="E234" i="3"/>
  <c r="E331" i="3"/>
  <c r="E458" i="3"/>
  <c r="E40" i="3"/>
  <c r="E128" i="3"/>
  <c r="E29" i="3"/>
  <c r="E176" i="3"/>
  <c r="E150" i="3"/>
  <c r="E256" i="3"/>
  <c r="E228" i="3"/>
  <c r="E491" i="3"/>
  <c r="E324" i="3"/>
  <c r="E525" i="3"/>
  <c r="E319" i="3"/>
  <c r="E456" i="3"/>
  <c r="E325" i="3"/>
  <c r="E353" i="3"/>
  <c r="E286" i="3"/>
  <c r="E396" i="3"/>
  <c r="E50" i="3"/>
  <c r="E183" i="3"/>
  <c r="AJ6" i="3"/>
  <c r="E216" i="3"/>
  <c r="E236" i="3"/>
  <c r="E320" i="3"/>
  <c r="E392" i="3"/>
  <c r="E474" i="3"/>
  <c r="E45" i="3"/>
  <c r="E171" i="3"/>
  <c r="E284" i="3"/>
  <c r="E251" i="3"/>
  <c r="E360" i="3"/>
  <c r="E42" i="3"/>
  <c r="E56" i="3"/>
  <c r="T6" i="3"/>
  <c r="E181" i="3"/>
  <c r="E122" i="3"/>
  <c r="E144" i="3"/>
  <c r="E269" i="3"/>
  <c r="E208" i="3"/>
  <c r="E219" i="3"/>
  <c r="E344" i="3"/>
  <c r="E335" i="3"/>
  <c r="E562" i="3"/>
  <c r="E483" i="3"/>
  <c r="E366" i="3"/>
  <c r="E167" i="3"/>
  <c r="E515" i="3"/>
  <c r="E494" i="3"/>
  <c r="E130" i="3"/>
  <c r="E273" i="3"/>
  <c r="E352" i="3"/>
  <c r="E461" i="3"/>
  <c r="E563" i="3"/>
  <c r="E138" i="3"/>
  <c r="E254" i="3"/>
  <c r="E328" i="3"/>
  <c r="E112" i="3"/>
  <c r="E341" i="3"/>
  <c r="E155" i="3"/>
  <c r="E268" i="3"/>
  <c r="E252" i="3"/>
  <c r="E175" i="3"/>
  <c r="E541" i="3"/>
  <c r="E565" i="3"/>
  <c r="E380"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200" i="3"/>
  <c r="Z6" i="3"/>
  <c r="E62" i="3"/>
  <c r="E454" i="3"/>
  <c r="E389" i="3"/>
  <c r="E230" i="3"/>
  <c r="AK6" i="3"/>
  <c r="E143" i="3"/>
  <c r="E297" i="3"/>
  <c r="E395" i="3"/>
  <c r="E280" i="3"/>
  <c r="E270" i="3"/>
  <c r="E157" i="3"/>
  <c r="E161" i="3"/>
  <c r="E187" i="3"/>
  <c r="E225" i="3"/>
  <c r="E199" i="3"/>
  <c r="E423" i="3"/>
  <c r="E435" i="3"/>
  <c r="E490" i="3"/>
  <c r="E218" i="3"/>
  <c r="E442" i="3"/>
  <c r="E110" i="3"/>
  <c r="E63" i="3"/>
  <c r="E174" i="3"/>
  <c r="E129" i="3"/>
  <c r="E98" i="3"/>
  <c r="E422" i="3"/>
  <c r="E398" i="3"/>
  <c r="E533" i="3"/>
  <c r="E189" i="3"/>
  <c r="E37" i="3"/>
  <c r="E507" i="3"/>
  <c r="E303" i="3"/>
  <c r="E275" i="3"/>
  <c r="L6" i="3"/>
  <c r="E467" i="3"/>
  <c r="E429" i="3"/>
  <c r="E67" i="3"/>
  <c r="E116" i="3"/>
  <c r="E214" i="3"/>
  <c r="E372"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77" i="3"/>
  <c r="E277" i="3"/>
  <c r="E260" i="3"/>
  <c r="E385" i="3"/>
  <c r="E307" i="3"/>
  <c r="E524" i="3"/>
  <c r="E432" i="3"/>
  <c r="E95" i="3"/>
  <c r="E90" i="3"/>
  <c r="E19" i="3"/>
  <c r="E153" i="3"/>
  <c r="E498"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22" i="3"/>
  <c r="E388" i="3"/>
  <c r="E430" i="3"/>
  <c r="E146" i="3"/>
  <c r="E77" i="3"/>
  <c r="E434" i="3"/>
  <c r="E552" i="3"/>
  <c r="E57"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311" i="3"/>
  <c r="E263" i="3"/>
  <c r="E424" i="3"/>
  <c r="E82" i="3"/>
  <c r="E164" i="3"/>
  <c r="E99" i="3"/>
  <c r="E262" i="3"/>
  <c r="E101" i="3"/>
  <c r="E354" i="3"/>
  <c r="E346" i="3"/>
  <c r="E334" i="3"/>
  <c r="E318" i="3"/>
  <c r="E314" i="3"/>
  <c r="E506" i="3"/>
  <c r="E560" i="3"/>
  <c r="E545" i="3"/>
  <c r="E569" i="3"/>
  <c r="E557" i="3"/>
  <c r="E536" i="3"/>
  <c r="E520" i="3"/>
  <c r="E496" i="3"/>
  <c r="E15" i="3"/>
  <c r="E340" i="3"/>
  <c r="E373" i="3"/>
  <c r="E518" i="3"/>
  <c r="E513" i="3"/>
  <c r="K6" i="3"/>
  <c r="E250" i="3"/>
  <c r="E471" i="3"/>
  <c r="E408" i="3"/>
  <c r="E238" i="3"/>
  <c r="E44" i="3"/>
  <c r="E534" i="3"/>
  <c r="E387" i="3"/>
  <c r="R6" i="3"/>
  <c r="E125" i="3"/>
  <c r="AH6" i="3"/>
  <c r="P6" i="3"/>
  <c r="E84" i="3"/>
  <c r="AP6" i="3"/>
  <c r="E431" i="3"/>
  <c r="E70" i="3"/>
  <c r="E38" i="3"/>
  <c r="E151" i="3"/>
  <c r="E313" i="3"/>
  <c r="E53" i="3"/>
  <c r="E405" i="3"/>
  <c r="W6" i="3"/>
  <c r="E136" i="3"/>
  <c r="E568" i="3"/>
  <c r="E85" i="3"/>
  <c r="E539" i="3"/>
  <c r="E332" i="3"/>
  <c r="E245" i="3"/>
  <c r="E139" i="3"/>
  <c r="E52" i="3"/>
  <c r="E445" i="3"/>
  <c r="E451" i="3"/>
  <c r="E556" i="3"/>
  <c r="U6" i="3"/>
  <c r="E291" i="3"/>
  <c r="E305" i="3"/>
  <c r="E527" i="3"/>
  <c r="E73" i="3"/>
  <c r="E365" i="3"/>
  <c r="E126" i="3"/>
  <c r="E248" i="3"/>
  <c r="E211"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350" i="3"/>
  <c r="E338" i="3"/>
  <c r="E330" i="3"/>
  <c r="E316" i="3"/>
  <c r="E502" i="3"/>
  <c r="E542" i="3"/>
  <c r="E566" i="3"/>
  <c r="E571" i="3"/>
  <c r="E559" i="3"/>
  <c r="E554" i="3"/>
  <c r="E546" i="3"/>
  <c r="E544" i="3"/>
  <c r="E532" i="3"/>
  <c r="E531" i="3"/>
  <c r="E523" i="3"/>
  <c r="E497" i="3"/>
  <c r="E489" i="3"/>
  <c r="E537" i="3"/>
  <c r="E362" i="3"/>
  <c r="E485" i="3"/>
  <c r="E521" i="3"/>
  <c r="E411" i="3"/>
  <c r="E41" i="3"/>
  <c r="E418" i="3"/>
  <c r="E92" i="3"/>
  <c r="E414" i="3"/>
  <c r="E202" i="3"/>
  <c r="E376" i="3"/>
  <c r="E294" i="3"/>
  <c r="E21" i="3"/>
  <c r="E64" i="3"/>
  <c r="E140" i="3"/>
  <c r="E343" i="3"/>
  <c r="E142" i="3"/>
  <c r="E410" i="3"/>
  <c r="E468" i="3"/>
  <c r="E109" i="3"/>
  <c r="E185" i="3"/>
  <c r="E148" i="3"/>
  <c r="E27" i="3"/>
  <c r="E412" i="3"/>
  <c r="E469" i="3"/>
  <c r="E293" i="3"/>
  <c r="E113" i="3"/>
  <c r="E79" i="3"/>
  <c r="E425" i="3"/>
  <c r="E401" i="3"/>
  <c r="E257" i="3"/>
  <c r="E272" i="3"/>
  <c r="E166" i="3"/>
  <c r="E102" i="3"/>
  <c r="O6" i="3"/>
  <c r="E25" i="3"/>
  <c r="E204" i="3"/>
  <c r="E258" i="3"/>
  <c r="E207" i="3"/>
  <c r="E479" i="3"/>
  <c r="E449" i="3"/>
  <c r="E43" i="3"/>
  <c r="E196" i="3"/>
  <c r="E276" i="3"/>
  <c r="E259" i="3"/>
  <c r="E370"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W19" i="21"/>
  <c r="AC19" i="21"/>
  <c r="E548" i="3"/>
  <c r="E495" i="3"/>
  <c r="D31" i="59"/>
  <c r="T31" i="59"/>
  <c r="E6" i="59"/>
  <c r="E5" i="59" s="1"/>
  <c r="U7" i="59"/>
  <c r="B6" i="59"/>
  <c r="B5" i="59" s="1"/>
  <c r="S7" i="59"/>
  <c r="E16" i="3"/>
  <c r="E553" i="3"/>
  <c r="E486" i="3"/>
  <c r="D57" i="59"/>
  <c r="O56" i="59"/>
  <c r="O57" i="59"/>
  <c r="D13" i="59"/>
  <c r="C12" i="59"/>
  <c r="F10" i="59"/>
  <c r="F9" i="59" s="1"/>
  <c r="F8" i="59" s="1"/>
  <c r="F7" i="59" s="1"/>
  <c r="V11" i="59"/>
  <c r="E72" i="39"/>
  <c r="F70" i="39"/>
  <c r="AA17" i="39"/>
  <c r="S17" i="39"/>
  <c r="Q62" i="69"/>
  <c r="Q74" i="69"/>
  <c r="Q58" i="69"/>
  <c r="C32" i="69"/>
  <c r="F1" i="69"/>
  <c r="J5" i="69"/>
  <c r="J26" i="69" s="1"/>
  <c r="C48" i="69"/>
  <c r="C24" i="69"/>
  <c r="C52" i="69"/>
  <c r="C10" i="69"/>
  <c r="C5" i="69" s="1"/>
  <c r="S8" i="1"/>
  <c r="F31" i="6"/>
  <c r="K23" i="6"/>
  <c r="M23" i="6" s="1"/>
  <c r="I23" i="6" s="1"/>
  <c r="K22" i="6"/>
  <c r="K24" i="6"/>
  <c r="M24" i="6" s="1"/>
  <c r="I24" i="6" s="1"/>
  <c r="S24" i="6"/>
  <c r="K16" i="1"/>
  <c r="M14" i="1"/>
  <c r="S12" i="40"/>
  <c r="W12" i="40"/>
  <c r="AB12" i="39"/>
  <c r="K67" i="40"/>
  <c r="L65" i="40"/>
  <c r="G41" i="36"/>
  <c r="H41" i="36" s="1"/>
  <c r="G40" i="36"/>
  <c r="H40" i="36" s="1"/>
  <c r="G58" i="33"/>
  <c r="G54" i="34"/>
  <c r="H54" i="34" s="1"/>
  <c r="G53" i="34"/>
  <c r="H53" i="34" s="1"/>
  <c r="G46" i="37"/>
  <c r="H46" i="37" s="1"/>
  <c r="G47" i="37"/>
  <c r="H47" i="37" s="1"/>
  <c r="G42" i="35"/>
  <c r="H42" i="35" s="1"/>
  <c r="H58" i="21"/>
  <c r="I46" i="37"/>
  <c r="J46" i="37" s="1"/>
  <c r="R39" i="35"/>
  <c r="E38" i="35"/>
  <c r="W7" i="35"/>
  <c r="AC7" i="35"/>
  <c r="V38" i="35" s="1"/>
  <c r="I38" i="35" s="1"/>
  <c r="G43" i="35" s="1"/>
  <c r="H43" i="35" s="1"/>
  <c r="R37" i="36"/>
  <c r="E36" i="36"/>
  <c r="I40" i="36"/>
  <c r="J40" i="36" s="1"/>
  <c r="I41" i="36"/>
  <c r="J41" i="36" s="1"/>
  <c r="R50" i="34"/>
  <c r="E49" i="34"/>
  <c r="R43" i="37"/>
  <c r="E42" i="37"/>
  <c r="I53" i="34"/>
  <c r="J53" i="34" s="1"/>
  <c r="I54" i="34"/>
  <c r="J54" i="34" s="1"/>
  <c r="T7" i="46"/>
  <c r="V7" i="46" s="1"/>
  <c r="T4" i="46"/>
  <c r="V4" i="46" s="1"/>
  <c r="T14" i="46"/>
  <c r="V14" i="46" s="1"/>
  <c r="C36" i="46"/>
  <c r="G36" i="46" s="1"/>
  <c r="I36" i="46" s="1"/>
  <c r="C29" i="46"/>
  <c r="C30" i="46" s="1"/>
  <c r="E30" i="46" s="1"/>
  <c r="T3" i="46"/>
  <c r="V3" i="46" s="1"/>
  <c r="C38" i="46"/>
  <c r="E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8" i="46"/>
  <c r="I38"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7" i="69"/>
  <c r="F41" i="15"/>
  <c r="AE8" i="1"/>
  <c r="K19" i="6" l="1"/>
  <c r="S6" i="1" s="1"/>
  <c r="K25" i="6"/>
  <c r="M25" i="6" s="1"/>
  <c r="I25" i="6" s="1"/>
  <c r="K20" i="6"/>
  <c r="M20" i="6" s="1"/>
  <c r="I20" i="6" s="1"/>
  <c r="E31" i="6"/>
  <c r="AB12" i="40"/>
  <c r="H6" i="3"/>
  <c r="C11" i="59"/>
  <c r="D12" i="59"/>
  <c r="AC6" i="3"/>
  <c r="D27" i="59"/>
  <c r="T27" i="59"/>
  <c r="D3" i="6"/>
  <c r="H24" i="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AY473" i="3"/>
  <c r="AY462" i="3"/>
  <c r="AY551" i="3"/>
  <c r="AY51" i="3"/>
  <c r="AY541" i="3"/>
  <c r="AY94" i="3"/>
  <c r="AY167" i="3"/>
  <c r="AY511" i="3"/>
  <c r="AY439" i="3"/>
  <c r="AY536" i="3"/>
  <c r="AY180" i="3"/>
  <c r="BJ6" i="3"/>
  <c r="AY477" i="3"/>
  <c r="AY517" i="3"/>
  <c r="AY292" i="3"/>
  <c r="AY535" i="3"/>
  <c r="AY452" i="3"/>
  <c r="AY523" i="3"/>
  <c r="AY80" i="3"/>
  <c r="AY58" i="3"/>
  <c r="AY179" i="3"/>
  <c r="AY100" i="3"/>
  <c r="AY126" i="3"/>
  <c r="AY118" i="3"/>
  <c r="AY209" i="3"/>
  <c r="AY416" i="3"/>
  <c r="AY55" i="3"/>
  <c r="AY250" i="3"/>
  <c r="AY560" i="3"/>
  <c r="AY141" i="3"/>
  <c r="AY310" i="3"/>
  <c r="AY459" i="3"/>
  <c r="AY226" i="3"/>
  <c r="AY400"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163" i="3"/>
  <c r="AY385" i="3"/>
  <c r="AY492" i="3"/>
  <c r="AY15" i="3"/>
  <c r="AY355" i="3"/>
  <c r="AY220" i="3"/>
  <c r="BR6" i="3"/>
  <c r="AY497" i="3"/>
  <c r="AY285" i="3"/>
  <c r="AY404" i="3"/>
  <c r="AY327" i="3"/>
  <c r="AY567" i="3"/>
  <c r="AY538" i="3"/>
  <c r="AY534" i="3"/>
  <c r="AY557" i="3"/>
  <c r="AY478" i="3"/>
  <c r="AY418" i="3"/>
  <c r="AY434"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196" i="3"/>
  <c r="AY165" i="3"/>
  <c r="AY570" i="3"/>
  <c r="AY255" i="3"/>
  <c r="AY521" i="3"/>
  <c r="AY354" i="3"/>
  <c r="BE6" i="3"/>
  <c r="AY121" i="3"/>
  <c r="AY508" i="3"/>
  <c r="AY486" i="3"/>
  <c r="AY67" i="3"/>
  <c r="AY159" i="3"/>
  <c r="AY105" i="3"/>
  <c r="AY47" i="3"/>
  <c r="AY31" i="3"/>
  <c r="AY234" i="3"/>
  <c r="AY317" i="3"/>
  <c r="AY402" i="3"/>
  <c r="AY181" i="3"/>
  <c r="AY343" i="3"/>
  <c r="AY65" i="3"/>
  <c r="AY265" i="3"/>
  <c r="AY350" i="3"/>
  <c r="AY50" i="3"/>
  <c r="AY346" i="3"/>
  <c r="AY161"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222" i="3"/>
  <c r="AY390" i="3"/>
  <c r="AY540" i="3"/>
  <c r="AY484" i="3"/>
  <c r="AY505" i="3"/>
  <c r="AY17" i="3"/>
  <c r="AY563" i="3"/>
  <c r="AY68" i="3"/>
  <c r="AY357" i="3"/>
  <c r="AY133" i="3"/>
  <c r="AY84" i="3"/>
  <c r="AY276" i="3"/>
  <c r="AY436" i="3"/>
  <c r="AY113" i="3"/>
  <c r="AY192" i="3"/>
  <c r="AY387" i="3"/>
  <c r="AY410"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26" i="3"/>
  <c r="AY373" i="3"/>
  <c r="AY301" i="3"/>
  <c r="AY466" i="3"/>
  <c r="AY496" i="3"/>
  <c r="AY474" i="3"/>
  <c r="AY482" i="3"/>
  <c r="AY441" i="3"/>
  <c r="AY491" i="3"/>
  <c r="BO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BG6" i="3"/>
  <c r="BF6"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F6" i="59"/>
  <c r="F5" i="59" s="1"/>
  <c r="V7" i="59"/>
  <c r="J33" i="21"/>
  <c r="F33" i="21"/>
  <c r="H33" i="21"/>
  <c r="D16" i="43"/>
  <c r="C16" i="43" s="1"/>
  <c r="D16" i="12"/>
  <c r="C21" i="4"/>
  <c r="L38" i="9"/>
  <c r="B14" i="66" s="1"/>
  <c r="B1" i="66" s="1"/>
  <c r="D45" i="9"/>
  <c r="E6" i="6"/>
  <c r="D46" i="9"/>
  <c r="C47" i="69"/>
  <c r="C60" i="69" s="1"/>
  <c r="F72" i="39"/>
  <c r="G70" i="39"/>
  <c r="J24" i="69"/>
  <c r="S23" i="6"/>
  <c r="C38" i="69"/>
  <c r="M22" i="6"/>
  <c r="I22" i="6" s="1"/>
  <c r="S9" i="1"/>
  <c r="M19" i="6"/>
  <c r="I19" i="6" s="1"/>
  <c r="S25" i="6"/>
  <c r="S7" i="1"/>
  <c r="S20" i="6"/>
  <c r="F68" i="15"/>
  <c r="O14" i="1"/>
  <c r="O16" i="1" s="1"/>
  <c r="M16" i="1"/>
  <c r="N16" i="1" s="1"/>
  <c r="C29" i="43" s="1"/>
  <c r="P14" i="1"/>
  <c r="P16" i="1" s="1"/>
  <c r="C13" i="12" s="1"/>
  <c r="E37" i="46"/>
  <c r="G39" i="46"/>
  <c r="I39" i="46" s="1"/>
  <c r="G33" i="46"/>
  <c r="I33" i="46" s="1"/>
  <c r="C27" i="46" s="1"/>
  <c r="E35" i="46"/>
  <c r="E36" i="46"/>
  <c r="C43" i="37"/>
  <c r="B3" i="37" s="1"/>
  <c r="B2" i="37" s="1"/>
  <c r="C42" i="37"/>
  <c r="C50" i="34"/>
  <c r="B3" i="34" s="1"/>
  <c r="B2" i="34" s="1"/>
  <c r="C49" i="34"/>
  <c r="C37" i="36"/>
  <c r="B3" i="36" s="1"/>
  <c r="B2" i="36" s="1"/>
  <c r="C36" i="36"/>
  <c r="C38" i="35"/>
  <c r="C39" i="35"/>
  <c r="B3" i="35" s="1"/>
  <c r="B2" i="35" s="1"/>
  <c r="I58" i="21"/>
  <c r="H58" i="33"/>
  <c r="E47" i="37"/>
  <c r="F47" i="37" s="1"/>
  <c r="E46" i="37"/>
  <c r="F46" i="37" s="1"/>
  <c r="E54" i="34"/>
  <c r="F54" i="34" s="1"/>
  <c r="E53" i="34"/>
  <c r="F53" i="34" s="1"/>
  <c r="E40" i="36"/>
  <c r="F40" i="36" s="1"/>
  <c r="E41" i="36"/>
  <c r="F41" i="36" s="1"/>
  <c r="I42" i="35"/>
  <c r="J42" i="35" s="1"/>
  <c r="I43" i="35"/>
  <c r="J43" i="35" s="1"/>
  <c r="E43" i="35"/>
  <c r="F43" i="35" s="1"/>
  <c r="E42" i="35"/>
  <c r="F42" i="35" s="1"/>
  <c r="I47" i="37"/>
  <c r="J47" i="37" s="1"/>
  <c r="M65" i="40"/>
  <c r="L67" i="40"/>
  <c r="E29" i="46"/>
  <c r="C65" i="15"/>
  <c r="C59" i="15"/>
  <c r="B3" i="11"/>
  <c r="C27" i="12"/>
  <c r="D26" i="12" s="1"/>
  <c r="C32" i="12" s="1"/>
  <c r="D30" i="12" s="1"/>
  <c r="J26" i="15"/>
  <c r="J29" i="15" s="1"/>
  <c r="J24" i="15"/>
  <c r="C38" i="15"/>
  <c r="Q58" i="44"/>
  <c r="Q67" i="44"/>
  <c r="Q49" i="44"/>
  <c r="Q55" i="44" s="1"/>
  <c r="C17" i="15"/>
  <c r="C19" i="44"/>
  <c r="F41" i="69"/>
  <c r="F7" i="67"/>
  <c r="K27" i="6" l="1"/>
  <c r="H23" i="6"/>
  <c r="E6" i="3"/>
  <c r="B4" i="11"/>
  <c r="B5" i="11"/>
  <c r="H20" i="6"/>
  <c r="O5" i="54"/>
  <c r="B45" i="63" s="1"/>
  <c r="S33" i="21"/>
  <c r="AA33" i="21"/>
  <c r="C10" i="59"/>
  <c r="D11" i="59"/>
  <c r="T11" i="59"/>
  <c r="D22" i="12"/>
  <c r="C22" i="12" s="1"/>
  <c r="C20" i="12" s="1"/>
  <c r="D13" i="11"/>
  <c r="C13" i="11" s="1"/>
  <c r="C7" i="66"/>
  <c r="C8" i="66"/>
  <c r="D19" i="12"/>
  <c r="C19" i="12" s="1"/>
  <c r="C16" i="12"/>
  <c r="U33" i="21"/>
  <c r="AB33" i="21"/>
  <c r="W33" i="21"/>
  <c r="AC33" i="21"/>
  <c r="C22" i="4"/>
  <c r="E63" i="40"/>
  <c r="D5" i="6"/>
  <c r="D24" i="6"/>
  <c r="R24" i="6" s="1"/>
  <c r="F46" i="9"/>
  <c r="D19" i="6"/>
  <c r="D9" i="6"/>
  <c r="K38" i="9"/>
  <c r="C14" i="66" s="1"/>
  <c r="B2" i="66" s="1"/>
  <c r="D28" i="6"/>
  <c r="D21" i="6"/>
  <c r="E45" i="9"/>
  <c r="D25" i="6"/>
  <c r="D22" i="6"/>
  <c r="D20" i="6"/>
  <c r="R7" i="1" s="1"/>
  <c r="E46" i="9"/>
  <c r="D26" i="6"/>
  <c r="F45" i="9"/>
  <c r="D23" i="6"/>
  <c r="R23" i="6" s="1"/>
  <c r="D12" i="6"/>
  <c r="D10" i="6"/>
  <c r="D29" i="6"/>
  <c r="D30" i="6" s="1"/>
  <c r="D13" i="6"/>
  <c r="D11" i="6"/>
  <c r="D15" i="6"/>
  <c r="D8" i="6"/>
  <c r="D14" i="6"/>
  <c r="D6" i="6"/>
  <c r="H26" i="6"/>
  <c r="R26" i="6" s="1"/>
  <c r="H21" i="6"/>
  <c r="H25" i="6"/>
  <c r="R25" i="6" s="1"/>
  <c r="C59" i="69"/>
  <c r="C65" i="69"/>
  <c r="H70" i="39"/>
  <c r="G72" i="39"/>
  <c r="F68" i="69"/>
  <c r="J29" i="69"/>
  <c r="S16" i="1"/>
  <c r="T6" i="1" s="1"/>
  <c r="H22" i="6"/>
  <c r="S22" i="6"/>
  <c r="M27" i="6"/>
  <c r="I27" i="6"/>
  <c r="H19" i="6"/>
  <c r="S19" i="6"/>
  <c r="L16" i="1"/>
  <c r="C13" i="43"/>
  <c r="C14" i="12"/>
  <c r="C17" i="12"/>
  <c r="N65" i="40"/>
  <c r="N67" i="40" s="1"/>
  <c r="F9" i="40" s="1"/>
  <c r="M67" i="40"/>
  <c r="H9" i="40"/>
  <c r="J9" i="40"/>
  <c r="I58" i="33"/>
  <c r="J58" i="21"/>
  <c r="E4" i="67"/>
  <c r="C26" i="46"/>
  <c r="B2" i="46" s="1"/>
  <c r="D77" i="9"/>
  <c r="N75" i="9" s="1"/>
  <c r="F35" i="15"/>
  <c r="B7" i="67"/>
  <c r="M21" i="15"/>
  <c r="E7" i="67"/>
  <c r="D16" i="6" l="1"/>
  <c r="J20" i="15"/>
  <c r="C34" i="15"/>
  <c r="F62" i="15"/>
  <c r="C61" i="15" s="1"/>
  <c r="S27" i="6"/>
  <c r="R22" i="6"/>
  <c r="D7" i="66"/>
  <c r="D8" i="66"/>
  <c r="D27" i="6"/>
  <c r="D31" i="6" s="1"/>
  <c r="C9" i="59"/>
  <c r="D10" i="59"/>
  <c r="N5" i="54"/>
  <c r="B43" i="63" s="1"/>
  <c r="A20" i="51"/>
  <c r="B15" i="63" s="1"/>
  <c r="A20" i="64"/>
  <c r="A6" i="51"/>
  <c r="B7" i="63" s="1"/>
  <c r="A6" i="64"/>
  <c r="I70" i="39"/>
  <c r="H72" i="39"/>
  <c r="T11" i="1"/>
  <c r="T10" i="1"/>
  <c r="R9" i="1"/>
  <c r="R8" i="1"/>
  <c r="T13" i="1"/>
  <c r="T8" i="1"/>
  <c r="T9" i="1"/>
  <c r="T7" i="1"/>
  <c r="T12" i="1"/>
  <c r="C18" i="12"/>
  <c r="C23" i="12" s="1"/>
  <c r="C17" i="43"/>
  <c r="C14" i="43"/>
  <c r="H27" i="6"/>
  <c r="K58" i="21"/>
  <c r="L58" i="21" s="1"/>
  <c r="M58" i="21" s="1"/>
  <c r="N58" i="21" s="1"/>
  <c r="O58" i="21" s="1"/>
  <c r="F7" i="21" s="1"/>
  <c r="J58" i="33"/>
  <c r="K58" i="33" s="1"/>
  <c r="L58" i="33" s="1"/>
  <c r="M58" i="33" s="1"/>
  <c r="N58" i="33" s="1"/>
  <c r="O58" i="33" s="1"/>
  <c r="J7" i="33"/>
  <c r="H7" i="33"/>
  <c r="AC9" i="40"/>
  <c r="V44" i="40" s="1"/>
  <c r="I44" i="40" s="1"/>
  <c r="I48" i="40" s="1"/>
  <c r="J48" i="40" s="1"/>
  <c r="W9" i="40"/>
  <c r="U9" i="40"/>
  <c r="AB9" i="40"/>
  <c r="T44" i="40" s="1"/>
  <c r="G44" i="40" s="1"/>
  <c r="S9" i="40"/>
  <c r="AA9" i="40"/>
  <c r="R44" i="40" s="1"/>
  <c r="E3" i="67"/>
  <c r="B2" i="67"/>
  <c r="D4" i="46"/>
  <c r="B3" i="46"/>
  <c r="B4" i="46"/>
  <c r="C14" i="69"/>
  <c r="F35" i="69"/>
  <c r="C14" i="15"/>
  <c r="C16" i="44"/>
  <c r="M21" i="69"/>
  <c r="M23" i="44"/>
  <c r="F37" i="44"/>
  <c r="C18" i="15" l="1"/>
  <c r="C15" i="15"/>
  <c r="C18" i="69"/>
  <c r="C15" i="69"/>
  <c r="J20" i="69"/>
  <c r="C34" i="69"/>
  <c r="C31" i="69" s="1"/>
  <c r="F62" i="69"/>
  <c r="C61" i="69" s="1"/>
  <c r="C58" i="69" s="1"/>
  <c r="H7" i="21"/>
  <c r="I6" i="6"/>
  <c r="I5" i="6"/>
  <c r="C8" i="59"/>
  <c r="D9" i="59"/>
  <c r="I72" i="39"/>
  <c r="J70" i="39"/>
  <c r="C36" i="44"/>
  <c r="J22" i="44"/>
  <c r="T16" i="1"/>
  <c r="C17" i="44"/>
  <c r="C20" i="44"/>
  <c r="R27" i="6"/>
  <c r="R6" i="1"/>
  <c r="R16" i="1" s="1"/>
  <c r="C18" i="43"/>
  <c r="C19" i="43" s="1"/>
  <c r="C25" i="43" s="1"/>
  <c r="C24" i="43" s="1"/>
  <c r="F7" i="33"/>
  <c r="S7" i="33" s="1"/>
  <c r="J7" i="21"/>
  <c r="AC7" i="21" s="1"/>
  <c r="V48" i="21" s="1"/>
  <c r="I48" i="21" s="1"/>
  <c r="S7" i="21"/>
  <c r="AA7" i="21"/>
  <c r="R48" i="21" s="1"/>
  <c r="AB7" i="21"/>
  <c r="T48" i="21" s="1"/>
  <c r="G48" i="21" s="1"/>
  <c r="U7" i="21"/>
  <c r="R45" i="40"/>
  <c r="E44" i="40"/>
  <c r="G48" i="40"/>
  <c r="H48" i="40" s="1"/>
  <c r="G49" i="40"/>
  <c r="H49" i="40" s="1"/>
  <c r="U7" i="33"/>
  <c r="AB7" i="33"/>
  <c r="T48" i="33" s="1"/>
  <c r="G48" i="33" s="1"/>
  <c r="AC7" i="33"/>
  <c r="V48" i="33" s="1"/>
  <c r="I48" i="33" s="1"/>
  <c r="W7" i="33"/>
  <c r="B3" i="67"/>
  <c r="B4" i="67"/>
  <c r="C19" i="69" l="1"/>
  <c r="C20" i="69" s="1"/>
  <c r="C26" i="69" s="1"/>
  <c r="C19" i="15"/>
  <c r="C20" i="15" s="1"/>
  <c r="C23" i="15" s="1"/>
  <c r="C7" i="59"/>
  <c r="D8" i="59"/>
  <c r="AA7" i="33"/>
  <c r="R48" i="33" s="1"/>
  <c r="J72" i="39"/>
  <c r="K70" i="39"/>
  <c r="W7" i="21"/>
  <c r="C21" i="44"/>
  <c r="C22" i="44" s="1"/>
  <c r="C25" i="44" s="1"/>
  <c r="C33" i="15"/>
  <c r="C31" i="15" s="1"/>
  <c r="C22" i="43"/>
  <c r="C21" i="43" s="1"/>
  <c r="C28" i="43" s="1"/>
  <c r="C30" i="43" s="1"/>
  <c r="C32" i="43" s="1"/>
  <c r="B2" i="43" s="1"/>
  <c r="G52" i="33"/>
  <c r="H52" i="33" s="1"/>
  <c r="G53" i="33"/>
  <c r="H53" i="33" s="1"/>
  <c r="I49" i="40"/>
  <c r="J49" i="40" s="1"/>
  <c r="E49" i="40"/>
  <c r="F49" i="40" s="1"/>
  <c r="E48" i="40"/>
  <c r="F48" i="40" s="1"/>
  <c r="R49" i="21"/>
  <c r="E48" i="21"/>
  <c r="I53" i="21" s="1"/>
  <c r="J53" i="21" s="1"/>
  <c r="I52" i="21"/>
  <c r="J52" i="21" s="1"/>
  <c r="R49" i="33"/>
  <c r="E48" i="33"/>
  <c r="I53" i="33" s="1"/>
  <c r="J53" i="33" s="1"/>
  <c r="I52" i="33"/>
  <c r="J52" i="33" s="1"/>
  <c r="C44" i="40"/>
  <c r="C45" i="40"/>
  <c r="G52" i="21"/>
  <c r="H52" i="21" s="1"/>
  <c r="G53" i="21"/>
  <c r="H53" i="21" s="1"/>
  <c r="C26" i="15" l="1"/>
  <c r="C29" i="15" s="1"/>
  <c r="Q50" i="15" s="1"/>
  <c r="C23" i="69"/>
  <c r="C29" i="69" s="1"/>
  <c r="J59" i="69" s="1"/>
  <c r="J60" i="69" s="1"/>
  <c r="Q49" i="69" s="1"/>
  <c r="C6" i="59"/>
  <c r="T7" i="59"/>
  <c r="D7" i="59"/>
  <c r="L70" i="39"/>
  <c r="K72" i="39"/>
  <c r="C28" i="44"/>
  <c r="C31" i="44" s="1"/>
  <c r="Q51" i="44" s="1"/>
  <c r="B3" i="43"/>
  <c r="B5" i="43"/>
  <c r="B4" i="43"/>
  <c r="C60" i="15"/>
  <c r="C58" i="15" s="1"/>
  <c r="C48" i="33"/>
  <c r="C49" i="33"/>
  <c r="B3" i="33" s="1"/>
  <c r="B2" i="33" s="1"/>
  <c r="B60" i="40"/>
  <c r="F60" i="40" s="1"/>
  <c r="B57" i="40"/>
  <c r="F57" i="40" s="1"/>
  <c r="B61" i="40"/>
  <c r="F61" i="40" s="1"/>
  <c r="B62" i="40"/>
  <c r="F62" i="40" s="1"/>
  <c r="F63" i="40"/>
  <c r="B2" i="40" s="1"/>
  <c r="B58" i="40"/>
  <c r="F58" i="40" s="1"/>
  <c r="B55" i="40"/>
  <c r="F55" i="40" s="1"/>
  <c r="B56" i="40"/>
  <c r="F56" i="40" s="1"/>
  <c r="B59" i="40"/>
  <c r="F59" i="40" s="1"/>
  <c r="B53" i="40"/>
  <c r="F53" i="40" s="1"/>
  <c r="B54" i="40"/>
  <c r="F54" i="40" s="1"/>
  <c r="E52" i="33"/>
  <c r="F52" i="33" s="1"/>
  <c r="E53" i="33"/>
  <c r="F53" i="33" s="1"/>
  <c r="E53" i="21"/>
  <c r="F53" i="21" s="1"/>
  <c r="E52" i="21"/>
  <c r="F52" i="21" s="1"/>
  <c r="C49" i="21"/>
  <c r="B3" i="21" s="1"/>
  <c r="B2" i="21" s="1"/>
  <c r="C10" i="12" s="1"/>
  <c r="C48" i="21"/>
  <c r="C8" i="12" s="1"/>
  <c r="J14" i="15" l="1"/>
  <c r="J13" i="15" s="1"/>
  <c r="J23" i="15" s="1"/>
  <c r="J59" i="15"/>
  <c r="J60" i="15" s="1"/>
  <c r="Q49" i="15" s="1"/>
  <c r="C56" i="15"/>
  <c r="C63" i="15" s="1"/>
  <c r="J19" i="15"/>
  <c r="J17" i="15" s="1"/>
  <c r="C36" i="15"/>
  <c r="C13" i="15"/>
  <c r="J19" i="69"/>
  <c r="J17" i="69" s="1"/>
  <c r="C56" i="69"/>
  <c r="C63" i="69" s="1"/>
  <c r="C13" i="69"/>
  <c r="C55" i="69" s="1"/>
  <c r="C64" i="69" s="1"/>
  <c r="C36" i="69"/>
  <c r="J14" i="69"/>
  <c r="J22" i="69" s="1"/>
  <c r="Q50" i="69"/>
  <c r="D6" i="59"/>
  <c r="C5" i="59"/>
  <c r="M70" i="39"/>
  <c r="L72" i="39"/>
  <c r="J22" i="15"/>
  <c r="C55" i="15"/>
  <c r="C64" i="15" s="1"/>
  <c r="J16" i="44"/>
  <c r="C38" i="44"/>
  <c r="C15" i="44"/>
  <c r="C39" i="44" s="1"/>
  <c r="C35" i="44"/>
  <c r="C33" i="44" s="1"/>
  <c r="J21" i="44"/>
  <c r="J19" i="44" s="1"/>
  <c r="L57" i="15"/>
  <c r="L60" i="15" s="1"/>
  <c r="Q58" i="15" s="1"/>
  <c r="B4" i="40"/>
  <c r="B3" i="40"/>
  <c r="B5" i="40"/>
  <c r="C57" i="15" l="1"/>
  <c r="C66" i="15" s="1"/>
  <c r="C67" i="15" s="1"/>
  <c r="C70" i="15" s="1"/>
  <c r="J16" i="15"/>
  <c r="J25" i="15" s="1"/>
  <c r="Q71" i="15"/>
  <c r="C37" i="15"/>
  <c r="C30" i="15" s="1"/>
  <c r="C39" i="15" s="1"/>
  <c r="J35" i="15"/>
  <c r="C37" i="69"/>
  <c r="C30" i="69" s="1"/>
  <c r="C39" i="69" s="1"/>
  <c r="C40" i="69" s="1"/>
  <c r="C57" i="69"/>
  <c r="C66" i="69" s="1"/>
  <c r="C67" i="69" s="1"/>
  <c r="C70" i="69" s="1"/>
  <c r="J13" i="69"/>
  <c r="J23" i="69" s="1"/>
  <c r="J16" i="69" s="1"/>
  <c r="J25" i="69" s="1"/>
  <c r="Q71" i="69"/>
  <c r="J35" i="69"/>
  <c r="D5" i="59"/>
  <c r="M20" i="46"/>
  <c r="J9" i="39"/>
  <c r="M72" i="39"/>
  <c r="N70" i="39"/>
  <c r="N72" i="39" s="1"/>
  <c r="C32" i="44"/>
  <c r="C42" i="44" s="1"/>
  <c r="Q71" i="44" s="1"/>
  <c r="Q72" i="44"/>
  <c r="J15" i="44"/>
  <c r="J25" i="44" s="1"/>
  <c r="J24" i="44"/>
  <c r="C43" i="44"/>
  <c r="Q67" i="15"/>
  <c r="L46" i="15"/>
  <c r="C40" i="15" l="1"/>
  <c r="Q70" i="15"/>
  <c r="Q69" i="15" s="1"/>
  <c r="J39" i="15"/>
  <c r="J40" i="15" s="1"/>
  <c r="J39" i="69"/>
  <c r="J40" i="69" s="1"/>
  <c r="Q70" i="69"/>
  <c r="Q69" i="69" s="1"/>
  <c r="H9" i="39"/>
  <c r="AB9" i="39" s="1"/>
  <c r="T49" i="39" s="1"/>
  <c r="G49" i="39" s="1"/>
  <c r="C46" i="69"/>
  <c r="Q57" i="69"/>
  <c r="Q63" i="69" s="1"/>
  <c r="C43" i="69"/>
  <c r="Q66" i="69"/>
  <c r="Q76" i="69" s="1"/>
  <c r="Q48" i="69"/>
  <c r="Q54" i="69" s="1"/>
  <c r="B2" i="69"/>
  <c r="J42" i="69"/>
  <c r="J43" i="69" s="1"/>
  <c r="F9" i="39"/>
  <c r="AC9" i="39"/>
  <c r="V49" i="39" s="1"/>
  <c r="I49" i="39" s="1"/>
  <c r="I53" i="39" s="1"/>
  <c r="J53" i="39" s="1"/>
  <c r="W9" i="39"/>
  <c r="C44" i="44"/>
  <c r="C45" i="44" s="1"/>
  <c r="L52" i="44" s="1"/>
  <c r="Q70" i="44"/>
  <c r="J18" i="44"/>
  <c r="J27" i="44" s="1"/>
  <c r="L51" i="69"/>
  <c r="L51" i="15"/>
  <c r="Q68" i="69" l="1"/>
  <c r="Q68" i="15"/>
  <c r="Q57" i="15"/>
  <c r="Q63" i="15" s="1"/>
  <c r="B2" i="15"/>
  <c r="Q48" i="15"/>
  <c r="Q54" i="15" s="1"/>
  <c r="C46" i="15"/>
  <c r="Q66" i="15"/>
  <c r="Q76" i="15" s="1"/>
  <c r="J42" i="15"/>
  <c r="J43" i="15" s="1"/>
  <c r="C43" i="15"/>
  <c r="U9" i="39"/>
  <c r="E10" i="12"/>
  <c r="M10" i="12" s="1"/>
  <c r="B3" i="69"/>
  <c r="E8" i="12" s="1"/>
  <c r="AA9" i="39"/>
  <c r="R49" i="39" s="1"/>
  <c r="S9" i="39"/>
  <c r="G53" i="39"/>
  <c r="H53" i="39" s="1"/>
  <c r="G54" i="39"/>
  <c r="H54" i="39" s="1"/>
  <c r="L58" i="44"/>
  <c r="L61" i="44" s="1"/>
  <c r="L47" i="44" s="1"/>
  <c r="Q69" i="44"/>
  <c r="B2" i="44"/>
  <c r="D10" i="12" l="1"/>
  <c r="C6" i="12" s="1"/>
  <c r="C24" i="12" s="1"/>
  <c r="B3" i="15"/>
  <c r="D8" i="12" s="1"/>
  <c r="E49" i="39"/>
  <c r="R50" i="39"/>
  <c r="Q59" i="44"/>
  <c r="Q64" i="44" s="1"/>
  <c r="B3" i="44"/>
  <c r="B4" i="44"/>
  <c r="B5" i="44"/>
  <c r="Q68" i="44"/>
  <c r="Q77" i="44" s="1"/>
  <c r="C35" i="12" l="1"/>
  <c r="C33" i="12" s="1"/>
  <c r="C28" i="12"/>
  <c r="C26" i="12" s="1"/>
  <c r="C29" i="12"/>
  <c r="C50" i="39"/>
  <c r="C49" i="39"/>
  <c r="I54" i="39"/>
  <c r="J54" i="39" s="1"/>
  <c r="E54" i="39"/>
  <c r="F54" i="39" s="1"/>
  <c r="E53" i="39"/>
  <c r="F53" i="39" s="1"/>
  <c r="C31" i="12" l="1"/>
  <c r="C30" i="12" s="1"/>
  <c r="C36" i="12" s="1"/>
  <c r="B2" i="12" s="1"/>
  <c r="B3" i="12" s="1"/>
  <c r="B61" i="39"/>
  <c r="F61" i="39" s="1"/>
  <c r="B66" i="39"/>
  <c r="F66" i="39" s="1"/>
  <c r="B64" i="39"/>
  <c r="F64" i="39" s="1"/>
  <c r="B63" i="39"/>
  <c r="F63" i="39" s="1"/>
  <c r="B58" i="39"/>
  <c r="F58" i="39" s="1"/>
  <c r="B59" i="39"/>
  <c r="F59" i="39" s="1"/>
  <c r="B62" i="39"/>
  <c r="F62" i="39" s="1"/>
  <c r="B65" i="39"/>
  <c r="F65" i="39" s="1"/>
  <c r="B67" i="39"/>
  <c r="F67" i="39" s="1"/>
  <c r="B60" i="39"/>
  <c r="F60" i="39" s="1"/>
  <c r="D19" i="9"/>
  <c r="D20" i="9"/>
  <c r="B5" i="12" l="1"/>
  <c r="B4" i="12"/>
  <c r="L44" i="9"/>
  <c r="F68" i="39"/>
  <c r="B2" i="39" s="1"/>
  <c r="C19" i="9"/>
  <c r="D21" i="9"/>
  <c r="L43" i="9" l="1"/>
  <c r="D22" i="9"/>
  <c r="G19" i="9"/>
  <c r="B4" i="39"/>
  <c r="B5" i="39"/>
  <c r="B3" i="39"/>
  <c r="C20" i="9"/>
  <c r="C21" i="9"/>
  <c r="G20" i="9" l="1"/>
  <c r="G21" i="9"/>
  <c r="G22" i="9"/>
  <c r="C32" i="9"/>
  <c r="N43" i="9"/>
  <c r="C42" i="9" l="1"/>
  <c r="C33" i="9"/>
  <c r="O38" i="9"/>
  <c r="C35" i="9"/>
  <c r="F42" i="9" s="1"/>
  <c r="C34" i="9"/>
  <c r="O43" i="9"/>
  <c r="M38" i="9" l="1"/>
  <c r="K27" i="9" s="1"/>
  <c r="E42" i="9"/>
  <c r="P5" i="54" s="1"/>
  <c r="B46" i="63" s="1"/>
  <c r="K25" i="9"/>
  <c r="K26" i="9"/>
  <c r="C44" i="9"/>
  <c r="D63" i="9"/>
  <c r="N68" i="9"/>
  <c r="R5" i="54"/>
  <c r="B48" i="63" s="1"/>
  <c r="D14" i="66"/>
  <c r="N38" i="9"/>
  <c r="K28" i="9" s="1"/>
  <c r="D42" i="9"/>
  <c r="Q5" i="54" s="1"/>
  <c r="B47" i="63" s="1"/>
  <c r="C82" i="9" l="1"/>
  <c r="C81" i="9" s="1"/>
  <c r="C85" i="9" s="1"/>
  <c r="C86" i="9" s="1"/>
  <c r="D72" i="9" s="1"/>
  <c r="D71" i="9"/>
  <c r="D66" i="9" s="1"/>
  <c r="N72" i="9" s="1"/>
  <c r="C96" i="9"/>
  <c r="C91" i="9" s="1"/>
  <c r="C90" i="9"/>
  <c r="C111" i="9"/>
  <c r="C104" i="9" s="1"/>
  <c r="D70" i="9"/>
  <c r="D73" i="9"/>
  <c r="N73" i="9" s="1"/>
  <c r="C103" i="9"/>
  <c r="B5" i="66"/>
  <c r="E14" i="66"/>
  <c r="F14" i="66"/>
  <c r="F44" i="9"/>
  <c r="D44" i="9"/>
  <c r="N69" i="9"/>
  <c r="O39" i="9"/>
  <c r="G14" i="66"/>
  <c r="B6" i="66" s="1"/>
  <c r="E44" i="9"/>
  <c r="K29" i="9" l="1"/>
  <c r="K30" i="9" s="1"/>
  <c r="R6" i="54"/>
  <c r="B50" i="63" s="1"/>
  <c r="C5" i="66"/>
  <c r="D5" i="66"/>
  <c r="C6" i="66"/>
  <c r="D6" i="66"/>
  <c r="M86" i="9"/>
  <c r="N86" i="9" s="1"/>
  <c r="M85" i="9"/>
  <c r="N85" i="9" s="1"/>
  <c r="M83" i="9"/>
  <c r="N83" i="9" s="1"/>
  <c r="M87" i="9"/>
  <c r="N87" i="9" s="1"/>
  <c r="M88" i="9"/>
  <c r="N88" i="9" s="1"/>
  <c r="M84" i="9"/>
  <c r="N84" i="9" s="1"/>
  <c r="C113" i="9"/>
  <c r="C97" i="9"/>
  <c r="C114" i="9" l="1"/>
  <c r="E114" i="9" s="1"/>
  <c r="E115" i="9" s="1"/>
  <c r="N89" i="9"/>
  <c r="O89" i="9" s="1"/>
  <c r="C98" i="9"/>
  <c r="E98" i="9" s="1"/>
  <c r="E99" i="9" s="1"/>
  <c r="C99" i="9" l="1"/>
  <c r="C115" i="9"/>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<sst xmlns="http://schemas.openxmlformats.org/spreadsheetml/2006/main" count="7597" uniqueCount="3195">
  <si>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</si>
  <si>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</si>
  <si>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</si>
  <si>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</si>
  <si>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</si>
  <si>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</si>
  <si>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</si>
  <si>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</si>
  <si>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</si>
  <si>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</si>
  <si>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</si>
  <si>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</si>
  <si>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</si>
  <si>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</si>
  <si>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</si>
  <si>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</si>
  <si>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</si>
  <si>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</si>
  <si>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</si>
  <si>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</si>
  <si>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</si>
  <si>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</si>
  <si>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</si>
  <si>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</si>
  <si>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</si>
  <si>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</si>
  <si>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</si>
  <si>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</si>
  <si>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</si>
  <si>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</si>
  <si>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</si>
  <si>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</si>
  <si>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</si>
  <si>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</si>
  <si>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</si>
  <si>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</si>
  <si>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</si>
  <si>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</si>
  <si>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</si>
  <si>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</si>
  <si>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</si>
  <si>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</si>
  <si>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</si>
  <si>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</si>
  <si>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</si>
  <si>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</si>
  <si>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</si>
  <si>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</si>
  <si>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</si>
  <si>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</si>
  <si>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</si>
  <si>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</si>
  <si>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</si>
  <si>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</si>
  <si>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</si>
  <si>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</si>
  <si>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</si>
  <si>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</si>
  <si>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</si>
  <si>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</si>
  <si>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</si>
  <si>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</si>
  <si>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</si>
  <si>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</si>
  <si>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</si>
  <si>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</si>
  <si>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</si>
  <si>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</si>
  <si>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</si>
  <si>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</si>
  <si>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</si>
  <si>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</si>
  <si>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</si>
  <si>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</si>
  <si>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</si>
  <si>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</si>
  <si>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</si>
  <si>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</si>
  <si>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</si>
  <si>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</si>
  <si>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</si>
  <si>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</si>
  <si>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</si>
  <si>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</si>
  <si>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</si>
  <si>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</si>
  <si>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</si>
  <si>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</si>
  <si>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</si>
  <si>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</si>
  <si>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</si>
  <si>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</si>
  <si>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</si>
  <si>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</si>
  <si>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</si>
  <si>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</si>
  <si>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</si>
  <si>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</si>
  <si>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</si>
  <si>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</si>
  <si>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</si>
  <si>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</si>
  <si>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</si>
  <si>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</si>
  <si>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</si>
  <si>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</si>
  <si>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</si>
  <si>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</si>
  <si>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</si>
  <si>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</si>
  <si>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</si>
  <si>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</si>
  <si>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</si>
  <si>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</si>
  <si>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</si>
  <si>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</si>
  <si>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</si>
  <si>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</si>
  <si>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</si>
  <si>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</si>
  <si>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</si>
  <si>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</si>
  <si>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</si>
  <si>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</si>
  <si>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</si>
  <si>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</si>
  <si>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</si>
  <si>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</si>
  <si>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</si>
  <si>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</si>
  <si>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</si>
  <si>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</si>
  <si>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</si>
  <si>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</si>
  <si>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</si>
  <si>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</si>
  <si>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</si>
  <si>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</si>
  <si>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</si>
  <si>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</si>
  <si>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</si>
  <si>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</si>
  <si>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</si>
  <si>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</si>
  <si>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</si>
  <si>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</si>
  <si>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</si>
  <si>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</si>
  <si>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</si>
  <si>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</si>
  <si>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</si>
  <si>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</si>
  <si>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</si>
  <si>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</si>
  <si>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</si>
  <si>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</si>
  <si>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</si>
  <si>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</si>
  <si>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</si>
  <si>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</si>
  <si>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</si>
  <si>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</si>
  <si>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</si>
  <si>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</si>
  <si>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</si>
  <si>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</si>
  <si>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</si>
  <si>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</si>
  <si>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</si>
  <si>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</si>
  <si>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</si>
  <si>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</si>
  <si>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</si>
  <si>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</si>
  <si>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</si>
  <si>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</si>
  <si>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</si>
  <si>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</si>
  <si>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</si>
  <si>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</si>
  <si>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</si>
  <si>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</si>
  <si>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</si>
  <si>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</si>
  <si>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</si>
  <si>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</si>
  <si>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</si>
  <si>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</si>
  <si>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</si>
  <si>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</si>
  <si>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</si>
  <si>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</si>
  <si>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</si>
  <si>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</si>
  <si>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</si>
  <si>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</si>
  <si>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</si>
  <si>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</si>
  <si>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</si>
  <si>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</si>
  <si>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</si>
  <si>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</si>
  <si>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</si>
  <si>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</si>
  <si>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</si>
  <si>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</si>
  <si>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</si>
  <si>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</si>
  <si>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</si>
  <si>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</si>
  <si>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</si>
  <si>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</si>
  <si>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</si>
  <si>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</si>
  <si>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</si>
  <si>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</si>
  <si>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</si>
  <si>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</si>
  <si>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</si>
  <si>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</si>
  <si>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</si>
  <si>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</si>
  <si>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</si>
  <si>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</si>
  <si>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</si>
  <si>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</si>
  <si>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</si>
  <si>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</si>
  <si>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</si>
  <si>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</si>
  <si>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</si>
  <si>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</si>
  <si>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</si>
  <si>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</si>
  <si>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</si>
  <si>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</si>
  <si>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</si>
  <si>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</si>
  <si>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</si>
  <si>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</si>
  <si>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</si>
  <si>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</si>
  <si>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</si>
  <si>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</si>
  <si>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</si>
  <si>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</si>
  <si>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</si>
  <si>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</si>
  <si>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</si>
  <si>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</si>
  <si>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</si>
  <si>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</si>
  <si>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</si>
  <si>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</si>
  <si>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</si>
  <si>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</si>
  <si>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</si>
  <si>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</si>
  <si>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</si>
  <si>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</si>
  <si>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</si>
  <si>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</si>
  <si>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</si>
  <si>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</si>
  <si>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</si>
  <si>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</si>
  <si>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</si>
  <si>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</si>
  <si>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</si>
  <si>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</si>
  <si>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</si>
  <si>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</si>
  <si>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</si>
  <si>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</si>
  <si>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</si>
  <si>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</si>
  <si>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</si>
  <si>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</si>
  <si>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</si>
  <si>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</si>
  <si>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</si>
  <si>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</si>
  <si>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</si>
  <si>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</si>
  <si>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</si>
  <si>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</si>
  <si>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</si>
  <si>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</si>
  <si>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</si>
  <si>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</si>
  <si>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</si>
  <si>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</si>
  <si>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</si>
  <si>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</si>
  <si>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</si>
  <si>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</si>
  <si>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</si>
  <si>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</si>
  <si>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</si>
  <si>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</si>
  <si>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</si>
  <si>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</si>
  <si>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</si>
  <si>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</si>
  <si>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</si>
  <si>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</si>
  <si>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</si>
  <si>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</si>
  <si>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</si>
  <si>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</si>
  <si>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</si>
  <si>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</si>
  <si>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</si>
  <si>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</si>
  <si>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</si>
  <si>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</si>
  <si>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</si>
  <si>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</si>
  <si>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</si>
  <si>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</si>
  <si>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</si>
  <si>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</si>
  <si>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</si>
  <si>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</si>
  <si>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</si>
  <si>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</si>
  <si>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</si>
  <si>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</si>
  <si>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</si>
  <si>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</si>
  <si>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</si>
  <si>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</si>
  <si>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</si>
  <si>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</si>
  <si>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</si>
  <si>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</si>
  <si>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</si>
  <si>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</si>
  <si>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</si>
  <si>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</si>
  <si>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</si>
  <si>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</si>
  <si>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</si>
  <si>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</si>
  <si>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</si>
  <si>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</si>
  <si>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</si>
  <si>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</si>
  <si>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</si>
  <si>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</si>
  <si>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</si>
  <si>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</si>
  <si>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</si>
  <si>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</si>
  <si>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</si>
  <si>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</si>
  <si>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</si>
  <si>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</si>
  <si>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</si>
  <si>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</si>
  <si>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</si>
  <si>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</si>
  <si>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</si>
  <si>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</si>
  <si>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</si>
  <si>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</si>
  <si>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</si>
  <si>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</si>
  <si>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</si>
  <si>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</si>
  <si>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</si>
  <si>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</si>
  <si>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</si>
  <si>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</si>
  <si>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</si>
  <si>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</si>
  <si>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</si>
  <si>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</si>
  <si>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</si>
  <si>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</si>
  <si>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</si>
  <si>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</si>
  <si>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</si>
  <si>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</si>
  <si>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</si>
  <si>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</si>
  <si>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</si>
  <si>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</si>
  <si>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</si>
  <si>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</si>
  <si>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</si>
  <si>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</si>
  <si>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</si>
  <si>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</si>
  <si>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</si>
  <si>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</si>
  <si>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</si>
  <si>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</si>
  <si>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</si>
  <si>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</si>
  <si>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</si>
  <si>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</si>
  <si>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</si>
  <si>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</si>
  <si>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</si>
  <si>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</si>
  <si>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</si>
  <si>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</si>
  <si>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</si>
  <si>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</si>
  <si>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</si>
  <si>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</si>
  <si>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</si>
  <si>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</si>
  <si>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</si>
  <si>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</si>
  <si>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</si>
  <si>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</si>
  <si>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</si>
  <si>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</si>
  <si>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</si>
  <si>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</si>
  <si>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</si>
  <si>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</si>
  <si>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</si>
  <si>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</si>
  <si>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</si>
  <si>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</si>
  <si>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</si>
  <si>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</si>
  <si>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</si>
  <si>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</si>
  <si>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</si>
  <si>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</si>
  <si>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</si>
  <si>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</si>
  <si>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</si>
  <si>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</si>
  <si>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</si>
  <si>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</si>
  <si>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</si>
  <si>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</si>
  <si>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</si>
  <si>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</si>
  <si>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</si>
  <si>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</si>
  <si>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</si>
  <si>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</si>
  <si>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</si>
  <si>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</si>
  <si>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</si>
  <si>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</si>
  <si>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</si>
  <si>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</si>
  <si>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</si>
  <si>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</si>
  <si>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</si>
  <si>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</si>
  <si>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</si>
  <si>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</si>
  <si>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</si>
  <si>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</si>
  <si>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</si>
  <si>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</si>
  <si>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</si>
  <si>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</si>
  <si>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</si>
  <si>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</si>
  <si>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</si>
  <si>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</si>
  <si>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</si>
  <si>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</si>
  <si>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</si>
  <si>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</si>
  <si>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</si>
  <si>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</si>
  <si>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</si>
  <si>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</si>
  <si>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</si>
  <si>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</si>
  <si>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</si>
  <si>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</si>
  <si>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</si>
  <si>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</si>
  <si>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</si>
  <si>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</si>
  <si>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</si>
  <si>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</si>
  <si>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</si>
  <si>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</si>
  <si>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</si>
  <si>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</si>
  <si>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</si>
  <si>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</si>
  <si>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</si>
  <si>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</si>
  <si>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</si>
  <si>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</si>
  <si>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</si>
  <si>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</si>
  <si>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</si>
  <si>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</si>
  <si>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</si>
  <si>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</si>
  <si>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</si>
  <si>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</si>
  <si>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</si>
  <si>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</si>
  <si>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</si>
  <si>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</si>
  <si>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</si>
  <si>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</si>
  <si>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</si>
  <si>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</si>
  <si>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</si>
  <si>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</si>
  <si>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</si>
  <si>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</si>
  <si>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</si>
  <si>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</si>
  <si>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</si>
  <si>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</si>
  <si>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</si>
  <si>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</si>
  <si>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</si>
  <si>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</si>
  <si>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</si>
  <si>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</si>
  <si>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</si>
  <si>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</si>
  <si>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</si>
  <si>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</si>
  <si>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</si>
  <si>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</si>
  <si>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</si>
  <si>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</si>
  <si>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</si>
  <si>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</si>
  <si>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</si>
  <si>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</si>
  <si>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</si>
  <si>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</si>
  <si>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</si>
  <si>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</si>
  <si>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</si>
  <si>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</si>
  <si>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</si>
  <si>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</si>
  <si>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</si>
  <si>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</si>
  <si>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</si>
  <si>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</si>
  <si>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</si>
  <si>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</si>
  <si>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</si>
  <si>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</si>
  <si>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</si>
  <si>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</si>
  <si>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</si>
  <si>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</si>
  <si>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</si>
  <si>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</si>
  <si>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</si>
  <si>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</si>
  <si>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</si>
  <si>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</si>
  <si>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</si>
  <si>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</si>
  <si>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</si>
  <si>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</si>
  <si>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</si>
  <si>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</si>
  <si>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</si>
  <si>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</si>
  <si>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</si>
  <si>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</si>
  <si>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</si>
  <si>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</si>
  <si>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</si>
  <si>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</si>
  <si>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</si>
  <si>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</si>
  <si>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</si>
  <si>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</si>
  <si>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</si>
  <si>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</si>
  <si>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</si>
  <si>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</si>
  <si>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</si>
  <si>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</si>
  <si>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</si>
  <si>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</si>
  <si>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</si>
  <si>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</si>
  <si>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</si>
  <si>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</si>
  <si>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</si>
  <si>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</si>
  <si>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</si>
  <si>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</si>
  <si>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</si>
  <si>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</si>
  <si>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</si>
  <si>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</si>
  <si>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</si>
  <si>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</si>
  <si>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</si>
  <si>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</si>
  <si>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</si>
  <si>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</si>
  <si>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</si>
  <si>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</si>
  <si>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</si>
  <si>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</si>
  <si>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</si>
  <si>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</si>
  <si>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</si>
  <si>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</si>
  <si>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</si>
  <si>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</si>
  <si>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</si>
  <si>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</si>
  <si>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</si>
  <si>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</si>
  <si>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</si>
  <si>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</si>
  <si>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</si>
  <si>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</si>
  <si>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</si>
  <si>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</si>
  <si>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</si>
  <si>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</si>
  <si>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</si>
  <si>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</si>
  <si>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</si>
  <si>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</si>
  <si>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</si>
  <si>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</si>
  <si>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</si>
  <si>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</si>
  <si>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</si>
  <si>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</si>
  <si>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</si>
  <si>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</si>
  <si>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</si>
  <si>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</si>
  <si>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</si>
  <si>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</si>
  <si>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</si>
  <si>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</si>
  <si>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</si>
  <si>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</si>
  <si>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</si>
  <si>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</si>
  <si>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</si>
  <si>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</si>
  <si>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</si>
  <si>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</si>
  <si>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</si>
  <si>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</si>
  <si>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</si>
  <si>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</si>
  <si>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</si>
  <si>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</si>
  <si>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</si>
  <si>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</si>
  <si>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</si>
  <si>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</si>
  <si>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</si>
  <si>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</si>
  <si>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</si>
  <si>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</si>
  <si>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</si>
  <si>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</si>
  <si>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</si>
  <si>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</si>
  <si>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</si>
  <si>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</si>
  <si>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</si>
  <si>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</si>
  <si>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</si>
  <si>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</si>
  <si>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</si>
  <si>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</si>
  <si>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</si>
  <si>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</si>
  <si>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</si>
  <si>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</si>
  <si>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</si>
  <si>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</si>
  <si>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</si>
  <si>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</si>
  <si>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</si>
  <si>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</si>
  <si>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</si>
  <si>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</si>
  <si>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</si>
  <si>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</si>
  <si>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</si>
  <si>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</si>
  <si>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</si>
  <si>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</si>
  <si>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</si>
  <si>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</si>
  <si>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</si>
  <si>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</si>
  <si>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</si>
  <si>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</si>
  <si>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</si>
  <si>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</si>
  <si>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</si>
  <si>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</si>
  <si>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</si>
  <si>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</si>
  <si>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</si>
  <si>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</si>
  <si>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</si>
  <si>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</si>
  <si>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</si>
  <si>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</si>
  <si>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</si>
  <si>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</si>
  <si>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</si>
  <si>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</si>
  <si>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</si>
  <si>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</si>
  <si>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</si>
  <si>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</si>
  <si>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</si>
  <si>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</si>
  <si>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</si>
  <si>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</si>
  <si>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</si>
  <si>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</si>
  <si>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</si>
  <si>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</si>
  <si>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</si>
  <si>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</si>
  <si>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</si>
  <si>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</si>
  <si>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</si>
  <si>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</si>
  <si>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</si>
  <si>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</si>
  <si>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</si>
  <si>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</si>
  <si>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</si>
  <si>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</si>
  <si>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</si>
  <si>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</si>
  <si>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</si>
  <si>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</si>
  <si>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</si>
  <si>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</si>
  <si>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</si>
  <si>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</si>
  <si>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</si>
  <si>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</si>
  <si>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</si>
  <si>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</si>
  <si>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</si>
  <si>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</si>
  <si>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</si>
  <si>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</si>
  <si>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</si>
  <si>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</si>
  <si>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</si>
  <si>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</si>
  <si>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</si>
  <si>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</si>
  <si>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</si>
  <si>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</si>
  <si>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</si>
  <si>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</si>
  <si>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</si>
  <si>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</si>
  <si>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</si>
  <si>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</si>
  <si>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</si>
  <si>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</si>
  <si>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</si>
  <si>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</si>
  <si>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</si>
  <si>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</si>
  <si>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</si>
  <si>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</si>
  <si>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</si>
  <si>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</si>
  <si>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</si>
  <si>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</si>
  <si>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</si>
  <si>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</si>
  <si>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</si>
  <si>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</si>
  <si>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</si>
  <si>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</si>
  <si>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</si>
  <si>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</si>
  <si>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</si>
  <si>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</si>
  <si>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</si>
  <si>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</si>
  <si>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</si>
  <si>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</si>
  <si>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</si>
  <si>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</si>
  <si>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</si>
  <si>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</si>
  <si>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</si>
  <si>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</si>
  <si>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</si>
  <si>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</si>
  <si>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</si>
  <si>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</si>
  <si>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</si>
  <si>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</si>
  <si>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</si>
  <si>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</si>
  <si>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</si>
  <si>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</si>
  <si>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</si>
  <si>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</si>
  <si>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</si>
  <si>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</si>
  <si>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</si>
  <si>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</si>
  <si>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</si>
  <si>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</si>
  <si>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</si>
  <si>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</si>
  <si>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</si>
  <si>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</si>
  <si>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</si>
  <si>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</si>
  <si>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</si>
  <si>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</si>
  <si>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</si>
  <si>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</si>
  <si>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</si>
  <si>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</si>
  <si>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</si>
  <si>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</si>
  <si>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</si>
  <si>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</si>
  <si>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</si>
  <si>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</si>
  <si>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</si>
  <si>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</si>
  <si>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</si>
  <si>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</si>
  <si>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</si>
  <si>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</si>
  <si>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</si>
  <si>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</si>
  <si>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</si>
  <si>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</si>
  <si>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</si>
  <si>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</si>
  <si>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</si>
  <si>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</si>
  <si>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</si>
  <si>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</si>
  <si>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</si>
  <si>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</si>
  <si>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</si>
  <si>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</si>
  <si>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</si>
  <si>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</si>
  <si>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</si>
  <si>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</si>
  <si>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</si>
  <si>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</si>
  <si>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</si>
  <si>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</si>
  <si>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</si>
  <si>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</si>
  <si>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</si>
  <si>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</si>
  <si>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</si>
  <si>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</si>
  <si>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</si>
  <si>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</si>
  <si>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</si>
  <si>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</si>
  <si>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</si>
  <si>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</si>
  <si>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</si>
  <si>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</si>
  <si>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</si>
  <si>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</si>
  <si>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</si>
  <si>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</si>
  <si>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</si>
  <si>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</si>
  <si>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</si>
  <si>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</si>
  <si>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</si>
  <si>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</si>
  <si>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</si>
  <si>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</si>
  <si>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</si>
  <si>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</si>
  <si>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</si>
  <si>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</si>
  <si>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</si>
  <si>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</si>
  <si>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</si>
  <si>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</si>
  <si>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</si>
  <si>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</si>
  <si>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</si>
  <si>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</si>
  <si>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</si>
  <si>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</si>
  <si>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</si>
  <si>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</si>
  <si>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</si>
  <si>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</si>
  <si>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</si>
  <si>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</si>
  <si>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</si>
  <si>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</si>
  <si>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</si>
  <si>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</si>
  <si>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</si>
  <si>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</si>
  <si>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</si>
  <si>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</si>
  <si>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</si>
  <si>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</si>
  <si>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</si>
  <si>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</si>
  <si>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</si>
  <si>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</si>
  <si>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</si>
  <si>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</si>
  <si>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</si>
  <si>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</si>
  <si>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</si>
  <si>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</si>
  <si>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</si>
  <si>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</si>
  <si>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</si>
  <si>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</si>
  <si>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</si>
  <si>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</si>
  <si>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</si>
  <si>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</si>
  <si>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</si>
  <si>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</si>
  <si>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</si>
  <si>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</si>
  <si>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</si>
  <si>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</si>
  <si>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</si>
  <si>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</si>
  <si>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</si>
  <si>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</si>
  <si>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</si>
  <si>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</si>
  <si>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</si>
  <si>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</si>
  <si>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</si>
  <si>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</si>
  <si>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</si>
  <si>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</si>
  <si>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</si>
  <si>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</si>
  <si>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</si>
  <si>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</si>
  <si>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</si>
  <si>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</si>
  <si>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</si>
  <si>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</si>
  <si>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</si>
  <si>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</si>
  <si>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</si>
  <si>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</si>
  <si>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</si>
  <si>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</si>
  <si>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</si>
  <si>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</si>
  <si>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</si>
  <si>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</si>
  <si>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</si>
  <si>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</si>
  <si>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</si>
  <si>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</si>
  <si>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</si>
  <si>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</si>
  <si>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</si>
  <si>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</si>
  <si>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</si>
  <si>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</si>
  <si>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</si>
  <si>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</si>
  <si>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</si>
  <si>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</si>
  <si>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</si>
  <si>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</si>
  <si>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</si>
  <si>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</si>
  <si>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</si>
  <si>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</si>
  <si>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</si>
  <si>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</si>
  <si>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</si>
  <si>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</si>
  <si>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</si>
  <si>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</si>
  <si>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</si>
  <si>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</si>
  <si>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</si>
  <si>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</si>
  <si>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</si>
  <si>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</si>
  <si>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</si>
  <si>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</si>
  <si>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</si>
  <si>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</si>
  <si>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</si>
  <si>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</si>
  <si>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</si>
  <si>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</si>
  <si>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</si>
  <si>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</si>
  <si>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</si>
  <si>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</si>
  <si>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</si>
  <si>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</si>
  <si>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</si>
  <si>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</si>
  <si>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</si>
  <si>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</si>
  <si>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</si>
  <si>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</si>
  <si>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</si>
  <si>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</si>
  <si>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</si>
  <si>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</si>
  <si>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</si>
  <si>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</si>
  <si>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</si>
  <si>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</si>
  <si>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</si>
  <si>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</si>
  <si>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</si>
  <si>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</si>
  <si>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</si>
  <si>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</si>
  <si>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</si>
  <si>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</si>
  <si>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</si>
  <si>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</si>
  <si>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</si>
  <si>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</si>
  <si>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</si>
  <si>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</si>
  <si>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</si>
  <si>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</si>
  <si>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</si>
  <si>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</si>
  <si>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</si>
  <si>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</si>
  <si>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</si>
  <si>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</si>
  <si>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</si>
  <si>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</si>
  <si>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</si>
  <si>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</si>
  <si>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</si>
  <si>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</si>
  <si>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</si>
  <si>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</si>
  <si>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</si>
  <si>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</si>
  <si>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</si>
  <si>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</si>
  <si>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</si>
  <si>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</si>
  <si>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</si>
  <si>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</si>
  <si>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</si>
  <si>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</si>
  <si>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</si>
  <si>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</si>
  <si>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</si>
  <si>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</si>
  <si>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</si>
  <si>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</si>
  <si>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</si>
  <si>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</si>
  <si>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</si>
  <si>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</si>
  <si>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</si>
  <si>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</si>
  <si>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</si>
  <si>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</si>
  <si>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</si>
  <si>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</si>
  <si>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</si>
  <si>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</si>
  <si>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</si>
  <si>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</si>
  <si>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</si>
  <si>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</si>
  <si>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</si>
  <si>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</si>
  <si>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</si>
  <si>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</si>
  <si>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</si>
  <si>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</si>
  <si>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</si>
  <si>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</si>
  <si>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</si>
  <si>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</si>
  <si>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</si>
  <si>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</si>
  <si>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</si>
  <si>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</si>
  <si>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</si>
  <si>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</si>
  <si>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</si>
  <si>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</si>
  <si>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</si>
  <si>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</si>
  <si>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</si>
  <si>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</si>
  <si>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</si>
  <si>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</si>
  <si>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</si>
  <si>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</si>
  <si>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</si>
  <si>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</si>
  <si>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</si>
  <si>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</si>
  <si>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</si>
  <si>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</si>
  <si>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</si>
  <si>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</si>
  <si>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</si>
  <si>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</si>
  <si>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</si>
  <si>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</si>
  <si>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</si>
  <si>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</si>
  <si>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</si>
  <si>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</si>
  <si>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</si>
  <si>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</si>
  <si>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</si>
  <si>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</si>
  <si>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</si>
  <si>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</si>
  <si>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</si>
  <si>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</si>
  <si>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</si>
  <si>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</si>
  <si>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</si>
  <si>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</si>
  <si>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</si>
  <si>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</si>
  <si>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</si>
  <si>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</si>
  <si>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</si>
  <si>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</si>
  <si>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</si>
  <si>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</si>
  <si>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</si>
  <si>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</si>
  <si>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</si>
  <si>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</si>
  <si>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</si>
  <si>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</si>
  <si>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</si>
  <si>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</si>
  <si>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</si>
  <si>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</si>
  <si>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</si>
  <si>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</si>
  <si>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</si>
  <si>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</si>
  <si>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</si>
  <si>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</si>
  <si>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</si>
  <si>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</si>
  <si>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</si>
  <si>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</si>
  <si>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</si>
  <si>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</si>
  <si>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</si>
  <si>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</si>
  <si>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</si>
  <si>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</si>
  <si>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</si>
  <si>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</si>
  <si>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</si>
  <si>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</si>
  <si>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</si>
  <si>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</si>
  <si>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</si>
  <si>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</si>
  <si>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</si>
  <si>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</si>
  <si>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</si>
  <si>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</si>
  <si>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</si>
  <si>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</si>
  <si>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</si>
  <si>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</si>
  <si>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</si>
  <si>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</si>
  <si>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</si>
  <si>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</si>
  <si>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</si>
  <si>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</si>
  <si>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</si>
  <si>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</si>
  <si>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</si>
  <si>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</si>
  <si>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</si>
  <si>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</si>
  <si>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</si>
  <si>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</si>
  <si>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</si>
  <si>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</si>
  <si>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</si>
  <si>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</si>
  <si>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</si>
  <si>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</si>
  <si>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</si>
  <si>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</si>
  <si>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</si>
  <si>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</si>
  <si>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</si>
  <si>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</si>
  <si>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</si>
  <si>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</si>
  <si>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</si>
  <si>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</si>
  <si>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</si>
  <si>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</si>
  <si>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</si>
  <si>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</si>
  <si>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</si>
  <si>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</si>
  <si>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</si>
  <si>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</si>
  <si>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</si>
  <si>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</si>
  <si>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</si>
  <si>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</si>
  <si>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</si>
  <si>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</si>
  <si>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</si>
  <si>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</si>
  <si>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</si>
  <si>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</si>
  <si>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</si>
  <si>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</si>
  <si>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</si>
  <si>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</si>
  <si>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</si>
  <si>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</si>
  <si>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</si>
  <si>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</si>
  <si>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</si>
  <si>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</si>
  <si>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</si>
  <si>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</si>
  <si>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</si>
  <si>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</si>
  <si>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</si>
  <si>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</si>
  <si>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</si>
  <si>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</si>
  <si>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</si>
  <si>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</si>
  <si>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</si>
  <si>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</si>
  <si>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</si>
  <si>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</si>
  <si>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</si>
  <si>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</si>
  <si>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</si>
  <si>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</si>
  <si>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</si>
  <si>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</si>
  <si>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</si>
  <si>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</si>
  <si>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</si>
  <si>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</si>
  <si>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</si>
  <si>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</si>
  <si>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</si>
  <si>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</si>
  <si>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</si>
  <si>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</si>
  <si>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</si>
  <si>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</si>
  <si>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</si>
  <si>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</si>
  <si>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</si>
  <si>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</si>
  <si>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</si>
  <si>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</si>
  <si>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</si>
  <si>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</si>
  <si>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</si>
  <si>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</si>
  <si>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</si>
  <si>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</si>
  <si>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</si>
  <si>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</si>
  <si>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</si>
  <si>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</si>
  <si>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</si>
  <si>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</si>
  <si>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</si>
  <si>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</si>
  <si>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</si>
  <si>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</si>
  <si>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</si>
  <si>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</si>
  <si>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</si>
  <si>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</si>
  <si>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</si>
  <si>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</si>
  <si>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</si>
  <si>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</si>
  <si>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</si>
  <si>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</si>
  <si>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</si>
  <si>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</si>
  <si>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</si>
  <si>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</si>
  <si>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</si>
  <si>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</si>
  <si>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</si>
  <si>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</si>
  <si>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</si>
  <si>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</si>
  <si>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</si>
  <si>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</si>
  <si>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</si>
  <si>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</si>
  <si>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</si>
  <si>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</si>
  <si>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</si>
  <si>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</si>
  <si>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</si>
  <si>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</si>
  <si>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</si>
  <si>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</si>
  <si>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</si>
  <si>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</si>
  <si>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</si>
  <si>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</si>
  <si>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</si>
  <si>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</si>
  <si>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</si>
  <si>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</si>
  <si>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</si>
  <si>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</si>
  <si>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</si>
  <si>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</si>
  <si>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</si>
  <si>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</si>
  <si>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</si>
  <si>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</si>
  <si>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</si>
  <si>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</si>
  <si>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</si>
  <si>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</si>
  <si>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</si>
  <si>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</si>
  <si>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</si>
  <si>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</si>
  <si>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</si>
  <si>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</si>
  <si>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</si>
  <si>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</si>
  <si>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</si>
  <si>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</si>
  <si>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</si>
  <si>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</si>
  <si>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</si>
  <si>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</si>
  <si>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</si>
  <si>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</si>
  <si>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</si>
  <si>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</si>
  <si>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</si>
  <si>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</si>
  <si>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</si>
  <si>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</si>
  <si>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</si>
  <si>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</si>
  <si>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</si>
  <si>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</si>
  <si>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</si>
  <si>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</si>
  <si>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</si>
  <si>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</si>
  <si>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</si>
  <si>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</si>
  <si>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</si>
  <si>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</si>
  <si>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</si>
  <si>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</si>
  <si>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</si>
  <si>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</si>
  <si>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</si>
  <si>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</si>
  <si>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</si>
  <si>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</si>
  <si>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</si>
  <si>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</si>
  <si>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</si>
  <si>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</si>
  <si>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</si>
  <si>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</si>
  <si>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</si>
  <si>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</si>
  <si>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</si>
  <si>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</si>
  <si>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</si>
  <si>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</si>
  <si>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</si>
  <si>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</si>
  <si>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</si>
  <si>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</si>
  <si>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</si>
  <si>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</si>
  <si>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</si>
  <si>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</si>
  <si>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</si>
  <si>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</si>
  <si>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</si>
  <si>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</si>
  <si>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</si>
  <si>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</si>
  <si>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</si>
  <si>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</si>
  <si>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</si>
  <si>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</si>
  <si>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</si>
  <si>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</si>
  <si>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</si>
  <si>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</si>
  <si>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</si>
  <si>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</si>
  <si>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</si>
  <si>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</si>
  <si>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</si>
  <si>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</si>
  <si>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</si>
  <si>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</si>
  <si>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</si>
  <si>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</si>
  <si>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</si>
  <si>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</si>
  <si>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</si>
  <si>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</si>
  <si>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</si>
  <si>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</si>
  <si>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</si>
  <si>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</si>
  <si>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</si>
  <si>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</si>
  <si>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</si>
  <si>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</si>
  <si>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</si>
  <si>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</si>
  <si>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</si>
  <si>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</si>
  <si>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</si>
  <si>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</si>
  <si>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</si>
  <si>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</si>
  <si>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</si>
  <si>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</si>
  <si>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</si>
  <si>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</si>
  <si>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</si>
  <si>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</si>
  <si>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</si>
  <si>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</si>
  <si>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</si>
  <si>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</si>
  <si>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</si>
  <si>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</si>
  <si>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</si>
  <si>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</si>
  <si>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</si>
  <si>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</si>
  <si>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</si>
  <si>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</si>
  <si>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</si>
  <si>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</si>
  <si>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</si>
  <si>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</si>
  <si>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</si>
  <si>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</si>
  <si>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</si>
  <si>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</si>
  <si>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</si>
  <si>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</si>
  <si>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</si>
  <si>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</si>
  <si>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</si>
  <si>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</si>
  <si>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</si>
  <si>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</si>
  <si>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</si>
  <si>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</si>
  <si>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</si>
  <si>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</si>
  <si>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</si>
  <si>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</si>
  <si>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</si>
  <si>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</si>
  <si>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</si>
  <si>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</si>
  <si>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</si>
  <si>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</si>
  <si>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</si>
  <si>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</si>
  <si>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</si>
  <si>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</si>
  <si>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</si>
  <si>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</si>
  <si>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</si>
  <si>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</si>
  <si>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</si>
  <si>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</si>
  <si>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</si>
  <si>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</si>
  <si>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</si>
  <si>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</si>
  <si>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</si>
  <si>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</si>
  <si>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</si>
  <si>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</si>
  <si>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</si>
  <si>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</si>
  <si>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</si>
  <si>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</si>
  <si>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</si>
  <si>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</si>
  <si>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</si>
  <si>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</si>
  <si>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</si>
  <si>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</si>
  <si>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</si>
  <si>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</si>
  <si>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</si>
  <si>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</si>
  <si>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</si>
  <si>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</si>
  <si>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</si>
  <si>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</si>
  <si>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</si>
  <si>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</si>
  <si>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</si>
  <si>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</si>
  <si>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</si>
  <si>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</si>
  <si>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</si>
  <si>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</si>
  <si>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</si>
  <si>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</si>
  <si>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</si>
  <si>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</si>
  <si>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</si>
  <si>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</si>
  <si>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</si>
  <si>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</si>
  <si>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</si>
  <si>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</si>
  <si>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</si>
  <si>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</si>
  <si>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</si>
  <si>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</si>
  <si>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</si>
  <si>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</si>
  <si>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</si>
  <si>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</si>
  <si>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</si>
  <si>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</si>
  <si>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</si>
  <si>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</si>
  <si>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</si>
  <si>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</si>
  <si>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</si>
  <si>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</si>
  <si>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</si>
  <si>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</si>
  <si>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</si>
  <si>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</si>
  <si>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</si>
  <si>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</si>
  <si>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</si>
  <si>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</si>
  <si>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</si>
  <si>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</si>
  <si>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</si>
  <si>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</si>
  <si>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</si>
  <si>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</si>
  <si>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</si>
  <si>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</si>
  <si>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</si>
  <si>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</si>
  <si>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</si>
  <si>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</si>
  <si>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</si>
  <si>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</si>
  <si>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</si>
  <si>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</si>
  <si>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</si>
  <si>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</si>
  <si>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</si>
  <si>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</si>
  <si>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</si>
  <si>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</si>
  <si>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</si>
  <si>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</si>
  <si>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</si>
  <si>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</si>
  <si>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</si>
  <si>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</si>
  <si>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</si>
  <si>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</si>
  <si>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</si>
  <si>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</si>
  <si>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</si>
  <si>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</si>
  <si>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</si>
  <si>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</si>
  <si>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</si>
  <si>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</si>
  <si>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</si>
  <si>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</si>
  <si>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</si>
  <si>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</si>
  <si>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</si>
  <si>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</si>
  <si>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</si>
  <si>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</si>
  <si>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</si>
  <si>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</si>
  <si>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</si>
  <si>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</si>
  <si>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</si>
  <si>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</si>
  <si>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</si>
  <si>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</si>
  <si>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</si>
  <si>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</si>
  <si>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</si>
  <si>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</si>
  <si>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</si>
  <si>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</si>
  <si>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</si>
  <si>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</si>
  <si>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</si>
  <si>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</si>
  <si>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</si>
  <si>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</si>
  <si>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</si>
  <si>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</si>
  <si>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</si>
  <si>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</si>
  <si>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</si>
  <si>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</si>
  <si>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</si>
  <si>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</si>
  <si>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</si>
  <si>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</si>
  <si>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</si>
  <si>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</si>
  <si>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</si>
  <si>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</si>
  <si>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</si>
  <si>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</si>
  <si>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</si>
  <si>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</si>
  <si>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</si>
  <si>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</si>
  <si>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</si>
  <si>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</si>
  <si>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</si>
  <si>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</si>
  <si>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</si>
  <si>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</si>
  <si>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</si>
  <si>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</si>
  <si>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</si>
  <si>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</si>
  <si>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</si>
  <si>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</si>
  <si>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</si>
  <si>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</si>
  <si>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</si>
  <si>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</si>
  <si>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</si>
  <si>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</si>
  <si>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</si>
  <si>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</si>
  <si>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</si>
  <si>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</si>
  <si>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</si>
  <si>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</si>
  <si>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</si>
  <si>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</si>
  <si>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</si>
  <si>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</si>
  <si>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</si>
  <si>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</si>
  <si>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</si>
  <si>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</si>
  <si>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</si>
  <si>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</si>
  <si>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</si>
  <si>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</si>
  <si>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</si>
  <si>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</si>
  <si>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</si>
  <si>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</si>
  <si>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</si>
  <si>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</si>
  <si>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</si>
  <si>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</si>
  <si>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</si>
  <si>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</si>
  <si>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</si>
  <si>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</si>
  <si>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</si>
  <si>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</si>
  <si>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</si>
  <si>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</si>
  <si>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</si>
  <si>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</si>
  <si>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</si>
  <si>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</si>
  <si>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</si>
  <si>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</si>
  <si>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</si>
  <si>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</si>
  <si>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</si>
  <si>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</si>
  <si>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</si>
  <si>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</si>
  <si>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</si>
  <si>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</si>
  <si>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</si>
  <si>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</si>
  <si>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</si>
  <si>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</si>
  <si>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</si>
  <si>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</si>
  <si>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</si>
  <si>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</si>
  <si>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</si>
  <si>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</si>
  <si>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</si>
  <si>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</si>
  <si>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</si>
  <si>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</si>
  <si>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</si>
  <si>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</si>
  <si>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</si>
  <si>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</si>
  <si>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</si>
  <si>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</si>
  <si>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</si>
  <si>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</si>
  <si>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</si>
  <si>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</si>
  <si>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</si>
  <si>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</si>
  <si>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</si>
  <si>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</si>
  <si>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</si>
  <si>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</si>
  <si>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</si>
  <si>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</si>
  <si>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</si>
  <si>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</si>
  <si>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</si>
  <si>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</si>
  <si>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</si>
  <si>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</si>
  <si>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</si>
  <si>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</si>
  <si>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</si>
  <si>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</si>
  <si>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</si>
  <si>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</si>
  <si>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</si>
  <si>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</si>
  <si>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</si>
  <si>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</si>
  <si>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</si>
  <si>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</si>
  <si>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</si>
  <si>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</si>
  <si>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</si>
  <si>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</si>
  <si>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</si>
  <si>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</si>
  <si>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</si>
  <si>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</si>
  <si>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</si>
  <si>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</si>
  <si>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</si>
  <si>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</si>
  <si>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</si>
  <si>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</si>
  <si>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</si>
  <si>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</si>
  <si>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</si>
  <si>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</si>
  <si>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</si>
  <si>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</si>
  <si>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</si>
  <si>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</si>
  <si>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</si>
  <si>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</si>
  <si>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</si>
  <si>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</si>
  <si>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</si>
  <si>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</si>
  <si>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</si>
  <si>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</si>
  <si>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</si>
  <si>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</si>
  <si>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</si>
  <si>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</si>
  <si>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</si>
  <si>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</si>
  <si>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</si>
  <si>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</si>
  <si>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</si>
  <si>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</si>
  <si>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</si>
  <si>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</si>
  <si>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</si>
  <si>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</si>
  <si>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</si>
  <si>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</si>
  <si>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</si>
  <si>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</si>
  <si>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</si>
  <si>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</si>
  <si>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</si>
  <si>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</si>
  <si>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</si>
  <si>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</si>
  <si>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</si>
  <si>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</si>
  <si>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</si>
  <si>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</si>
  <si>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</si>
  <si>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</si>
  <si>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</si>
  <si>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</si>
  <si>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</si>
  <si>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</si>
  <si>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</si>
  <si>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</si>
  <si>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</si>
  <si>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</si>
  <si>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</si>
  <si>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</si>
  <si>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</si>
  <si>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</si>
  <si>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</si>
  <si>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</si>
  <si>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</si>
  <si>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</si>
  <si>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</si>
  <si>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</si>
  <si>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</si>
  <si>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</si>
  <si>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</si>
  <si>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</si>
  <si>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</si>
  <si>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</si>
  <si>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</si>
  <si>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</si>
  <si>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</si>
  <si>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</si>
  <si>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</si>
  <si>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</si>
  <si>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</si>
  <si>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</si>
  <si>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</si>
  <si>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</si>
  <si>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</si>
  <si>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</si>
  <si>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</si>
  <si>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</si>
  <si>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</si>
  <si>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</si>
  <si>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</si>
  <si>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</si>
  <si>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</si>
  <si>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</si>
  <si>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</si>
  <si>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</si>
  <si>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</si>
  <si>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</si>
  <si>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</si>
  <si>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</si>
  <si>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</si>
  <si>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</si>
  <si>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</si>
  <si>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</si>
  <si>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</si>
  <si>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</si>
  <si>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</si>
  <si>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</si>
  <si>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</si>
  <si>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</si>
  <si>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</si>
  <si>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</si>
  <si>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</si>
  <si>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</si>
  <si>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</si>
  <si>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</si>
  <si>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</si>
  <si>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</si>
  <si>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</si>
  <si>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</si>
  <si>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</si>
  <si>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</si>
  <si>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</si>
  <si>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</si>
  <si>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</si>
  <si>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</si>
  <si>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</si>
  <si>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</si>
  <si>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</si>
  <si>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</si>
  <si>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</si>
  <si>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</si>
  <si>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</si>
  <si>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</si>
  <si>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</si>
  <si>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</si>
  <si>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</si>
  <si>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</si>
  <si>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</si>
  <si>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</si>
  <si>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</si>
  <si>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</si>
  <si>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</si>
  <si>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</si>
  <si>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</si>
  <si>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</si>
  <si>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</si>
  <si>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</si>
  <si>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</si>
  <si>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</si>
  <si>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</si>
  <si>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</si>
  <si>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</si>
  <si>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</si>
  <si>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</si>
  <si>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</si>
  <si>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</si>
  <si>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</si>
  <si>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</si>
  <si>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</si>
  <si>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</si>
  <si>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</si>
  <si>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</si>
  <si>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</si>
  <si>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</si>
  <si>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</si>
  <si>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</si>
  <si>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</si>
  <si>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</si>
  <si>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</si>
  <si>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</si>
  <si>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</si>
  <si>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</si>
  <si>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</si>
  <si>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</si>
  <si>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</si>
  <si>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</si>
  <si>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</si>
  <si>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</si>
  <si>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</si>
  <si>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</si>
  <si>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</si>
  <si>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</si>
  <si>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</si>
  <si>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</si>
  <si>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</si>
  <si>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</si>
  <si>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</si>
  <si>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</si>
  <si>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</si>
  <si>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</si>
  <si>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</si>
  <si>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</si>
  <si>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</si>
  <si>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</si>
  <si>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</si>
  <si>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</si>
  <si>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</si>
  <si>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</si>
  <si>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</si>
  <si>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</si>
  <si>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</si>
  <si>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</si>
  <si>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</si>
  <si>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</si>
  <si>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</si>
  <si>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</si>
  <si>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</si>
  <si>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</si>
  <si>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</si>
  <si>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</si>
  <si>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</si>
  <si>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</si>
  <si>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</si>
  <si>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</si>
  <si>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</si>
  <si>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</si>
  <si>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</si>
  <si>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</si>
  <si>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</si>
  <si>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</si>
  <si>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</si>
  <si>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</si>
  <si>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</si>
  <si>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</si>
  <si>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</si>
  <si>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</si>
  <si>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</si>
  <si>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</si>
  <si>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</si>
  <si>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</si>
  <si>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</si>
  <si>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</si>
  <si>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</si>
  <si>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</si>
  <si>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</si>
  <si>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</si>
  <si>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</si>
  <si>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</si>
  <si>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</si>
  <si>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</si>
  <si>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</si>
  <si>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</si>
  <si>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</si>
  <si>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</si>
  <si>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</si>
  <si>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</si>
  <si>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</si>
  <si>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</si>
  <si>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</si>
  <si>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</si>
  <si>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</si>
  <si>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</si>
  <si>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</si>
  <si>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</si>
  <si>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</si>
  <si>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</si>
  <si>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</si>
  <si>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</si>
  <si>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</si>
  <si>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</si>
  <si>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</si>
  <si>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</si>
  <si>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</si>
  <si>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</si>
  <si>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</si>
  <si>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</si>
  <si>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</si>
  <si>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</si>
  <si>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</si>
  <si>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</si>
  <si>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</si>
  <si>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</si>
  <si>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</si>
  <si>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</si>
  <si>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</si>
  <si>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</si>
  <si>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</si>
  <si>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</si>
  <si>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</si>
  <si>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</si>
  <si>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</si>
  <si>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</si>
  <si>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</si>
  <si>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</si>
  <si>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</si>
  <si>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</si>
  <si>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</si>
  <si>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</si>
  <si>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</si>
  <si>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</si>
  <si>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</si>
  <si>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</si>
  <si>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</si>
  <si>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</si>
  <si>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</si>
  <si>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</si>
  <si>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</si>
  <si>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</si>
  <si>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</si>
  <si>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</si>
  <si>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</si>
  <si>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</si>
  <si>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</si>
  <si>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</si>
  <si>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</si>
  <si>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</si>
  <si>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</si>
  <si>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</si>
  <si>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</si>
  <si>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</si>
  <si>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</si>
  <si>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</si>
  <si>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</si>
  <si>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</si>
  <si>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</si>
  <si>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</si>
  <si>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</si>
  <si>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</si>
  <si>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</si>
  <si>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</si>
  <si>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</si>
  <si>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</si>
  <si>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</si>
  <si>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</si>
  <si>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</si>
  <si>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</si>
  <si>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</si>
  <si>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</si>
  <si>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</si>
  <si>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</si>
  <si>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</si>
  <si>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</si>
  <si>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</si>
  <si>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</si>
  <si>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</si>
  <si>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</si>
  <si>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</si>
  <si>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</si>
  <si>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</si>
  <si>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</si>
  <si>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</si>
  <si>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</si>
  <si>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</si>
  <si>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</si>
  <si>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</si>
  <si>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</si>
  <si>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</si>
  <si>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</si>
  <si>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</si>
  <si>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</si>
  <si>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</si>
  <si>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</si>
  <si>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</si>
  <si>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</si>
  <si>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</si>
  <si>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</si>
  <si>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</si>
  <si>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</si>
  <si>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</si>
  <si>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</si>
  <si>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</si>
  <si>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</si>
  <si>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</si>
  <si>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</si>
  <si>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</si>
  <si>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</si>
  <si>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</si>
  <si>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</si>
  <si>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</si>
  <si>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</si>
  <si>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</si>
  <si>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</si>
  <si>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</si>
  <si>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</si>
  <si>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</si>
  <si>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</si>
  <si>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</si>
  <si>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</si>
  <si>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</si>
  <si>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</si>
  <si>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</si>
  <si>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</si>
  <si>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</si>
  <si>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</si>
  <si>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</si>
  <si>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</si>
  <si>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</si>
  <si>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</si>
  <si>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</si>
  <si>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</si>
  <si>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</si>
  <si>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</si>
  <si>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</si>
  <si>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</si>
  <si>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</si>
  <si>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</si>
  <si>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</si>
  <si>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</si>
  <si>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</si>
  <si>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</si>
  <si>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</si>
  <si>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</si>
  <si>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</si>
  <si>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</si>
  <si>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</si>
  <si>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</si>
  <si>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</si>
  <si>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</si>
  <si>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</si>
  <si>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</si>
  <si>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</si>
  <si>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</si>
  <si>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</si>
  <si>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</si>
  <si>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</si>
  <si>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</si>
  <si>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</si>
  <si>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</si>
  <si>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</si>
  <si>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</si>
  <si>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</si>
  <si>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</si>
  <si>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</si>
  <si>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</si>
  <si>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</si>
  <si>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</si>
  <si>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</si>
  <si>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</si>
  <si>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</si>
  <si>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</si>
  <si>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</si>
  <si>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</si>
  <si>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</si>
  <si>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</si>
  <si>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</si>
  <si>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</si>
  <si>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</si>
  <si>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</si>
  <si>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</si>
  <si>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</si>
  <si>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</si>
  <si>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</si>
  <si>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</si>
  <si>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</si>
  <si>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</si>
  <si>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</si>
  <si>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</si>
  <si>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</si>
  <si>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</si>
  <si>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</si>
  <si>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</si>
  <si>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</si>
  <si>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</si>
  <si>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</si>
  <si>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</si>
  <si>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</si>
  <si>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</si>
  <si>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</si>
  <si>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</si>
  <si>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</si>
  <si>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</si>
  <si>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</si>
  <si>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</si>
  <si>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</si>
  <si>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</si>
  <si>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</si>
  <si>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</si>
  <si>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</si>
  <si>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</si>
  <si>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</si>
  <si>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</si>
  <si>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</si>
  <si>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</si>
  <si>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</si>
  <si>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</si>
  <si>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</si>
  <si>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</si>
  <si>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</si>
  <si>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</si>
  <si>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</si>
  <si>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</si>
  <si>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</si>
  <si>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</si>
  <si>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</si>
  <si>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</si>
  <si>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</si>
  <si>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</si>
  <si>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</si>
  <si>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</si>
  <si>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</si>
  <si>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</si>
  <si>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</si>
  <si>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</si>
  <si>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</si>
  <si>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</si>
  <si>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</si>
  <si>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</si>
  <si>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</si>
  <si>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</si>
  <si>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</si>
  <si>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</si>
  <si>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</si>
  <si>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</si>
  <si>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</si>
  <si>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</si>
  <si>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</si>
  <si>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</si>
  <si>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</si>
  <si>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</si>
  <si>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</si>
  <si>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</si>
  <si>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</si>
  <si>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</si>
  <si>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</si>
  <si>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</si>
  <si>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</si>
  <si>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</si>
  <si>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</si>
  <si>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</si>
  <si>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</si>
  <si>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</si>
  <si>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</si>
  <si>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</si>
  <si>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</si>
  <si>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</si>
  <si>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</si>
  <si>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</si>
  <si>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</si>
  <si>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</si>
  <si>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</si>
  <si>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</si>
  <si>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</si>
  <si>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</si>
  <si>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</si>
  <si>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</si>
  <si>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</si>
  <si>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</si>
  <si>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</si>
  <si>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</si>
  <si>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</si>
  <si>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</si>
  <si>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</si>
  <si>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</si>
  <si>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</si>
  <si>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</si>
  <si>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</si>
  <si>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</si>
  <si>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</si>
  <si>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</si>
  <si>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</si>
  <si>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</si>
  <si>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</si>
  <si>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</si>
  <si>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</si>
  <si>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</si>
  <si>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</si>
  <si>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</si>
  <si>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</si>
  <si>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</si>
  <si>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</si>
  <si>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</si>
  <si>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</si>
  <si>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</si>
  <si>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</si>
  <si>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</si>
  <si>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</si>
  <si>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</si>
  <si>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</si>
  <si>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</si>
  <si>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</si>
  <si>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</si>
  <si>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</si>
  <si>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</si>
  <si>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</si>
  <si>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</si>
  <si>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</si>
  <si>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</si>
  <si>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</si>
  <si>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</si>
  <si>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</si>
  <si>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</si>
  <si>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</si>
  <si>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</si>
  <si>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</si>
  <si>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</si>
  <si>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</si>
  <si>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</si>
  <si>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</si>
  <si>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</si>
  <si>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</si>
  <si>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</si>
  <si>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</si>
  <si>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</si>
  <si>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</si>
  <si>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</si>
  <si>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</si>
  <si>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</si>
  <si>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</si>
  <si>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</si>
  <si>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</si>
  <si>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</si>
  <si>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</si>
  <si>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</si>
  <si>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</si>
  <si>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</si>
  <si>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</si>
  <si>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</si>
  <si>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</si>
  <si>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</si>
  <si>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</si>
  <si>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</si>
  <si>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</si>
  <si>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</si>
  <si>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</si>
  <si>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</si>
  <si>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</si>
  <si>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</si>
  <si>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</si>
  <si>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</si>
  <si>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</si>
  <si>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</si>
  <si>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</si>
  <si>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</si>
  <si>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</si>
  <si>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</si>
  <si>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</si>
  <si>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</si>
  <si>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</si>
  <si>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</si>
  <si>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</si>
  <si>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</si>
  <si>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</si>
  <si>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</si>
  <si>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</si>
  <si>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</si>
  <si>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</si>
  <si>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</si>
  <si>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</si>
  <si>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</si>
  <si>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</si>
  <si>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</si>
  <si>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</si>
  <si>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</si>
  <si>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</si>
  <si>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</si>
  <si>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</si>
  <si>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</si>
  <si>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</si>
  <si>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</si>
  <si>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</si>
  <si>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</si>
  <si>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</si>
  <si>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</si>
  <si>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</si>
  <si>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</si>
  <si>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</si>
  <si>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</si>
  <si>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</si>
  <si>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</si>
  <si>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</si>
  <si>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</si>
  <si>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</si>
  <si>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</si>
  <si>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</si>
  <si>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</si>
  <si>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</si>
  <si>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</si>
  <si>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</si>
  <si>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</si>
  <si>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</si>
  <si>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</si>
  <si>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</si>
  <si>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</si>
  <si>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</si>
  <si>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</si>
  <si>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</si>
  <si>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</si>
  <si>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</si>
  <si>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</si>
  <si>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</si>
  <si>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</si>
  <si>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</si>
  <si>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</si>
  <si>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</si>
  <si>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</si>
  <si>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</si>
  <si>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</si>
  <si>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</si>
  <si>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</si>
  <si>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</si>
  <si>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</si>
  <si>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</si>
  <si>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</si>
  <si>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</si>
  <si>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</si>
  <si>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</si>
  <si>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</si>
  <si>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</si>
  <si>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</si>
  <si>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</si>
  <si>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</si>
  <si>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</si>
  <si>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</si>
  <si>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</si>
  <si>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</si>
  <si>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</si>
  <si>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</si>
  <si>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</si>
  <si>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</si>
  <si>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</si>
  <si>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</si>
  <si>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</si>
  <si>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</si>
  <si>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</si>
  <si>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</si>
  <si>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</si>
  <si>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</si>
  <si>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</si>
  <si>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</si>
  <si>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</si>
  <si>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</si>
  <si>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</si>
  <si>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</si>
  <si>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</si>
  <si>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</si>
  <si>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</si>
  <si>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</si>
  <si>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</si>
  <si>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</si>
  <si>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</si>
  <si>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</si>
  <si>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</si>
  <si>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</si>
  <si>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</si>
  <si>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</si>
  <si>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</si>
  <si>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</si>
  <si>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</si>
  <si>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</si>
  <si>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</si>
  <si>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</si>
  <si>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</si>
  <si>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</si>
  <si>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</si>
  <si>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</si>
  <si>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</si>
  <si>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</si>
  <si>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</si>
  <si>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</si>
  <si>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</si>
  <si>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</si>
  <si>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</si>
  <si>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</si>
  <si>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</si>
  <si>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</si>
  <si>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</si>
  <si>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</si>
  <si>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</si>
  <si>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</si>
  <si>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</si>
  <si>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</si>
  <si>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</si>
  <si>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</si>
  <si>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</si>
  <si>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</si>
  <si>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</si>
  <si>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</si>
  <si>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</si>
  <si>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</si>
  <si>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</si>
  <si>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</si>
  <si>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</si>
  <si>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</si>
  <si>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</si>
  <si>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</si>
  <si>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</si>
  <si>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</si>
  <si>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</si>
  <si>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</si>
  <si>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</si>
  <si>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</si>
  <si>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</si>
  <si>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</si>
  <si>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</si>
  <si>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</si>
  <si>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</si>
  <si>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</si>
  <si>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</si>
  <si>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</si>
  <si>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</si>
  <si>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</si>
  <si>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</si>
  <si>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</si>
  <si>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</si>
  <si>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</si>
  <si>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</si>
  <si>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</si>
  <si>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</si>
  <si>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</si>
  <si>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</si>
  <si>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</si>
  <si>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</si>
  <si>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</si>
  <si>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</si>
  <si>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</si>
  <si>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</si>
  <si>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</si>
  <si>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</si>
  <si>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</si>
  <si>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</si>
  <si>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</si>
  <si>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</si>
  <si>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</si>
  <si>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</si>
  <si>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</si>
  <si>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</si>
  <si>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</si>
  <si>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</si>
  <si>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</si>
  <si>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</si>
  <si>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</si>
  <si>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</si>
  <si>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</si>
  <si>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</si>
  <si>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</si>
  <si>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</si>
  <si>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</si>
  <si>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</si>
  <si>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</si>
  <si>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</si>
  <si>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</si>
  <si>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</si>
  <si>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</si>
  <si>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</si>
  <si>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</si>
  <si>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</si>
  <si>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</si>
  <si>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</si>
  <si>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</si>
  <si>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</si>
  <si>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</si>
  <si>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</si>
  <si>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</si>
  <si>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</si>
  <si>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</si>
  <si>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</si>
  <si>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</si>
  <si>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</si>
  <si>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</si>
  <si>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</si>
  <si>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</si>
  <si>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</si>
  <si>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</si>
  <si>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</si>
  <si>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</si>
  <si>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</si>
  <si>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</si>
  <si>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</si>
  <si>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</si>
  <si>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</si>
  <si>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</si>
  <si>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</si>
  <si>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</si>
  <si>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</si>
  <si>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</si>
  <si>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</si>
  <si>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</si>
  <si>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</si>
  <si>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</si>
  <si>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</si>
  <si>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</si>
  <si>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</si>
  <si>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</si>
  <si>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</si>
  <si>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</si>
  <si>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</si>
  <si>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</si>
  <si>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</si>
  <si>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</si>
  <si>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</si>
  <si>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</si>
  <si>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</si>
  <si>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</si>
  <si>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</si>
  <si>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</si>
  <si>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</si>
  <si>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</si>
  <si>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</si>
  <si>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</si>
  <si>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</si>
  <si>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</si>
  <si>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</si>
  <si>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</si>
  <si>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</si>
  <si>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</si>
  <si>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</si>
  <si>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</si>
  <si>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</si>
  <si>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</si>
  <si>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</si>
  <si>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</si>
  <si>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</si>
  <si>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</si>
  <si>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</si>
  <si>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</si>
  <si>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</si>
  <si>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</si>
  <si>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</si>
  <si>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</si>
  <si>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</si>
  <si>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</si>
  <si>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</si>
  <si>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</si>
  <si>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</si>
  <si>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</si>
  <si>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</si>
  <si>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</si>
  <si>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</si>
  <si>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</si>
  <si>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</si>
  <si>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</si>
  <si>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</si>
  <si>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</si>
  <si>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</si>
  <si>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</si>
  <si>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</si>
  <si>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</si>
  <si>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</si>
  <si>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</si>
  <si>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</si>
  <si>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</si>
  <si>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</si>
  <si>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</si>
  <si>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</si>
  <si>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</si>
  <si>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</si>
  <si>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</si>
  <si>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</si>
  <si>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</si>
  <si>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</si>
  <si>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</si>
  <si>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</si>
  <si>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</si>
  <si>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</si>
  <si>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</si>
  <si>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</si>
  <si>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</si>
  <si>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</si>
  <si>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</si>
  <si>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</si>
  <si>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</si>
  <si>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</si>
  <si>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</si>
  <si>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</si>
  <si>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</si>
  <si>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</si>
  <si>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</si>
  <si>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</si>
  <si>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</si>
  <si>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</si>
  <si>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</si>
  <si>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</si>
  <si>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</si>
  <si>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</si>
  <si>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</si>
  <si>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</si>
  <si>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</si>
  <si>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</si>
  <si>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</si>
  <si>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</si>
  <si>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</si>
  <si>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</si>
  <si>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</si>
  <si>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</si>
  <si>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</si>
  <si>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</si>
  <si>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</si>
  <si>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</si>
  <si>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</si>
  <si>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</si>
  <si>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</si>
  <si>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</si>
  <si>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</si>
  <si>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</si>
  <si>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</si>
  <si>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</si>
  <si>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</si>
  <si>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</si>
  <si>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</si>
  <si>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</si>
  <si>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</si>
  <si>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</si>
  <si>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</si>
  <si>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</si>
  <si>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</si>
  <si>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</si>
  <si>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</si>
  <si>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</si>
  <si>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</si>
  <si>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</si>
  <si>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</si>
  <si>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</si>
  <si>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</si>
  <si>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</si>
  <si>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</si>
  <si>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</si>
  <si>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</si>
  <si>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</si>
  <si>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</si>
  <si>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</si>
  <si>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</si>
  <si>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</si>
  <si>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</si>
  <si>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</si>
  <si>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</si>
  <si>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</si>
  <si>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</si>
  <si>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</si>
  <si>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</si>
  <si>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</si>
  <si>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</si>
  <si>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</si>
  <si>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</si>
  <si>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</si>
  <si>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</si>
  <si>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</si>
  <si>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</si>
  <si>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</si>
  <si>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</si>
  <si>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</si>
  <si>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</si>
  <si>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</si>
  <si>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</si>
  <si>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</si>
  <si>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</si>
  <si>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</si>
  <si>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</si>
  <si>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</si>
  <si>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</si>
  <si>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</si>
  <si>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</si>
  <si>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</si>
  <si>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</si>
  <si>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</si>
  <si>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</si>
  <si>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</si>
  <si>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</si>
  <si>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</si>
  <si>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</si>
  <si>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</si>
  <si>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</si>
  <si>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</si>
  <si>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</si>
  <si>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</si>
  <si>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</si>
  <si>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</si>
  <si>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</si>
  <si>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</si>
  <si>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</si>
  <si>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</si>
  <si>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</si>
  <si>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</si>
  <si>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</si>
  <si>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</si>
  <si>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</si>
  <si>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</si>
  <si>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</si>
  <si>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</si>
  <si>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</si>
  <si>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</si>
  <si>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</si>
  <si>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</si>
  <si>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</si>
  <si>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</si>
  <si>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</si>
  <si>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</si>
  <si>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</si>
  <si>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</si>
  <si>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</si>
  <si>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</si>
  <si>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</si>
  <si>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</si>
  <si>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</si>
  <si>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</si>
  <si>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</si>
  <si>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</si>
  <si>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</si>
  <si>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</si>
  <si>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</si>
  <si>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</si>
  <si>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</si>
  <si>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</si>
  <si>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</si>
  <si>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</si>
  <si>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</si>
  <si>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</si>
  <si>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</si>
  <si>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</si>
  <si>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</si>
  <si>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</si>
  <si>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</si>
  <si>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</si>
  <si>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</si>
  <si>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</si>
  <si>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</si>
  <si>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</si>
  <si>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</si>
  <si>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</si>
  <si>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</si>
  <si>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</si>
  <si>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</si>
  <si>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</si>
  <si>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</si>
  <si>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</si>
  <si>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</si>
  <si>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</si>
  <si>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</si>
  <si>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</si>
  <si>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</si>
  <si>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</si>
  <si>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</si>
  <si>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</si>
  <si>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</si>
  <si>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</si>
  <si>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</si>
  <si>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</si>
  <si>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</si>
  <si>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</si>
  <si>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</si>
  <si>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</si>
  <si>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</si>
  <si>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</si>
  <si>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</si>
  <si>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</si>
  <si>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</si>
  <si>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</si>
  <si>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</si>
  <si>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</si>
  <si>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</si>
  <si>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</si>
  <si>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</si>
  <si>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</si>
  <si>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</si>
  <si>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</si>
  <si>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</si>
  <si>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</si>
  <si>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</si>
  <si>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</si>
  <si>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</si>
  <si>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</si>
  <si>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</si>
  <si>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</si>
  <si>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</si>
  <si>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</si>
  <si>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</si>
  <si>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</si>
  <si>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</si>
  <si>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</si>
  <si>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</si>
  <si>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</si>
  <si>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</si>
  <si>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</si>
  <si>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</si>
  <si>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</si>
  <si>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</si>
  <si>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</si>
  <si>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</si>
  <si>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</si>
  <si>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</si>
  <si>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</si>
  <si>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</si>
  <si>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</si>
  <si>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</si>
  <si>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</si>
  <si>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</si>
  <si>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</si>
  <si>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</si>
  <si>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</si>
  <si>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</si>
  <si>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</si>
  <si>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</si>
  <si>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</si>
  <si>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</si>
  <si>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</si>
  <si>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</si>
  <si>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</si>
  <si>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其他：</t>
  </si>
  <si>
    <t>企业</t>
  </si>
  <si>
    <t>商业</t>
  </si>
  <si>
    <t>地上</t>
  </si>
  <si>
    <t>建筑命名</t>
  </si>
  <si>
    <t>层数</t>
  </si>
  <si>
    <t>不计容面积(㎡)</t>
  </si>
  <si>
    <t>总面积(㎡)</t>
  </si>
  <si>
    <t>备注</t>
  </si>
  <si>
    <t>居住建筑</t>
  </si>
  <si>
    <t>商业建筑</t>
  </si>
  <si>
    <t>地下</t>
  </si>
  <si>
    <t>住宅建筑</t>
  </si>
  <si>
    <t>住宅配套</t>
  </si>
  <si>
    <t>商业配套</t>
  </si>
  <si>
    <t>停车位</t>
  </si>
  <si>
    <t>车库</t>
  </si>
  <si>
    <t>人防地下室</t>
  </si>
  <si>
    <t>架空层</t>
  </si>
  <si>
    <t>全地下商业</t>
  </si>
  <si>
    <t>商品住房</t>
  </si>
  <si>
    <t>住宅配套公建</t>
  </si>
  <si>
    <t>商场超市</t>
  </si>
  <si>
    <t>其他服务</t>
  </si>
  <si>
    <t>公寓</t>
  </si>
  <si>
    <t>商业配套公建</t>
  </si>
  <si>
    <t>4G-1#楼</t>
  </si>
  <si>
    <t>4G-2#楼</t>
  </si>
  <si>
    <t>4G-3楼</t>
  </si>
  <si>
    <t>4G-4楼</t>
  </si>
  <si>
    <t>4G-5楼</t>
  </si>
  <si>
    <t>4G-6楼</t>
  </si>
  <si>
    <t>4G-7楼</t>
  </si>
  <si>
    <t>4G-8楼</t>
  </si>
  <si>
    <t>4G-9楼</t>
  </si>
  <si>
    <t>4G-10楼</t>
  </si>
  <si>
    <t>4G-11楼</t>
  </si>
  <si>
    <t>4G-12楼</t>
  </si>
  <si>
    <t>4G-13楼</t>
  </si>
  <si>
    <t>4G-14楼</t>
  </si>
  <si>
    <t>4G-15楼</t>
  </si>
  <si>
    <t>4G-16楼</t>
  </si>
  <si>
    <t>4G地块地下室</t>
  </si>
  <si>
    <t>否</t>
  </si>
  <si>
    <t>住宅</t>
    <phoneticPr fontId="7" type="noConversion"/>
  </si>
  <si>
    <t>土地（套用方法）</t>
  </si>
  <si>
    <t>自定义</t>
  </si>
  <si>
    <t>按租金收入计税</t>
  </si>
  <si>
    <t>钢混</t>
  </si>
  <si>
    <t>正常</t>
  </si>
  <si>
    <r>
      <t>计容面积分项(m</t>
    </r>
    <r>
      <rPr>
        <b/>
        <vertAlign val="superscript"/>
        <sz val="10"/>
        <color theme="1"/>
        <rFont val="微软雅黑"/>
        <family val="2"/>
        <charset val="134"/>
      </rPr>
      <t>2</t>
    </r>
    <r>
      <rPr>
        <b/>
        <sz val="10"/>
        <color theme="1"/>
        <rFont val="微软雅黑"/>
        <family val="2"/>
        <charset val="134"/>
      </rPr>
      <t>)</t>
    </r>
  </si>
  <si>
    <t>商业</t>
    <phoneticPr fontId="7" type="noConversion"/>
  </si>
  <si>
    <t>车库</t>
    <phoneticPr fontId="7" type="noConversion"/>
  </si>
  <si>
    <t>不动产收益法车库</t>
  </si>
  <si>
    <r>
      <rPr>
        <sz val="11"/>
        <color indexed="8"/>
        <rFont val="宋体"/>
        <family val="3"/>
        <charset val="134"/>
      </rPr>
      <t>不动产收益法</t>
    </r>
    <r>
      <rPr>
        <sz val="11"/>
        <color indexed="8"/>
        <rFont val="宋体"/>
        <family val="3"/>
        <charset val="134"/>
      </rPr>
      <t>车库</t>
    </r>
    <phoneticPr fontId="14" type="noConversion"/>
  </si>
  <si>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</si>
  <si>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</si>
  <si>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</si>
  <si>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</si>
  <si>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</si>
  <si>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</si>
  <si>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</si>
  <si>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</si>
  <si>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</si>
  <si>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</si>
  <si>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</si>
  <si>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</si>
  <si>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</si>
  <si>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</si>
  <si>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</si>
  <si>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</si>
  <si>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贵阳市观山湖贵遵路与林城东路交叉口东南侧</t>
  </si>
  <si>
    <t>贵阳市</t>
  </si>
  <si>
    <t>综合用地(含住宅)</t>
  </si>
  <si>
    <t>挂牌</t>
  </si>
  <si>
    <t>商业、住宅(居住45%,商业商务55%(商业商务建筑比例为5:5))</t>
  </si>
  <si>
    <t>2020-08-17</t>
  </si>
  <si>
    <t>贵阳龙湖度势文化产业发展有限公司</t>
  </si>
  <si>
    <t>5星</t>
  </si>
  <si>
    <t>贵阳市观山湖区宾阳大道与观山西路交叉口东南侧</t>
  </si>
  <si>
    <t>≤2.5</t>
  </si>
  <si>
    <t>住宅(居住用地兼容商业(10%))</t>
  </si>
  <si>
    <t>2020-07-17</t>
  </si>
  <si>
    <t>贵阳南彩置业有限公司</t>
  </si>
  <si>
    <t>4星</t>
  </si>
  <si>
    <t>贵阳市观山湖区黔灵山路与阳关大道交叉口东侧</t>
  </si>
  <si>
    <t>≤4.5(1≤居住容积率≤2.5)</t>
  </si>
  <si>
    <t>居住14%,商业(兼容商务比例不限)86%</t>
  </si>
  <si>
    <t>2020-06-30</t>
  </si>
  <si>
    <t>贵阳远大卓越置业有限公司</t>
  </si>
  <si>
    <t>贵阳市观山湖区长岭南路与合肥路延伸段交叉口西南侧</t>
  </si>
  <si>
    <t>≥1.0且≤2.5</t>
  </si>
  <si>
    <t>商业、住宅</t>
  </si>
  <si>
    <t>2019-11-29</t>
  </si>
  <si>
    <t>2019-12-30</t>
  </si>
  <si>
    <t>金茂西南企业管理(重庆)有限公司</t>
  </si>
  <si>
    <t>贵阳市观山湖区林城东路与西二环交叉口西北侧</t>
  </si>
  <si>
    <t>拍卖</t>
  </si>
  <si>
    <t>住宅,商业</t>
  </si>
  <si>
    <t>2019-06-12</t>
  </si>
  <si>
    <t>中信房地产集团有限公司</t>
  </si>
  <si>
    <t>贵阳市观山湖区东林寺路北侧、规划嘉园大道东侧</t>
  </si>
  <si>
    <t>≥1,＜2.5</t>
  </si>
  <si>
    <t>2019-02-14</t>
  </si>
  <si>
    <t>贵阳云天置业有限公司</t>
  </si>
  <si>
    <t>观山湖区观山西路北侧、诚信南路西侧</t>
  </si>
  <si>
    <t>≥1,≤2.5</t>
  </si>
  <si>
    <t>住宅用地,商业用地</t>
  </si>
  <si>
    <t>2018-08-31</t>
  </si>
  <si>
    <t>中铁置业集团贵州有限公司</t>
  </si>
  <si>
    <t>高新区金阳园区</t>
  </si>
  <si>
    <t>住宅用地</t>
  </si>
  <si>
    <t>＞1,≤2.5</t>
  </si>
  <si>
    <t>中低价位、中小套型普通商品住房用地</t>
  </si>
  <si>
    <t>2018-08-21</t>
  </si>
  <si>
    <t>贵州融创基业房地产开发有限公司</t>
  </si>
  <si>
    <t>观山湖区金清线东段北侧</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</si>
  <si>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</si>
  <si>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</si>
  <si>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</si>
  <si>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</si>
  <si>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</si>
  <si>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</si>
  <si>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</si>
  <si>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</si>
  <si>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</si>
  <si>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</si>
  <si>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</si>
  <si>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</si>
  <si>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</si>
  <si>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</si>
  <si>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住宅、商业</t>
  </si>
  <si>
    <t>住宅、商业</t>
    <phoneticPr fontId="26" type="noConversion"/>
  </si>
  <si>
    <t>土地</t>
  </si>
  <si>
    <t>规则</t>
    <phoneticPr fontId="26" type="noConversion"/>
  </si>
  <si>
    <t>较规则</t>
  </si>
  <si>
    <t>较规则</t>
    <phoneticPr fontId="26" type="noConversion"/>
  </si>
  <si>
    <t>较不规则</t>
  </si>
  <si>
    <t>较不规则</t>
    <phoneticPr fontId="26" type="noConversion"/>
  </si>
  <si>
    <t>不规则</t>
    <phoneticPr fontId="26" type="noConversion"/>
  </si>
  <si>
    <t>一般</t>
  </si>
  <si>
    <t>较好</t>
  </si>
  <si>
    <t>较差</t>
  </si>
  <si>
    <t>比较法-住宅、综合</t>
  </si>
  <si>
    <t>剩余法-待开发</t>
  </si>
  <si>
    <t>不动产收益法</t>
  </si>
  <si>
    <t>住宅</t>
    <phoneticPr fontId="21" type="noConversion"/>
  </si>
  <si>
    <t>50-60（含）</t>
  </si>
  <si>
    <t>售价</t>
  </si>
  <si>
    <t>六通</t>
  </si>
  <si>
    <t>六通</t>
    <phoneticPr fontId="26" type="noConversion"/>
  </si>
  <si>
    <t>五通</t>
    <phoneticPr fontId="26" type="noConversion"/>
  </si>
  <si>
    <t>四通</t>
    <phoneticPr fontId="26" type="noConversion"/>
  </si>
  <si>
    <t>三通</t>
  </si>
  <si>
    <t>三通</t>
    <phoneticPr fontId="26" type="noConversion"/>
  </si>
  <si>
    <t>周边楼盘信息</t>
  </si>
  <si>
    <t>楼盘</t>
  </si>
  <si>
    <t>类型</t>
  </si>
  <si>
    <t>价格</t>
  </si>
  <si>
    <t>毛坯/装修交付</t>
  </si>
  <si>
    <t>万科翡翠公园</t>
    <phoneticPr fontId="228" type="noConversion"/>
  </si>
  <si>
    <t>高层住宅</t>
  </si>
  <si>
    <t>约13500</t>
  </si>
  <si>
    <t>装修</t>
  </si>
  <si>
    <t>万科新都荟</t>
  </si>
  <si>
    <t>约11800</t>
  </si>
  <si>
    <t>尾盘</t>
    <phoneticPr fontId="228" type="noConversion"/>
  </si>
  <si>
    <t>约13800</t>
  </si>
  <si>
    <t>观府壹号</t>
    <phoneticPr fontId="228" type="noConversion"/>
  </si>
  <si>
    <t>毛坯</t>
  </si>
  <si>
    <t>中铁阅山湖云著</t>
    <phoneticPr fontId="228" type="noConversion"/>
  </si>
  <si>
    <t>约18800</t>
  </si>
  <si>
    <t>湖景</t>
  </si>
  <si>
    <t>单位：元/平方米</t>
  </si>
  <si>
    <t>万科翡翠公园</t>
    <phoneticPr fontId="3" type="noConversion"/>
  </si>
  <si>
    <t>高层住宅</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</si>
  <si>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</si>
  <si>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</si>
  <si>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</si>
  <si>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</si>
  <si>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</si>
  <si>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</si>
  <si>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六通</t>
    <phoneticPr fontId="21" type="noConversion"/>
  </si>
  <si>
    <t>尾盘</t>
    <phoneticPr fontId="21" type="noConversion"/>
  </si>
  <si>
    <t>否</t>
    <phoneticPr fontId="21" type="noConversion"/>
  </si>
  <si>
    <t>万科翡翠天骄</t>
    <phoneticPr fontId="228" type="noConversion"/>
  </si>
  <si>
    <t>好</t>
  </si>
  <si>
    <t>是</t>
    <phoneticPr fontId="21" type="noConversion"/>
  </si>
  <si>
    <t>万科翡翠天骄</t>
    <phoneticPr fontId="3" type="noConversion"/>
  </si>
  <si>
    <t>观府壹号</t>
    <phoneticPr fontId="3" type="noConversion"/>
  </si>
  <si>
    <t>40-50（含）</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</si>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</sst>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
      <color theme="1"/>
      <name val="微软雅黑"/>
      <family val="2"/>
      <charset val="134"/>
    </font>
    <font>
      <b/>
      <vertAlign val="superscript"/>
      <sz val="10"/>
      <color theme="1"/>
      <name val="微软雅黑"/>
      <family val="2"/>
      <charset val="134"/>
    </font>
    <font>
      <sz val="10"/>
      <color theme="1"/>
      <name val="微软雅黑"/>
      <family val="2"/>
      <charset val="134"/>
    </font>
    <font>
      <sz val="16"/>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282" fillId="0" borderId="0" xfId="1" applyFont="1">
      <alignment vertical="center"/>
    </xf>
    <xf numFmtId="0" fontId="280" fillId="20" borderId="2" xfId="1" applyFont="1" applyFill="1" applyBorder="1" applyAlignment="1">
      <alignment horizontal="center" vertical="center" wrapText="1"/>
    </xf>
    <xf numFmtId="0" fontId="282" fillId="0" borderId="2" xfId="1" applyFont="1" applyBorder="1" applyAlignment="1">
      <alignment horizontal="center" vertical="center" wrapText="1"/>
    </xf>
    <xf numFmtId="0" fontId="282" fillId="0" borderId="2" xfId="1" applyFont="1" applyBorder="1" applyAlignment="1">
      <alignment horizontal="justify" vertical="center" wrapText="1"/>
    </xf>
    <xf numFmtId="179" fontId="282" fillId="0" borderId="2" xfId="1" applyNumberFormat="1" applyFont="1" applyBorder="1" applyAlignment="1">
      <alignment horizontal="center" vertical="center" wrapText="1"/>
    </xf>
    <xf numFmtId="179" fontId="282" fillId="0" borderId="2" xfId="1" applyNumberFormat="1" applyFont="1" applyBorder="1" applyAlignment="1">
      <alignment horizontal="justify" vertical="center" wrapText="1"/>
    </xf>
    <xf numFmtId="0" fontId="280" fillId="21" borderId="2" xfId="1" applyFont="1" applyFill="1" applyBorder="1" applyAlignment="1">
      <alignment horizontal="center" vertical="center"/>
    </xf>
    <xf numFmtId="0" fontId="280" fillId="6" borderId="2" xfId="1" applyFont="1" applyFill="1" applyBorder="1" applyAlignment="1">
      <alignment horizontal="center" vertical="center"/>
    </xf>
    <xf numFmtId="0" fontId="280" fillId="0" borderId="2" xfId="1" applyFont="1" applyBorder="1" applyAlignment="1">
      <alignment horizontal="center" vertical="center"/>
    </xf>
    <xf numFmtId="0" fontId="280" fillId="22" borderId="2" xfId="1" applyFont="1" applyFill="1" applyBorder="1" applyAlignment="1">
      <alignment horizontal="center" vertical="center"/>
    </xf>
    <xf numFmtId="0" fontId="280" fillId="0" borderId="0" xfId="1" applyFont="1">
      <alignment vertical="center"/>
    </xf>
    <xf numFmtId="177" fontId="81" fillId="0" borderId="2" xfId="2" applyNumberFormat="1" applyFont="1" applyFill="1" applyBorder="1" applyAlignment="1" applyProtection="1">
      <alignment vertical="center"/>
      <protection locked="0"/>
    </xf>
    <xf numFmtId="0" fontId="81" fillId="0" borderId="2" xfId="0" applyFont="1" applyBorder="1" applyAlignment="1" applyProtection="1">
      <alignment horizontal="center" vertical="center"/>
      <protection locked="0"/>
    </xf>
    <xf numFmtId="177" fontId="71" fillId="0" borderId="2" xfId="0" applyNumberFormat="1" applyFont="1" applyFill="1" applyBorder="1" applyAlignment="1" applyProtection="1">
      <alignment horizontal="center" vertical="center" wrapText="1"/>
      <protection locked="0"/>
    </xf>
    <xf numFmtId="0" fontId="86" fillId="0" borderId="0" xfId="16" applyAlignment="1">
      <alignment horizontal="left"/>
    </xf>
    <xf numFmtId="0" fontId="86" fillId="6" borderId="0" xfId="16" applyFill="1" applyAlignment="1">
      <alignment horizontal="left"/>
    </xf>
    <xf numFmtId="0" fontId="144" fillId="0" borderId="74" xfId="0" applyNumberFormat="1" applyFont="1" applyFill="1" applyBorder="1" applyAlignment="1" applyProtection="1">
      <alignment horizontal="center" vertical="center" wrapText="1"/>
      <protection locked="0"/>
    </xf>
    <xf numFmtId="0" fontId="84" fillId="11" borderId="20" xfId="0" applyNumberFormat="1" applyFont="1" applyFill="1" applyBorder="1" applyAlignment="1" applyProtection="1">
      <alignment horizontal="center" vertical="center" wrapText="1"/>
      <protection locked="0"/>
    </xf>
    <xf numFmtId="0" fontId="84" fillId="11"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1" applyAlignment="1">
      <alignment horizontal="center" vertical="center"/>
    </xf>
    <xf numFmtId="0" fontId="180" fillId="0" borderId="2" xfId="1" applyFont="1" applyBorder="1" applyAlignment="1">
      <alignment horizontal="center" vertical="center"/>
    </xf>
    <xf numFmtId="0" fontId="145" fillId="0" borderId="2" xfId="1" applyBorder="1" applyAlignment="1">
      <alignment horizontal="center" vertical="center"/>
    </xf>
    <xf numFmtId="0" fontId="180" fillId="6" borderId="2" xfId="1" applyFont="1" applyFill="1" applyBorder="1" applyAlignment="1">
      <alignment horizontal="center" vertical="center"/>
    </xf>
    <xf numFmtId="0" fontId="145" fillId="0" borderId="2" xfId="1" applyFont="1" applyBorder="1" applyAlignment="1">
      <alignment horizontal="center" vertical="center"/>
    </xf>
    <xf numFmtId="0" fontId="180" fillId="0" borderId="0" xfId="1" applyFont="1" applyAlignment="1">
      <alignment horizontal="center" vertical="center"/>
    </xf>
    <xf numFmtId="0" fontId="8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82" fillId="6" borderId="2" xfId="1" applyFont="1" applyFill="1" applyBorder="1" applyAlignment="1">
      <alignment horizontal="justify" vertical="center" wrapText="1"/>
    </xf>
    <xf numFmtId="176" fontId="11" fillId="23" borderId="2" xfId="0" applyNumberFormat="1" applyFont="1" applyFill="1" applyBorder="1" applyAlignment="1" applyProtection="1">
      <alignment horizontal="center" vertical="center" wrapText="1"/>
      <protection locked="0"/>
    </xf>
    <xf numFmtId="177"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84" fillId="23" borderId="50" xfId="0" applyNumberFormat="1" applyFont="1" applyFill="1" applyBorder="1" applyAlignment="1" applyProtection="1">
      <alignment horizontal="center" vertical="center" wrapText="1"/>
      <protection locked="0"/>
    </xf>
    <xf numFmtId="0" fontId="106" fillId="23" borderId="16" xfId="0" applyNumberFormat="1" applyFont="1" applyFill="1" applyBorder="1" applyAlignment="1" applyProtection="1">
      <alignment horizontal="center" vertical="center" wrapText="1"/>
      <protection locked="0"/>
    </xf>
    <xf numFmtId="0" fontId="75" fillId="23" borderId="16" xfId="0" applyFont="1" applyFill="1" applyBorder="1" applyAlignment="1" applyProtection="1">
      <alignment horizontal="left" vertical="center" wrapText="1"/>
    </xf>
    <xf numFmtId="0" fontId="99" fillId="10" borderId="9"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0" fontId="71" fillId="17" borderId="2" xfId="0" applyFont="1" applyFill="1" applyBorder="1" applyProtection="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20" borderId="2" xfId="1" applyFont="1" applyFill="1" applyBorder="1" applyAlignment="1">
      <alignment horizontal="center" vertical="center"/>
    </xf>
    <xf numFmtId="0" fontId="280" fillId="20" borderId="4" xfId="1" applyFont="1" applyFill="1" applyBorder="1" applyAlignment="1">
      <alignment horizontal="center" vertical="center"/>
    </xf>
    <xf numFmtId="0" fontId="280" fillId="20" borderId="32" xfId="1" applyFont="1" applyFill="1" applyBorder="1" applyAlignment="1">
      <alignment horizontal="center" vertical="center"/>
    </xf>
    <xf numFmtId="0" fontId="280" fillId="20" borderId="17" xfId="1" applyFont="1" applyFill="1" applyBorder="1" applyAlignment="1">
      <alignment horizontal="center" vertical="center"/>
    </xf>
    <xf numFmtId="0" fontId="280" fillId="20" borderId="20" xfId="1" applyFont="1" applyFill="1" applyBorder="1" applyAlignment="1">
      <alignment horizontal="center" vertical="center"/>
    </xf>
    <xf numFmtId="0" fontId="280" fillId="20" borderId="2" xfId="1" applyFont="1" applyFill="1" applyBorder="1" applyAlignment="1">
      <alignment horizontal="center" vertical="center" wrapText="1"/>
    </xf>
    <xf numFmtId="0" fontId="280" fillId="20" borderId="4" xfId="1" applyFont="1" applyFill="1" applyBorder="1" applyAlignment="1">
      <alignment horizontal="center" vertical="center" wrapText="1"/>
    </xf>
    <xf numFmtId="0" fontId="280" fillId="20" borderId="14" xfId="1" applyFont="1" applyFill="1" applyBorder="1" applyAlignment="1">
      <alignment horizontal="center" vertical="center" wrapText="1"/>
    </xf>
    <xf numFmtId="0" fontId="280" fillId="20" borderId="32" xfId="1" applyFont="1" applyFill="1" applyBorder="1" applyAlignment="1">
      <alignment horizontal="center" vertical="center" wrapText="1"/>
    </xf>
    <xf numFmtId="0" fontId="280" fillId="20" borderId="17" xfId="1" applyFont="1" applyFill="1" applyBorder="1" applyAlignment="1">
      <alignment horizontal="center" vertical="center" wrapText="1"/>
    </xf>
    <xf numFmtId="0" fontId="280" fillId="20" borderId="19" xfId="1" applyFont="1" applyFill="1" applyBorder="1" applyAlignment="1">
      <alignment horizontal="center" vertical="center" wrapText="1"/>
    </xf>
    <xf numFmtId="0" fontId="280" fillId="20" borderId="20" xfId="1" applyFont="1" applyFill="1" applyBorder="1" applyAlignment="1">
      <alignment horizontal="center" vertical="center" wrapText="1"/>
    </xf>
    <xf numFmtId="0" fontId="280" fillId="0" borderId="2" xfId="1" applyFont="1" applyBorder="1" applyAlignment="1">
      <alignment horizontal="center" vertical="center"/>
    </xf>
    <xf numFmtId="0" fontId="280" fillId="20" borderId="10"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80" fillId="20" borderId="3" xfId="1" applyFont="1" applyFill="1" applyBorder="1" applyAlignment="1">
      <alignment horizontal="center" vertical="center" wrapText="1"/>
    </xf>
    <xf numFmtId="0" fontId="280" fillId="20" borderId="10" xfId="1" applyFont="1" applyFill="1" applyBorder="1" applyAlignment="1">
      <alignment horizontal="center" vertical="center"/>
    </xf>
    <xf numFmtId="0" fontId="280" fillId="20" borderId="21" xfId="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0" xfId="1" applyFont="1" applyBorder="1" applyAlignment="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1" fontId="76" fillId="10" borderId="12"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3">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685800</xdr:colOff>
      <xdr:row>17</xdr:row>
      <xdr:rowOff>95250</xdr:rowOff>
    </xdr:from>
    <xdr:to>
      <xdr:col>4</xdr:col>
      <xdr:colOff>808862</xdr:colOff>
      <xdr:row>50</xdr:row>
      <xdr:rowOff>27916</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685800" y="2847975"/>
          <a:ext cx="6104762" cy="5276191"/>
        </a:xfrm>
        <a:prstGeom prst="rect">
          <a:avLst/>
        </a:prstGeom>
      </xdr:spPr>
    </xdr:pic>
    <xdr:clientData/>
  </xdr:twoCellAnchor>
  <xdr:twoCellAnchor editAs="oneCell">
    <xdr:from>
      <xdr:col>0</xdr:col>
      <xdr:colOff>209550</xdr:colOff>
      <xdr:row>53</xdr:row>
      <xdr:rowOff>38100</xdr:rowOff>
    </xdr:from>
    <xdr:to>
      <xdr:col>7</xdr:col>
      <xdr:colOff>760879</xdr:colOff>
      <xdr:row>90</xdr:row>
      <xdr:rowOff>151637</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209550" y="8620125"/>
          <a:ext cx="8971429" cy="6104762"/>
        </a:xfrm>
        <a:prstGeom prst="rect">
          <a:avLst/>
        </a:prstGeom>
      </xdr:spPr>
    </xdr:pic>
    <xdr:clientData/>
  </xdr:twoCellAnchor>
  <xdr:twoCellAnchor editAs="oneCell">
    <xdr:from>
      <xdr:col>7</xdr:col>
      <xdr:colOff>0</xdr:colOff>
      <xdr:row>57</xdr:row>
      <xdr:rowOff>0</xdr:rowOff>
    </xdr:from>
    <xdr:to>
      <xdr:col>10</xdr:col>
      <xdr:colOff>789928</xdr:colOff>
      <xdr:row>77</xdr:row>
      <xdr:rowOff>123405</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9153525" y="9229725"/>
          <a:ext cx="5180953" cy="3361905"/>
        </a:xfrm>
        <a:prstGeom prst="rect">
          <a:avLst/>
        </a:prstGeom>
      </xdr:spPr>
    </xdr:pic>
    <xdr:clientData/>
  </xdr:twoCellAnchor>
  <xdr:twoCellAnchor editAs="oneCell">
    <xdr:from>
      <xdr:col>0</xdr:col>
      <xdr:colOff>257175</xdr:colOff>
      <xdr:row>93</xdr:row>
      <xdr:rowOff>66675</xdr:rowOff>
    </xdr:from>
    <xdr:to>
      <xdr:col>7</xdr:col>
      <xdr:colOff>513266</xdr:colOff>
      <xdr:row>130</xdr:row>
      <xdr:rowOff>84974</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stretch>
          <a:fillRect/>
        </a:stretch>
      </xdr:blipFill>
      <xdr:spPr>
        <a:xfrm>
          <a:off x="257175" y="15125700"/>
          <a:ext cx="8676191" cy="6009524"/>
        </a:xfrm>
        <a:prstGeom prst="rect">
          <a:avLst/>
        </a:prstGeom>
      </xdr:spPr>
    </xdr:pic>
    <xdr:clientData/>
  </xdr:twoCellAnchor>
  <xdr:twoCellAnchor editAs="oneCell">
    <xdr:from>
      <xdr:col>7</xdr:col>
      <xdr:colOff>0</xdr:colOff>
      <xdr:row>97</xdr:row>
      <xdr:rowOff>0</xdr:rowOff>
    </xdr:from>
    <xdr:to>
      <xdr:col>11</xdr:col>
      <xdr:colOff>161255</xdr:colOff>
      <xdr:row>117</xdr:row>
      <xdr:rowOff>161500</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5"/>
        <a:stretch>
          <a:fillRect/>
        </a:stretch>
      </xdr:blipFill>
      <xdr:spPr>
        <a:xfrm>
          <a:off x="9153525" y="15706725"/>
          <a:ext cx="5361905" cy="3400000"/>
        </a:xfrm>
        <a:prstGeom prst="rect">
          <a:avLst/>
        </a:prstGeom>
      </xdr:spPr>
    </xdr:pic>
    <xdr:clientData/>
  </xdr:twoCellAnchor>
  <xdr:twoCellAnchor editAs="oneCell">
    <xdr:from>
      <xdr:col>0</xdr:col>
      <xdr:colOff>171450</xdr:colOff>
      <xdr:row>132</xdr:row>
      <xdr:rowOff>76200</xdr:rowOff>
    </xdr:from>
    <xdr:to>
      <xdr:col>7</xdr:col>
      <xdr:colOff>379922</xdr:colOff>
      <xdr:row>168</xdr:row>
      <xdr:rowOff>94519</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6"/>
        <a:stretch>
          <a:fillRect/>
        </a:stretch>
      </xdr:blipFill>
      <xdr:spPr>
        <a:xfrm>
          <a:off x="171450" y="21450300"/>
          <a:ext cx="8628572" cy="5847619"/>
        </a:xfrm>
        <a:prstGeom prst="rect">
          <a:avLst/>
        </a:prstGeom>
      </xdr:spPr>
    </xdr:pic>
    <xdr:clientData/>
  </xdr:twoCellAnchor>
  <xdr:twoCellAnchor editAs="oneCell">
    <xdr:from>
      <xdr:col>7</xdr:col>
      <xdr:colOff>0</xdr:colOff>
      <xdr:row>135</xdr:row>
      <xdr:rowOff>0</xdr:rowOff>
    </xdr:from>
    <xdr:to>
      <xdr:col>11</xdr:col>
      <xdr:colOff>266017</xdr:colOff>
      <xdr:row>155</xdr:row>
      <xdr:rowOff>113881</xdr:rowOff>
    </xdr:to>
    <xdr:pic>
      <xdr:nvPicPr>
        <xdr:cNvPr id="8" name="图片 7">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7"/>
        <a:stretch>
          <a:fillRect/>
        </a:stretch>
      </xdr:blipFill>
      <xdr:spPr>
        <a:xfrm>
          <a:off x="9153525" y="21859875"/>
          <a:ext cx="5466667" cy="3352381"/>
        </a:xfrm>
        <a:prstGeom prst="rect">
          <a:avLst/>
        </a:prstGeom>
      </xdr:spPr>
    </xdr:pic>
    <xdr:clientData/>
  </xdr:twoCellAnchor>
  <xdr:twoCellAnchor>
    <xdr:from>
      <xdr:col>0</xdr:col>
      <xdr:colOff>2600325</xdr:colOff>
      <xdr:row>29</xdr:row>
      <xdr:rowOff>19050</xdr:rowOff>
    </xdr:from>
    <xdr:to>
      <xdr:col>1</xdr:col>
      <xdr:colOff>304800</xdr:colOff>
      <xdr:row>30</xdr:row>
      <xdr:rowOff>123825</xdr:rowOff>
    </xdr:to>
    <xdr:sp macro="" textlink="">
      <xdr:nvSpPr>
        <xdr:cNvPr id="9" name="TextBox 8">
          <a:extLst>
            <a:ext uri="{FF2B5EF4-FFF2-40B4-BE49-F238E27FC236}">
              <a16:creationId xmlns:a16="http://schemas.microsoft.com/office/drawing/2014/main" xmlns="" id="{00000000-0008-0000-1300-000009000000}"/>
            </a:ext>
          </a:extLst>
        </xdr:cNvPr>
        <xdr:cNvSpPr txBox="1"/>
      </xdr:nvSpPr>
      <xdr:spPr>
        <a:xfrm>
          <a:off x="2600325" y="4714875"/>
          <a:ext cx="10953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2962275</xdr:colOff>
      <xdr:row>32</xdr:row>
      <xdr:rowOff>123825</xdr:rowOff>
    </xdr:from>
    <xdr:to>
      <xdr:col>2</xdr:col>
      <xdr:colOff>142875</xdr:colOff>
      <xdr:row>34</xdr:row>
      <xdr:rowOff>95250</xdr:rowOff>
    </xdr:to>
    <xdr:sp macro="" textlink="">
      <xdr:nvSpPr>
        <xdr:cNvPr id="10" name="TextBox 9">
          <a:extLst>
            <a:ext uri="{FF2B5EF4-FFF2-40B4-BE49-F238E27FC236}">
              <a16:creationId xmlns:a16="http://schemas.microsoft.com/office/drawing/2014/main" xmlns="" id="{00000000-0008-0000-1300-00000A000000}"/>
            </a:ext>
          </a:extLst>
        </xdr:cNvPr>
        <xdr:cNvSpPr txBox="1"/>
      </xdr:nvSpPr>
      <xdr:spPr>
        <a:xfrm>
          <a:off x="2962275" y="5305425"/>
          <a:ext cx="104775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1257300</xdr:colOff>
      <xdr:row>34</xdr:row>
      <xdr:rowOff>47625</xdr:rowOff>
    </xdr:from>
    <xdr:to>
      <xdr:col>0</xdr:col>
      <xdr:colOff>2362200</xdr:colOff>
      <xdr:row>36</xdr:row>
      <xdr:rowOff>19050</xdr:rowOff>
    </xdr:to>
    <xdr:sp macro="" textlink="">
      <xdr:nvSpPr>
        <xdr:cNvPr id="11" name="TextBox 10">
          <a:extLst>
            <a:ext uri="{FF2B5EF4-FFF2-40B4-BE49-F238E27FC236}">
              <a16:creationId xmlns:a16="http://schemas.microsoft.com/office/drawing/2014/main" xmlns="" id="{00000000-0008-0000-1300-00000B000000}"/>
            </a:ext>
          </a:extLst>
        </xdr:cNvPr>
        <xdr:cNvSpPr txBox="1"/>
      </xdr:nvSpPr>
      <xdr:spPr>
        <a:xfrm>
          <a:off x="1257300" y="5553075"/>
          <a:ext cx="11049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2020-2.5-5640</a:t>
          </a:r>
          <a:endParaRPr lang="zh-CN" altLang="en-US" sz="1100"/>
        </a:p>
      </xdr:txBody>
    </xdr:sp>
    <xdr:clientData/>
  </xdr:twoCellAnchor>
  <xdr:twoCellAnchor>
    <xdr:from>
      <xdr:col>0</xdr:col>
      <xdr:colOff>2200275</xdr:colOff>
      <xdr:row>37</xdr:row>
      <xdr:rowOff>47625</xdr:rowOff>
    </xdr:from>
    <xdr:to>
      <xdr:col>1</xdr:col>
      <xdr:colOff>19050</xdr:colOff>
      <xdr:row>38</xdr:row>
      <xdr:rowOff>152400</xdr:rowOff>
    </xdr:to>
    <xdr:sp macro="" textlink="">
      <xdr:nvSpPr>
        <xdr:cNvPr id="12" name="TextBox 11">
          <a:extLst>
            <a:ext uri="{FF2B5EF4-FFF2-40B4-BE49-F238E27FC236}">
              <a16:creationId xmlns:a16="http://schemas.microsoft.com/office/drawing/2014/main" xmlns="" id="{00000000-0008-0000-1300-00000C000000}"/>
            </a:ext>
          </a:extLst>
        </xdr:cNvPr>
        <xdr:cNvSpPr txBox="1"/>
      </xdr:nvSpPr>
      <xdr:spPr>
        <a:xfrm>
          <a:off x="2200275" y="6038850"/>
          <a:ext cx="12096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2018-2.5-7076</a:t>
          </a:r>
          <a:endParaRPr lang="zh-CN" altLang="en-US" sz="1100"/>
        </a:p>
      </xdr:txBody>
    </xdr:sp>
    <xdr:clientData/>
  </xdr:twoCellAnchor>
  <xdr:twoCellAnchor>
    <xdr:from>
      <xdr:col>3</xdr:col>
      <xdr:colOff>47625</xdr:colOff>
      <xdr:row>22</xdr:row>
      <xdr:rowOff>114301</xdr:rowOff>
    </xdr:from>
    <xdr:to>
      <xdr:col>4</xdr:col>
      <xdr:colOff>85725</xdr:colOff>
      <xdr:row>24</xdr:row>
      <xdr:rowOff>76201</xdr:rowOff>
    </xdr:to>
    <xdr:sp macro="" textlink="">
      <xdr:nvSpPr>
        <xdr:cNvPr id="13" name="TextBox 12">
          <a:extLst>
            <a:ext uri="{FF2B5EF4-FFF2-40B4-BE49-F238E27FC236}">
              <a16:creationId xmlns:a16="http://schemas.microsoft.com/office/drawing/2014/main" xmlns="" id="{00000000-0008-0000-1300-00000D000000}"/>
            </a:ext>
          </a:extLst>
        </xdr:cNvPr>
        <xdr:cNvSpPr txBox="1"/>
      </xdr:nvSpPr>
      <xdr:spPr>
        <a:xfrm>
          <a:off x="4972050" y="3676651"/>
          <a:ext cx="10953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2019-2.5-4524</a:t>
          </a:r>
          <a:endParaRPr lang="zh-CN" altLang="en-US" sz="1100"/>
        </a:p>
      </xdr:txBody>
    </xdr:sp>
    <xdr:clientData/>
  </xdr:twoCellAnchor>
  <xdr:twoCellAnchor>
    <xdr:from>
      <xdr:col>3</xdr:col>
      <xdr:colOff>895350</xdr:colOff>
      <xdr:row>27</xdr:row>
      <xdr:rowOff>142875</xdr:rowOff>
    </xdr:from>
    <xdr:to>
      <xdr:col>4</xdr:col>
      <xdr:colOff>942975</xdr:colOff>
      <xdr:row>29</xdr:row>
      <xdr:rowOff>85725</xdr:rowOff>
    </xdr:to>
    <xdr:sp macro="" textlink="">
      <xdr:nvSpPr>
        <xdr:cNvPr id="14" name="TextBox 13">
          <a:extLst>
            <a:ext uri="{FF2B5EF4-FFF2-40B4-BE49-F238E27FC236}">
              <a16:creationId xmlns:a16="http://schemas.microsoft.com/office/drawing/2014/main" xmlns="" id="{00000000-0008-0000-1300-00000E000000}"/>
            </a:ext>
          </a:extLst>
        </xdr:cNvPr>
        <xdr:cNvSpPr txBox="1"/>
      </xdr:nvSpPr>
      <xdr:spPr>
        <a:xfrm>
          <a:off x="5819775" y="4514850"/>
          <a:ext cx="11049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2019-2.57-7639</a:t>
          </a:r>
          <a:endParaRPr lang="zh-CN" altLang="en-US" sz="1100"/>
        </a:p>
      </xdr:txBody>
    </xdr:sp>
    <xdr:clientData/>
  </xdr:twoCellAnchor>
  <xdr:twoCellAnchor>
    <xdr:from>
      <xdr:col>3</xdr:col>
      <xdr:colOff>361950</xdr:colOff>
      <xdr:row>32</xdr:row>
      <xdr:rowOff>133349</xdr:rowOff>
    </xdr:from>
    <xdr:to>
      <xdr:col>4</xdr:col>
      <xdr:colOff>400050</xdr:colOff>
      <xdr:row>34</xdr:row>
      <xdr:rowOff>85724</xdr:rowOff>
    </xdr:to>
    <xdr:sp macro="" textlink="">
      <xdr:nvSpPr>
        <xdr:cNvPr id="15" name="TextBox 14">
          <a:extLst>
            <a:ext uri="{FF2B5EF4-FFF2-40B4-BE49-F238E27FC236}">
              <a16:creationId xmlns:a16="http://schemas.microsoft.com/office/drawing/2014/main" xmlns="" id="{00000000-0008-0000-1300-00000F000000}"/>
            </a:ext>
          </a:extLst>
        </xdr:cNvPr>
        <xdr:cNvSpPr txBox="1"/>
      </xdr:nvSpPr>
      <xdr:spPr>
        <a:xfrm>
          <a:off x="5286375" y="5314949"/>
          <a:ext cx="10953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2020-3.57-3452</a:t>
          </a:r>
          <a:endParaRPr lang="zh-CN" altLang="en-US" sz="1100"/>
        </a:p>
      </xdr:txBody>
    </xdr:sp>
    <xdr:clientData/>
  </xdr:twoCellAnchor>
  <xdr:twoCellAnchor>
    <xdr:from>
      <xdr:col>1</xdr:col>
      <xdr:colOff>428624</xdr:colOff>
      <xdr:row>40</xdr:row>
      <xdr:rowOff>57150</xdr:rowOff>
    </xdr:from>
    <xdr:to>
      <xdr:col>3</xdr:col>
      <xdr:colOff>295274</xdr:colOff>
      <xdr:row>41</xdr:row>
      <xdr:rowOff>152400</xdr:rowOff>
    </xdr:to>
    <xdr:sp macro="" textlink="">
      <xdr:nvSpPr>
        <xdr:cNvPr id="16" name="TextBox 15">
          <a:extLst>
            <a:ext uri="{FF2B5EF4-FFF2-40B4-BE49-F238E27FC236}">
              <a16:creationId xmlns:a16="http://schemas.microsoft.com/office/drawing/2014/main" xmlns="" id="{00000000-0008-0000-1300-000010000000}"/>
            </a:ext>
          </a:extLst>
        </xdr:cNvPr>
        <xdr:cNvSpPr txBox="1"/>
      </xdr:nvSpPr>
      <xdr:spPr>
        <a:xfrm>
          <a:off x="3819524" y="6534150"/>
          <a:ext cx="14001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2020-4.5</a:t>
          </a:r>
          <a:r>
            <a:rPr lang="zh-CN" altLang="en-US" sz="1100"/>
            <a:t>限高</a:t>
          </a:r>
          <a:r>
            <a:rPr lang="en-US" altLang="zh-CN" sz="1100"/>
            <a:t>-2262</a:t>
          </a:r>
          <a:endParaRPr lang="zh-CN" altLang="en-US" sz="1100"/>
        </a:p>
      </xdr:txBody>
    </xdr:sp>
    <xdr:clientData/>
  </xdr:twoCellAnchor>
  <xdr:twoCellAnchor>
    <xdr:from>
      <xdr:col>3</xdr:col>
      <xdr:colOff>209550</xdr:colOff>
      <xdr:row>36</xdr:row>
      <xdr:rowOff>66675</xdr:rowOff>
    </xdr:from>
    <xdr:to>
      <xdr:col>4</xdr:col>
      <xdr:colOff>247650</xdr:colOff>
      <xdr:row>38</xdr:row>
      <xdr:rowOff>38100</xdr:rowOff>
    </xdr:to>
    <xdr:sp macro="" textlink="">
      <xdr:nvSpPr>
        <xdr:cNvPr id="17" name="TextBox 16">
          <a:extLst>
            <a:ext uri="{FF2B5EF4-FFF2-40B4-BE49-F238E27FC236}">
              <a16:creationId xmlns:a16="http://schemas.microsoft.com/office/drawing/2014/main" xmlns="" id="{00000000-0008-0000-1300-000011000000}"/>
            </a:ext>
          </a:extLst>
        </xdr:cNvPr>
        <xdr:cNvSpPr txBox="1"/>
      </xdr:nvSpPr>
      <xdr:spPr>
        <a:xfrm>
          <a:off x="5133975" y="5895975"/>
          <a:ext cx="10953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2018-2.5-5214</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84858</xdr:colOff>
      <xdr:row>28</xdr:row>
      <xdr:rowOff>151824</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685800" y="342900"/>
          <a:ext cx="6942858" cy="4609524"/>
        </a:xfrm>
        <a:prstGeom prst="rect">
          <a:avLst/>
        </a:prstGeom>
      </xdr:spPr>
    </xdr:pic>
    <xdr:clientData/>
  </xdr:twoCellAnchor>
  <xdr:twoCellAnchor editAs="oneCell">
    <xdr:from>
      <xdr:col>1</xdr:col>
      <xdr:colOff>0</xdr:colOff>
      <xdr:row>31</xdr:row>
      <xdr:rowOff>0</xdr:rowOff>
    </xdr:from>
    <xdr:to>
      <xdr:col>12</xdr:col>
      <xdr:colOff>665724</xdr:colOff>
      <xdr:row>67</xdr:row>
      <xdr:rowOff>27800</xdr:rowOff>
    </xdr:to>
    <xdr:pic>
      <xdr:nvPicPr>
        <xdr:cNvPr id="3" name="图片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a:stretch>
          <a:fillRect/>
        </a:stretch>
      </xdr:blipFill>
      <xdr:spPr>
        <a:xfrm>
          <a:off x="685800" y="5314950"/>
          <a:ext cx="8209524" cy="6200000"/>
        </a:xfrm>
        <a:prstGeom prst="rect">
          <a:avLst/>
        </a:prstGeom>
      </xdr:spPr>
    </xdr:pic>
    <xdr:clientData/>
  </xdr:twoCellAnchor>
  <xdr:twoCellAnchor editAs="oneCell">
    <xdr:from>
      <xdr:col>1</xdr:col>
      <xdr:colOff>0</xdr:colOff>
      <xdr:row>70</xdr:row>
      <xdr:rowOff>0</xdr:rowOff>
    </xdr:from>
    <xdr:to>
      <xdr:col>12</xdr:col>
      <xdr:colOff>46677</xdr:colOff>
      <xdr:row>96</xdr:row>
      <xdr:rowOff>75634</xdr:rowOff>
    </xdr:to>
    <xdr:pic>
      <xdr:nvPicPr>
        <xdr:cNvPr id="4" name="图片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3"/>
        <a:stretch>
          <a:fillRect/>
        </a:stretch>
      </xdr:blipFill>
      <xdr:spPr>
        <a:xfrm>
          <a:off x="685800" y="12001500"/>
          <a:ext cx="7590477" cy="4533334"/>
        </a:xfrm>
        <a:prstGeom prst="rect">
          <a:avLst/>
        </a:prstGeom>
      </xdr:spPr>
    </xdr:pic>
    <xdr:clientData/>
  </xdr:twoCellAnchor>
  <xdr:twoCellAnchor editAs="oneCell">
    <xdr:from>
      <xdr:col>1</xdr:col>
      <xdr:colOff>0</xdr:colOff>
      <xdr:row>102</xdr:row>
      <xdr:rowOff>0</xdr:rowOff>
    </xdr:from>
    <xdr:to>
      <xdr:col>12</xdr:col>
      <xdr:colOff>332391</xdr:colOff>
      <xdr:row>128</xdr:row>
      <xdr:rowOff>75634</xdr:rowOff>
    </xdr:to>
    <xdr:pic>
      <xdr:nvPicPr>
        <xdr:cNvPr id="5" name="图片 4">
          <a:extLst>
            <a:ext uri="{FF2B5EF4-FFF2-40B4-BE49-F238E27FC236}">
              <a16:creationId xmlns:a16="http://schemas.microsoft.com/office/drawing/2014/main" xmlns="" id="{00000000-0008-0000-2000-000005000000}"/>
            </a:ext>
          </a:extLst>
        </xdr:cNvPr>
        <xdr:cNvPicPr>
          <a:picLocks noChangeAspect="1"/>
        </xdr:cNvPicPr>
      </xdr:nvPicPr>
      <xdr:blipFill>
        <a:blip xmlns:r="http://schemas.openxmlformats.org/officeDocument/2006/relationships" r:embed="rId4"/>
        <a:stretch>
          <a:fillRect/>
        </a:stretch>
      </xdr:blipFill>
      <xdr:spPr>
        <a:xfrm>
          <a:off x="685800" y="17487900"/>
          <a:ext cx="7876191" cy="4533334"/>
        </a:xfrm>
        <a:prstGeom prst="rect">
          <a:avLst/>
        </a:prstGeom>
      </xdr:spPr>
    </xdr:pic>
    <xdr:clientData/>
  </xdr:twoCellAnchor>
  <xdr:twoCellAnchor editAs="oneCell">
    <xdr:from>
      <xdr:col>1</xdr:col>
      <xdr:colOff>85725</xdr:colOff>
      <xdr:row>129</xdr:row>
      <xdr:rowOff>133350</xdr:rowOff>
    </xdr:from>
    <xdr:to>
      <xdr:col>11</xdr:col>
      <xdr:colOff>561059</xdr:colOff>
      <xdr:row>146</xdr:row>
      <xdr:rowOff>113938</xdr:rowOff>
    </xdr:to>
    <xdr:pic>
      <xdr:nvPicPr>
        <xdr:cNvPr id="6" name="图片 5">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5"/>
        <a:stretch>
          <a:fillRect/>
        </a:stretch>
      </xdr:blipFill>
      <xdr:spPr>
        <a:xfrm>
          <a:off x="771525" y="22250400"/>
          <a:ext cx="7333334" cy="2895238"/>
        </a:xfrm>
        <a:prstGeom prst="rect">
          <a:avLst/>
        </a:prstGeom>
      </xdr:spPr>
    </xdr:pic>
    <xdr:clientData/>
  </xdr:twoCellAnchor>
  <xdr:twoCellAnchor editAs="oneCell">
    <xdr:from>
      <xdr:col>1</xdr:col>
      <xdr:colOff>0</xdr:colOff>
      <xdr:row>152</xdr:row>
      <xdr:rowOff>0</xdr:rowOff>
    </xdr:from>
    <xdr:to>
      <xdr:col>11</xdr:col>
      <xdr:colOff>684858</xdr:colOff>
      <xdr:row>179</xdr:row>
      <xdr:rowOff>132755</xdr:rowOff>
    </xdr:to>
    <xdr:pic>
      <xdr:nvPicPr>
        <xdr:cNvPr id="7" name="图片 6">
          <a:extLst>
            <a:ext uri="{FF2B5EF4-FFF2-40B4-BE49-F238E27FC236}">
              <a16:creationId xmlns:a16="http://schemas.microsoft.com/office/drawing/2014/main" xmlns="" id="{00000000-0008-0000-2000-000007000000}"/>
            </a:ext>
          </a:extLst>
        </xdr:cNvPr>
        <xdr:cNvPicPr>
          <a:picLocks noChangeAspect="1"/>
        </xdr:cNvPicPr>
      </xdr:nvPicPr>
      <xdr:blipFill>
        <a:blip xmlns:r="http://schemas.openxmlformats.org/officeDocument/2006/relationships" r:embed="rId6"/>
        <a:stretch>
          <a:fillRect/>
        </a:stretch>
      </xdr:blipFill>
      <xdr:spPr>
        <a:xfrm>
          <a:off x="685800" y="26060400"/>
          <a:ext cx="7542858" cy="4761905"/>
        </a:xfrm>
        <a:prstGeom prst="rect">
          <a:avLst/>
        </a:prstGeom>
      </xdr:spPr>
    </xdr:pic>
    <xdr:clientData/>
  </xdr:twoCellAnchor>
  <xdr:twoCellAnchor editAs="oneCell">
    <xdr:from>
      <xdr:col>1</xdr:col>
      <xdr:colOff>0</xdr:colOff>
      <xdr:row>182</xdr:row>
      <xdr:rowOff>0</xdr:rowOff>
    </xdr:from>
    <xdr:to>
      <xdr:col>13</xdr:col>
      <xdr:colOff>8496</xdr:colOff>
      <xdr:row>215</xdr:row>
      <xdr:rowOff>142150</xdr:rowOff>
    </xdr:to>
    <xdr:pic>
      <xdr:nvPicPr>
        <xdr:cNvPr id="8" name="图片 7">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7"/>
        <a:stretch>
          <a:fillRect/>
        </a:stretch>
      </xdr:blipFill>
      <xdr:spPr>
        <a:xfrm>
          <a:off x="685800" y="31203900"/>
          <a:ext cx="8238096" cy="5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484601</xdr:colOff>
      <xdr:row>12</xdr:row>
      <xdr:rowOff>18855</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685800" y="514350"/>
          <a:ext cx="9400001" cy="1561905"/>
        </a:xfrm>
        <a:prstGeom prst="rect">
          <a:avLst/>
        </a:prstGeom>
      </xdr:spPr>
    </xdr:pic>
    <xdr:clientData/>
  </xdr:twoCellAnchor>
  <xdr:twoCellAnchor editAs="oneCell">
    <xdr:from>
      <xdr:col>1</xdr:col>
      <xdr:colOff>0</xdr:colOff>
      <xdr:row>14</xdr:row>
      <xdr:rowOff>0</xdr:rowOff>
    </xdr:from>
    <xdr:to>
      <xdr:col>15</xdr:col>
      <xdr:colOff>27372</xdr:colOff>
      <xdr:row>23</xdr:row>
      <xdr:rowOff>56950</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685800" y="2400300"/>
          <a:ext cx="9628572" cy="1600000"/>
        </a:xfrm>
        <a:prstGeom prst="rect">
          <a:avLst/>
        </a:prstGeom>
      </xdr:spPr>
    </xdr:pic>
    <xdr:clientData/>
  </xdr:twoCellAnchor>
  <xdr:twoCellAnchor editAs="oneCell">
    <xdr:from>
      <xdr:col>1</xdr:col>
      <xdr:colOff>0</xdr:colOff>
      <xdr:row>25</xdr:row>
      <xdr:rowOff>0</xdr:rowOff>
    </xdr:from>
    <xdr:to>
      <xdr:col>14</xdr:col>
      <xdr:colOff>608410</xdr:colOff>
      <xdr:row>34</xdr:row>
      <xdr:rowOff>104569</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3"/>
        <a:stretch>
          <a:fillRect/>
        </a:stretch>
      </xdr:blipFill>
      <xdr:spPr>
        <a:xfrm>
          <a:off x="685800" y="4286250"/>
          <a:ext cx="9523810" cy="1647619"/>
        </a:xfrm>
        <a:prstGeom prst="rect">
          <a:avLst/>
        </a:prstGeom>
      </xdr:spPr>
    </xdr:pic>
    <xdr:clientData/>
  </xdr:twoCellAnchor>
  <xdr:twoCellAnchor editAs="oneCell">
    <xdr:from>
      <xdr:col>1</xdr:col>
      <xdr:colOff>0</xdr:colOff>
      <xdr:row>37</xdr:row>
      <xdr:rowOff>0</xdr:rowOff>
    </xdr:from>
    <xdr:to>
      <xdr:col>15</xdr:col>
      <xdr:colOff>27372</xdr:colOff>
      <xdr:row>46</xdr:row>
      <xdr:rowOff>37902</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4"/>
        <a:stretch>
          <a:fillRect/>
        </a:stretch>
      </xdr:blipFill>
      <xdr:spPr>
        <a:xfrm>
          <a:off x="685800" y="6343650"/>
          <a:ext cx="9628572" cy="1580952"/>
        </a:xfrm>
        <a:prstGeom prst="rect">
          <a:avLst/>
        </a:prstGeom>
      </xdr:spPr>
    </xdr:pic>
    <xdr:clientData/>
  </xdr:twoCellAnchor>
  <xdr:twoCellAnchor editAs="oneCell">
    <xdr:from>
      <xdr:col>1</xdr:col>
      <xdr:colOff>0</xdr:colOff>
      <xdr:row>48</xdr:row>
      <xdr:rowOff>0</xdr:rowOff>
    </xdr:from>
    <xdr:to>
      <xdr:col>14</xdr:col>
      <xdr:colOff>503648</xdr:colOff>
      <xdr:row>56</xdr:row>
      <xdr:rowOff>161733</xdr:rowOff>
    </xdr:to>
    <xdr:pic>
      <xdr:nvPicPr>
        <xdr:cNvPr id="6" name="图片 5">
          <a:extLst>
            <a:ext uri="{FF2B5EF4-FFF2-40B4-BE49-F238E27FC236}">
              <a16:creationId xmlns:a16="http://schemas.microsoft.com/office/drawing/2014/main" xmlns="" id="{00000000-0008-0000-2800-000006000000}"/>
            </a:ext>
          </a:extLst>
        </xdr:cNvPr>
        <xdr:cNvPicPr>
          <a:picLocks noChangeAspect="1"/>
        </xdr:cNvPicPr>
      </xdr:nvPicPr>
      <xdr:blipFill>
        <a:blip xmlns:r="http://schemas.openxmlformats.org/officeDocument/2006/relationships" r:embed="rId5"/>
        <a:stretch>
          <a:fillRect/>
        </a:stretch>
      </xdr:blipFill>
      <xdr:spPr>
        <a:xfrm>
          <a:off x="685800" y="8229600"/>
          <a:ext cx="9419048" cy="1533333"/>
        </a:xfrm>
        <a:prstGeom prst="rect">
          <a:avLst/>
        </a:prstGeom>
      </xdr:spPr>
    </xdr:pic>
    <xdr:clientData/>
  </xdr:twoCellAnchor>
  <xdr:twoCellAnchor editAs="oneCell">
    <xdr:from>
      <xdr:col>1</xdr:col>
      <xdr:colOff>0</xdr:colOff>
      <xdr:row>59</xdr:row>
      <xdr:rowOff>0</xdr:rowOff>
    </xdr:from>
    <xdr:to>
      <xdr:col>14</xdr:col>
      <xdr:colOff>513172</xdr:colOff>
      <xdr:row>68</xdr:row>
      <xdr:rowOff>75998</xdr:rowOff>
    </xdr:to>
    <xdr:pic>
      <xdr:nvPicPr>
        <xdr:cNvPr id="7" name="图片 6">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6"/>
        <a:stretch>
          <a:fillRect/>
        </a:stretch>
      </xdr:blipFill>
      <xdr:spPr>
        <a:xfrm>
          <a:off x="685800" y="10115550"/>
          <a:ext cx="9428572" cy="1619048"/>
        </a:xfrm>
        <a:prstGeom prst="rect">
          <a:avLst/>
        </a:prstGeom>
      </xdr:spPr>
    </xdr:pic>
    <xdr:clientData/>
  </xdr:twoCellAnchor>
  <xdr:twoCellAnchor editAs="oneCell">
    <xdr:from>
      <xdr:col>1</xdr:col>
      <xdr:colOff>0</xdr:colOff>
      <xdr:row>71</xdr:row>
      <xdr:rowOff>0</xdr:rowOff>
    </xdr:from>
    <xdr:to>
      <xdr:col>14</xdr:col>
      <xdr:colOff>656029</xdr:colOff>
      <xdr:row>80</xdr:row>
      <xdr:rowOff>47426</xdr:rowOff>
    </xdr:to>
    <xdr:pic>
      <xdr:nvPicPr>
        <xdr:cNvPr id="8" name="图片 7">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7"/>
        <a:stretch>
          <a:fillRect/>
        </a:stretch>
      </xdr:blipFill>
      <xdr:spPr>
        <a:xfrm>
          <a:off x="685800" y="12172950"/>
          <a:ext cx="9571429" cy="15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出让国有建设用地使用权抵押价格预评估</v>
      </c>
      <c r="AX2" s="2612"/>
      <c r="AZ2" s="2612"/>
      <c r="BA2" s="2613"/>
      <c r="BC2" s="2613"/>
    </row>
    <row r="3" spans="1:55" s="2614" customFormat="1">
      <c r="A3" s="2593" t="s">
        <v>2641</v>
      </c>
      <c r="B3" s="2596">
        <f>'预评函-封皮'!B40</f>
        <v>0</v>
      </c>
    </row>
    <row r="4" spans="1:55" s="2595" customFormat="1">
      <c r="A4" s="2593" t="s">
        <v>2642</v>
      </c>
      <c r="B4" s="2594" t="str">
        <f>'预评函-封皮'!B46</f>
        <v>土地估价师、土地估价师</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受贵公司委托，我公司对出让国有建设用地使用权抵押价格进行了预评估。</v>
      </c>
      <c r="AM6" s="2618"/>
    </row>
    <row r="7" spans="1:55" s="2592" customFormat="1">
      <c r="A7" s="2593" t="s">
        <v>2637</v>
      </c>
      <c r="B7" s="2594" t="str">
        <f>'预评函-1'!A6</f>
        <v>估价对象为使用的、位于出让国有建设用地使用权。根据《国有土地使用证》[]，估价对象（分摊）出让国有建设用地使用权面积为75029.52平方米。根据《建设工程规划许可证》[]、《出让合同》[]，估价对象规划建筑面积为276122.93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2020年9月3日（评估专业人员勘察现场之日）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根据《国有土地使用证》[]，估价对象（分摊）出让国有建设用地使用权面积为75029.52平方米。根据《建设工程规划许可证》[]、《出让合同》[]，估价对象规划建筑面积为276122.93平方米。</v>
      </c>
    </row>
    <row r="16" spans="1:55" s="2592" customFormat="1">
      <c r="A16" s="2593" t="s">
        <v>2649</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19" spans="1:48" s="2592" customFormat="1">
      <c r="A19" s="2593" t="s">
        <v>2652</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估价期日：2020年9月3日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75029.52</v>
      </c>
    </row>
    <row r="44" spans="1:2">
      <c r="A44" s="2593" t="s">
        <v>2720</v>
      </c>
      <c r="B44" s="2594" t="str">
        <f>'预评函-2'!O3</f>
        <v>规划建筑面积/㎡</v>
      </c>
    </row>
    <row r="45" spans="1:2">
      <c r="A45" s="2593" t="s">
        <v>2702</v>
      </c>
      <c r="B45" s="2594">
        <f>'预评函-2'!O5</f>
        <v>276122.93</v>
      </c>
    </row>
    <row r="46" spans="1:2">
      <c r="A46" s="2593" t="s">
        <v>2703</v>
      </c>
      <c r="B46" s="2594">
        <f ca="1">'预评函-2'!P5</f>
        <v>16547</v>
      </c>
    </row>
    <row r="47" spans="1:2">
      <c r="A47" s="2593" t="s">
        <v>2704</v>
      </c>
      <c r="B47" s="2594">
        <f ca="1">'预评函-2'!Q5</f>
        <v>4496</v>
      </c>
    </row>
    <row r="48" spans="1:2">
      <c r="A48" s="2593" t="s">
        <v>2705</v>
      </c>
      <c r="B48" s="2594">
        <f ca="1">'预评函-2'!R5</f>
        <v>124151</v>
      </c>
    </row>
    <row r="49" spans="1:2">
      <c r="A49" s="2593" t="s">
        <v>2721</v>
      </c>
      <c r="B49" s="2594" t="str">
        <f>'预评函-2'!A6</f>
        <v>抵押价格</v>
      </c>
    </row>
    <row r="50" spans="1:2">
      <c r="A50" s="2593" t="s">
        <v>2706</v>
      </c>
      <c r="B50" s="2594">
        <f ca="1">'预评函-2'!R6</f>
        <v>124151</v>
      </c>
    </row>
    <row r="51" spans="1:2">
      <c r="A51" s="2593" t="s">
        <v>2722</v>
      </c>
      <c r="B51" s="2594" t="str">
        <f>'预评函-2'!A7</f>
        <v>——</v>
      </c>
    </row>
    <row r="52" spans="1:2">
      <c r="A52" s="2593" t="s">
        <v>2707</v>
      </c>
      <c r="B52" s="2594" t="str">
        <f>'预评函-2'!R7</f>
        <v>——</v>
      </c>
    </row>
    <row r="53" spans="1:2">
      <c r="A53" s="2593" t="s">
        <v>2723</v>
      </c>
      <c r="B53" s="2594">
        <f>'预评函-2'!A8</f>
        <v>0</v>
      </c>
    </row>
    <row r="54" spans="1:2" s="2608" customFormat="1" ht="15" thickBot="1">
      <c r="A54" s="2615" t="s">
        <v>2708</v>
      </c>
      <c r="B54" s="2616" t="str">
        <f>'预评函-2'!R8</f>
        <v>——</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土地估价师</v>
      </c>
    </row>
    <row r="70" spans="1:2">
      <c r="A70" s="2593" t="s">
        <v>2670</v>
      </c>
      <c r="B70" s="2600">
        <f>'预评函-3'!B20</f>
        <v>0</v>
      </c>
    </row>
    <row r="71" spans="1:2">
      <c r="A71" s="2593" t="s">
        <v>2671</v>
      </c>
      <c r="B71" s="2594" t="str">
        <f>'预评函-3'!A21</f>
        <v>土地估价师</v>
      </c>
    </row>
    <row r="72" spans="1:2" s="2608" customFormat="1" ht="15" thickBot="1">
      <c r="A72" s="2615" t="s">
        <v>2671</v>
      </c>
      <c r="B72" s="2621">
        <f>'预评函-3'!B21</f>
        <v>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22" sqref="E22:I22"/>
    </sheetView>
  </sheetViews>
  <sheetFormatPr defaultColWidth="10" defaultRowHeight="14.25"/>
  <cols>
    <col min="1" max="1" width="15.375" style="1611" customWidth="1"/>
    <col min="2" max="2" width="11.375" style="1611" customWidth="1"/>
    <col min="3" max="3" width="12.625" style="1611" customWidth="1"/>
    <col min="4" max="4" width="10"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1925</v>
      </c>
      <c r="B1" s="3354" t="str">
        <f>IF(B10="北京市","北京市",C10)&amp;F10&amp;B16&amp;"国有建设用地使用权"&amp;B9&amp;"预评估"</f>
        <v>出让国有建设用地使用权抵押价格预评估</v>
      </c>
      <c r="C1" s="3355"/>
      <c r="D1" s="3355"/>
      <c r="E1" s="3355"/>
      <c r="F1" s="3355"/>
      <c r="G1" s="3355"/>
      <c r="H1" s="3355"/>
      <c r="I1" s="3356"/>
      <c r="J1" s="3072"/>
      <c r="K1" s="2308" t="str">
        <f>IF(B10="北京市","北京市",C10)&amp;F10&amp;B16&amp;"国有建设用地使用权"&amp;B9</f>
        <v>出让国有建设用地使用权抵押价格</v>
      </c>
      <c r="L1" s="3051"/>
      <c r="M1" s="3051"/>
      <c r="N1" s="3052"/>
      <c r="O1" s="3053"/>
      <c r="P1" s="3052"/>
      <c r="Q1" s="3052"/>
      <c r="R1" s="3052"/>
      <c r="S1" s="3052"/>
      <c r="T1" s="3052"/>
      <c r="U1" s="3052"/>
    </row>
    <row r="2" spans="1:21">
      <c r="A2" s="1585" t="s">
        <v>1926</v>
      </c>
      <c r="B2" s="1753"/>
      <c r="D2" s="3072"/>
      <c r="E2" s="3072"/>
      <c r="F2" s="3072"/>
      <c r="G2" s="3072"/>
      <c r="H2" s="3073"/>
      <c r="I2" s="3074"/>
      <c r="J2" s="3072"/>
      <c r="K2" s="2308" t="str">
        <f>IF(B10="北京市","北京市",C10)&amp;F10&amp;B16&amp;"国有建设用地使用权"</f>
        <v>出让国有建设用地使用权</v>
      </c>
      <c r="L2" s="3051"/>
      <c r="M2" s="3051"/>
      <c r="N2" s="3052"/>
      <c r="O2" s="3053"/>
      <c r="P2" s="3052"/>
      <c r="Q2" s="3052"/>
      <c r="R2" s="3052"/>
      <c r="S2" s="3052"/>
      <c r="T2" s="3052"/>
      <c r="U2" s="3052"/>
    </row>
    <row r="3" spans="1:21">
      <c r="A3" s="1586" t="s">
        <v>1927</v>
      </c>
      <c r="B3" s="1587">
        <v>44077</v>
      </c>
      <c r="C3" s="2995" t="s">
        <v>1983</v>
      </c>
      <c r="D3" s="1587">
        <v>44077</v>
      </c>
      <c r="E3" s="3072"/>
      <c r="F3" s="3072"/>
      <c r="G3" s="3072"/>
      <c r="H3" s="3073"/>
      <c r="I3" s="3074"/>
      <c r="J3" s="3072"/>
      <c r="K3" s="3055"/>
      <c r="L3" s="3051"/>
      <c r="M3" s="3051"/>
      <c r="N3" s="3052"/>
      <c r="O3" s="3053"/>
      <c r="P3" s="3052"/>
      <c r="Q3" s="3052"/>
      <c r="R3" s="3052"/>
      <c r="S3" s="3052"/>
      <c r="T3" s="3052"/>
      <c r="U3" s="3052"/>
    </row>
    <row r="4" spans="1:21" ht="29.25" thickBot="1">
      <c r="A4" s="1589" t="s">
        <v>1928</v>
      </c>
      <c r="B4" s="1754" t="s">
        <v>2867</v>
      </c>
      <c r="C4" s="1757">
        <f>SUMIF(土地估价师,B4,估价师及机构信息!E3:E16)</f>
        <v>0</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0" t="s">
        <v>1929</v>
      </c>
      <c r="B5" s="1701"/>
      <c r="C5" s="1591"/>
      <c r="D5" s="1592"/>
      <c r="E5" s="3072"/>
      <c r="F5" s="3072"/>
      <c r="G5" s="3072"/>
      <c r="H5" s="3073"/>
      <c r="I5" s="3074"/>
      <c r="J5" s="3072"/>
      <c r="K5" s="3055"/>
      <c r="L5" s="3051"/>
      <c r="M5" s="3051"/>
      <c r="N5" s="3052"/>
      <c r="O5" s="3053"/>
      <c r="P5" s="3052"/>
      <c r="Q5" s="3052"/>
      <c r="R5" s="3052"/>
      <c r="S5" s="3052"/>
      <c r="T5" s="3052"/>
      <c r="U5" s="3052"/>
    </row>
    <row r="6" spans="1:21" ht="26.25">
      <c r="A6" s="1588" t="s">
        <v>2686</v>
      </c>
      <c r="B6" s="1701"/>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2687</v>
      </c>
      <c r="B7" s="1701"/>
      <c r="C7" s="1676"/>
      <c r="D7" s="1593"/>
      <c r="E7" s="3072"/>
      <c r="F7" s="3072"/>
      <c r="G7" s="3072"/>
      <c r="H7" s="3073"/>
      <c r="I7" s="3074"/>
      <c r="J7" s="3072"/>
      <c r="K7" s="3055"/>
      <c r="L7" s="3051"/>
      <c r="M7" s="3051"/>
      <c r="N7" s="3052"/>
      <c r="O7" s="3053"/>
      <c r="P7" s="3052"/>
      <c r="Q7" s="3052"/>
      <c r="R7" s="3052"/>
      <c r="S7" s="3052"/>
      <c r="T7" s="3052"/>
      <c r="U7" s="3052"/>
    </row>
    <row r="8" spans="1:21">
      <c r="A8" s="2996" t="s">
        <v>1930</v>
      </c>
      <c r="B8" s="1595" t="s">
        <v>2956</v>
      </c>
      <c r="C8" s="1596"/>
      <c r="D8" s="3360" t="s">
        <v>1932</v>
      </c>
      <c r="E8" s="1755" t="s">
        <v>3002</v>
      </c>
      <c r="F8" s="1597"/>
      <c r="G8" s="3073"/>
      <c r="H8" s="3073"/>
      <c r="I8" s="3076"/>
      <c r="J8" s="3072"/>
      <c r="K8" s="3055"/>
      <c r="L8" s="3051"/>
      <c r="M8" s="3051"/>
      <c r="N8" s="3052"/>
      <c r="O8" s="3053"/>
      <c r="P8" s="3052"/>
      <c r="Q8" s="3052"/>
      <c r="R8" s="3052"/>
      <c r="S8" s="3052"/>
      <c r="T8" s="3052"/>
      <c r="U8" s="3052"/>
    </row>
    <row r="9" spans="1:21" ht="15" thickBot="1">
      <c r="A9" s="2997" t="s">
        <v>1931</v>
      </c>
      <c r="B9" s="1598" t="s">
        <v>3002</v>
      </c>
      <c r="C9" s="1599"/>
      <c r="D9" s="3361"/>
      <c r="E9" s="1598"/>
      <c r="F9" s="1662"/>
      <c r="G9" s="3077"/>
      <c r="H9" s="3077"/>
      <c r="I9" s="3078"/>
      <c r="J9" s="3072"/>
      <c r="K9" s="3055"/>
      <c r="L9" s="3051"/>
      <c r="M9" s="3051"/>
      <c r="N9" s="3052"/>
      <c r="O9" s="3053"/>
      <c r="P9" s="3052"/>
      <c r="Q9" s="3052"/>
      <c r="R9" s="3052"/>
      <c r="S9" s="3052"/>
      <c r="T9" s="3052"/>
      <c r="U9" s="3052"/>
    </row>
    <row r="10" spans="1:21" ht="15" thickTop="1">
      <c r="A10" s="2998" t="s">
        <v>1987</v>
      </c>
      <c r="B10" s="1638" t="s">
        <v>3003</v>
      </c>
      <c r="C10" s="1600"/>
      <c r="D10" s="1592"/>
      <c r="E10" s="1601" t="s">
        <v>1934</v>
      </c>
      <c r="F10" s="1602"/>
      <c r="G10" s="1660"/>
      <c r="H10" s="1661"/>
      <c r="I10" s="1592"/>
      <c r="J10" s="3072"/>
      <c r="K10" s="3055"/>
      <c r="L10" s="3051"/>
      <c r="M10" s="3051"/>
      <c r="N10" s="3052"/>
      <c r="O10" s="3053"/>
      <c r="P10" s="3052"/>
      <c r="Q10" s="3052"/>
      <c r="R10" s="3052"/>
      <c r="S10" s="3052"/>
      <c r="T10" s="3052"/>
      <c r="U10" s="3052"/>
    </row>
    <row r="11" spans="1:21">
      <c r="A11" s="2999" t="s">
        <v>1988</v>
      </c>
      <c r="B11" s="1617" t="s">
        <v>3004</v>
      </c>
      <c r="C11" s="1603"/>
      <c r="D11" s="1677"/>
      <c r="E11" s="3071"/>
      <c r="F11" s="3071"/>
      <c r="G11" s="3071"/>
      <c r="H11" s="3071"/>
      <c r="I11" s="3071"/>
      <c r="J11" s="3072"/>
      <c r="K11" s="3055"/>
      <c r="L11" s="3051"/>
      <c r="M11" s="3051"/>
      <c r="N11" s="3052"/>
      <c r="O11" s="3053"/>
      <c r="P11" s="3052"/>
      <c r="Q11" s="3052"/>
      <c r="R11" s="3052"/>
      <c r="S11" s="3052"/>
      <c r="T11" s="3052"/>
      <c r="U11" s="3052"/>
    </row>
    <row r="12" spans="1:21">
      <c r="A12" s="1697" t="s">
        <v>2046</v>
      </c>
      <c r="B12" s="3357"/>
      <c r="C12" s="3358"/>
      <c r="D12" s="3359"/>
      <c r="E12" s="1618" t="s">
        <v>2049</v>
      </c>
      <c r="F12" s="3375" t="s">
        <v>2868</v>
      </c>
      <c r="G12" s="3376"/>
      <c r="H12" s="3376"/>
      <c r="I12" s="3377"/>
      <c r="J12" s="3072"/>
      <c r="K12" s="3055"/>
      <c r="L12" s="3051"/>
      <c r="M12" s="3051"/>
      <c r="N12" s="3052"/>
      <c r="O12" s="3053"/>
      <c r="P12" s="3052"/>
      <c r="Q12" s="3052"/>
      <c r="R12" s="3052"/>
      <c r="S12" s="3052"/>
      <c r="T12" s="3052"/>
      <c r="U12" s="3052"/>
    </row>
    <row r="13" spans="1:21">
      <c r="A13" s="1609" t="s">
        <v>2047</v>
      </c>
      <c r="B13" s="3357"/>
      <c r="C13" s="3358"/>
      <c r="D13" s="3359"/>
      <c r="E13" s="1618" t="s">
        <v>2049</v>
      </c>
      <c r="F13" s="3375" t="s">
        <v>2869</v>
      </c>
      <c r="G13" s="3376"/>
      <c r="H13" s="3376"/>
      <c r="I13" s="3377"/>
      <c r="J13" s="3072"/>
      <c r="K13" s="3055"/>
      <c r="L13" s="3051"/>
      <c r="M13" s="3051"/>
      <c r="N13" s="3052"/>
      <c r="O13" s="3053"/>
      <c r="P13" s="3052"/>
      <c r="Q13" s="3052"/>
      <c r="R13" s="3052"/>
      <c r="S13" s="3052"/>
      <c r="T13" s="3052"/>
      <c r="U13" s="3052"/>
    </row>
    <row r="14" spans="1:21">
      <c r="A14" s="1586" t="s">
        <v>2050</v>
      </c>
      <c r="B14" s="1618"/>
      <c r="C14" s="1756"/>
      <c r="D14" s="1652" t="str">
        <f>IF(C14="不一致","是否符合证载地类范围","")</f>
        <v/>
      </c>
      <c r="E14" s="1618"/>
      <c r="F14" s="1702"/>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1937</v>
      </c>
      <c r="E15" s="1681" t="s">
        <v>1938</v>
      </c>
      <c r="F15" s="1681" t="s">
        <v>1939</v>
      </c>
      <c r="G15" s="1608" t="s">
        <v>1940</v>
      </c>
      <c r="H15" s="1608" t="s">
        <v>1941</v>
      </c>
      <c r="I15" s="1608" t="s">
        <v>1942</v>
      </c>
      <c r="J15" s="3072"/>
      <c r="K15" s="3055"/>
      <c r="L15" s="3051"/>
      <c r="M15" s="3051"/>
      <c r="N15" s="3052"/>
      <c r="O15" s="3053"/>
      <c r="P15" s="3052"/>
      <c r="Q15" s="3052"/>
      <c r="R15" s="3052"/>
      <c r="S15" s="3052"/>
      <c r="T15" s="3052"/>
      <c r="U15" s="3052"/>
    </row>
    <row r="16" spans="1:21" ht="42.75">
      <c r="A16" s="3000" t="s">
        <v>1935</v>
      </c>
      <c r="B16" s="1604" t="s">
        <v>2951</v>
      </c>
      <c r="C16" s="1618" t="s">
        <v>1936</v>
      </c>
      <c r="D16" s="2486" t="s">
        <v>1937</v>
      </c>
      <c r="E16" s="1641" t="s">
        <v>3005</v>
      </c>
      <c r="F16" s="1641"/>
      <c r="G16" s="1641" t="s">
        <v>35</v>
      </c>
      <c r="H16" s="1641"/>
      <c r="I16" s="1608" t="s">
        <v>1942</v>
      </c>
      <c r="J16" s="3072"/>
      <c r="K16" s="2309" t="str">
        <f>IF(D17="","",D16&amp;TEXT(D17,"yyyy年m月d日;;"))</f>
        <v>住宅2076年5月19日</v>
      </c>
      <c r="L16" s="1618" t="str">
        <f>IF(OR(K16="",M16=""),"","、")</f>
        <v>、</v>
      </c>
      <c r="M16" s="2309" t="str">
        <f>IF(E17="","",E16&amp;TEXT(E17,"yyyy年m月d日;;"))</f>
        <v>商业2046年5月19日</v>
      </c>
      <c r="N16" s="1618" t="str">
        <f>IF(OR(M16="",O16=""),"","、")</f>
        <v/>
      </c>
      <c r="O16" s="2309" t="str">
        <f>IF(F17="","",F16&amp;TEXT(F17,"yyyy年m月d日;;"))</f>
        <v/>
      </c>
      <c r="P16" s="1618" t="str">
        <f>IF(OR(O16="",Q16=""),"","、")</f>
        <v/>
      </c>
      <c r="Q16" s="2309" t="str">
        <f>IF(G17="","",G16&amp;TEXT(G17,"yyyy年m月d日;;"))</f>
        <v>地下车库2056年5月19日</v>
      </c>
      <c r="R16" s="1618" t="str">
        <f>IF(OR(Q16="",S16=""),"","、")</f>
        <v/>
      </c>
      <c r="S16" s="2309" t="str">
        <f>IF(H17="","",H16&amp;TEXT(H17,"yyyy年m月d日;;"))</f>
        <v/>
      </c>
      <c r="T16" s="1618" t="str">
        <f>IF(OR(S16="",U16=""),"","、")</f>
        <v/>
      </c>
      <c r="U16" s="2309" t="str">
        <f>IF(I17="","",I16&amp;TEXT(I17,"yyyy年m月d日;;"))</f>
        <v/>
      </c>
    </row>
    <row r="17" spans="1:21">
      <c r="A17" s="1678"/>
      <c r="B17" s="1605"/>
      <c r="C17" s="3001" t="s">
        <v>1943</v>
      </c>
      <c r="D17" s="1619">
        <v>64424</v>
      </c>
      <c r="E17" s="1619">
        <v>53466</v>
      </c>
      <c r="F17" s="1619"/>
      <c r="G17" s="1619">
        <v>57119</v>
      </c>
      <c r="H17" s="1619"/>
      <c r="I17" s="1619"/>
      <c r="J17" s="3072"/>
      <c r="K17" s="3050" t="str">
        <f>CONCATENATE(K16,L16,M16,N16,O16,P16,Q16,R16,S16,T16,,U16)</f>
        <v>住宅2076年5月19日、商业2046年5月19日地下车库2056年5月19日</v>
      </c>
      <c r="L17" s="3051"/>
      <c r="M17" s="3051"/>
      <c r="N17" s="3052"/>
      <c r="O17" s="3053"/>
      <c r="P17" s="3052"/>
      <c r="Q17" s="3052"/>
      <c r="R17" s="3052"/>
      <c r="S17" s="3052"/>
      <c r="T17" s="3052"/>
      <c r="U17" s="3052"/>
    </row>
    <row r="18" spans="1:21">
      <c r="A18" s="1678"/>
      <c r="B18" s="1605"/>
      <c r="C18" s="3001" t="s">
        <v>1944</v>
      </c>
      <c r="D18" s="1606">
        <v>70</v>
      </c>
      <c r="E18" s="1606">
        <v>40</v>
      </c>
      <c r="F18" s="1606"/>
      <c r="G18" s="1606">
        <v>50</v>
      </c>
      <c r="H18" s="1606"/>
      <c r="I18" s="1606"/>
      <c r="J18" s="3072"/>
      <c r="K18" s="3055"/>
      <c r="L18" s="3051"/>
      <c r="M18" s="3051"/>
      <c r="N18" s="3052"/>
      <c r="O18" s="3053"/>
      <c r="P18" s="3052"/>
      <c r="Q18" s="3052"/>
      <c r="R18" s="3052"/>
      <c r="S18" s="3052"/>
      <c r="T18" s="3052"/>
      <c r="U18" s="3052"/>
    </row>
    <row r="19" spans="1:21">
      <c r="A19" s="1678"/>
      <c r="B19" s="1605"/>
      <c r="C19" s="1585" t="s">
        <v>1945</v>
      </c>
      <c r="D19" s="1673">
        <f>IF(B16="出让",IF(D17="","",ROUNDDOWN(MIN((D17-$D$3)/365,D18),2)),D18)</f>
        <v>55.74</v>
      </c>
      <c r="E19" s="1607">
        <f>IF(B16="出让",IF(E17="","",ROUNDDOWN(MIN((E17-$D$3)/365,E18),2)),E18)</f>
        <v>25.72</v>
      </c>
      <c r="F19" s="1607" t="str">
        <f>IF(B16="出让",IF(F17="","",ROUNDDOWN(MIN((F17-$D$3)/365,F18),2)),F18)</f>
        <v/>
      </c>
      <c r="G19" s="1607">
        <f>IF(B16="出让",IF(G17="","",ROUNDDOWN(MIN((G17-$D$3)/365,G18),2)),G18)</f>
        <v>35.729999999999997</v>
      </c>
      <c r="H19" s="1607" t="str">
        <f>IF(B16="出让",IF(H17="","",ROUNDDOWN(MIN((H17-$D$3)/365,H18),2)),H18)</f>
        <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2048</v>
      </c>
      <c r="D20" s="3372"/>
      <c r="E20" s="3373"/>
      <c r="F20" s="3373"/>
      <c r="G20" s="3373"/>
      <c r="H20" s="3373"/>
      <c r="I20" s="3374"/>
      <c r="J20" s="3072"/>
      <c r="K20" s="3055"/>
      <c r="L20" s="3051"/>
      <c r="M20" s="3051"/>
      <c r="N20" s="3052"/>
      <c r="O20" s="3053"/>
      <c r="P20" s="3052"/>
      <c r="Q20" s="3052"/>
      <c r="R20" s="3052"/>
      <c r="S20" s="3052"/>
      <c r="T20" s="3052"/>
      <c r="U20" s="3052"/>
    </row>
    <row r="21" spans="1:21">
      <c r="A21" s="1678" t="s">
        <v>1946</v>
      </c>
      <c r="B21" s="1679" t="s">
        <v>1947</v>
      </c>
      <c r="C21" s="1674">
        <f>'数据-汇总表'!E3</f>
        <v>276122.93</v>
      </c>
      <c r="D21" s="1675" t="s">
        <v>1948</v>
      </c>
      <c r="E21" s="3362" t="s">
        <v>1986</v>
      </c>
      <c r="F21" s="3363"/>
      <c r="G21" s="3363"/>
      <c r="H21" s="3363"/>
      <c r="I21" s="3364"/>
      <c r="J21" s="3072"/>
      <c r="K21" s="3055"/>
      <c r="L21" s="3051"/>
      <c r="M21" s="3051"/>
      <c r="N21" s="3052"/>
      <c r="O21" s="3053"/>
      <c r="P21" s="3052"/>
      <c r="Q21" s="3052"/>
      <c r="R21" s="3052"/>
      <c r="S21" s="3052"/>
      <c r="T21" s="3052"/>
      <c r="U21" s="3052"/>
    </row>
    <row r="22" spans="1:21">
      <c r="A22" s="2800" t="s">
        <v>943</v>
      </c>
      <c r="B22" s="1586" t="s">
        <v>1949</v>
      </c>
      <c r="C22" s="1608">
        <f>'数据-汇总表'!D3</f>
        <v>75029.52</v>
      </c>
      <c r="D22" s="1609" t="s">
        <v>1948</v>
      </c>
      <c r="E22" s="3362" t="s">
        <v>2870</v>
      </c>
      <c r="F22" s="3363"/>
      <c r="G22" s="3363"/>
      <c r="H22" s="3363"/>
      <c r="I22" s="3364"/>
      <c r="J22" s="3072"/>
      <c r="K22" s="3055"/>
      <c r="L22" s="3051"/>
      <c r="M22" s="3051"/>
      <c r="N22" s="3052"/>
      <c r="O22" s="3053"/>
      <c r="P22" s="3052"/>
      <c r="Q22" s="3052"/>
      <c r="R22" s="3052"/>
      <c r="S22" s="3052"/>
      <c r="T22" s="3052"/>
      <c r="U22" s="3052"/>
    </row>
    <row r="23" spans="1:21" ht="43.5" thickBot="1">
      <c r="A23" s="1680" t="s">
        <v>1950</v>
      </c>
      <c r="B23" s="1620" t="s">
        <v>1951</v>
      </c>
      <c r="C23" s="1621"/>
      <c r="D23" s="1622" t="s">
        <v>1952</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1953</v>
      </c>
      <c r="B24" s="3365" t="s">
        <v>1954</v>
      </c>
      <c r="C24" s="3366"/>
      <c r="D24" s="3367" t="s">
        <v>1955</v>
      </c>
      <c r="E24" s="3368"/>
      <c r="F24" s="1627" t="s">
        <v>1956</v>
      </c>
      <c r="G24" s="3072"/>
      <c r="H24" s="3072"/>
      <c r="I24" s="3076"/>
      <c r="J24" s="3072"/>
      <c r="K24" s="3353"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2312</v>
      </c>
      <c r="C25" s="1628" t="s">
        <v>1958</v>
      </c>
      <c r="D25" s="1629"/>
      <c r="E25" s="1630" t="s">
        <v>943</v>
      </c>
      <c r="F25" s="1631"/>
      <c r="G25" s="3072"/>
      <c r="H25" s="3072"/>
      <c r="I25" s="3076"/>
      <c r="J25" s="3072"/>
      <c r="K25" s="3353"/>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1959</v>
      </c>
      <c r="C26" s="1628" t="s">
        <v>2313</v>
      </c>
      <c r="D26" s="3073"/>
      <c r="E26" s="3073"/>
      <c r="F26" s="3079"/>
      <c r="G26" s="3072"/>
      <c r="H26" s="3072"/>
      <c r="I26" s="3076"/>
      <c r="J26" s="3072"/>
      <c r="K26" s="3353"/>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1960</v>
      </c>
      <c r="B27" s="1668" t="s">
        <v>1961</v>
      </c>
      <c r="C27" s="1632"/>
      <c r="D27" s="2491" t="s">
        <v>1961</v>
      </c>
      <c r="E27" s="1633"/>
      <c r="F27" s="3079"/>
      <c r="G27" s="3072"/>
      <c r="H27" s="3072"/>
      <c r="I27" s="3076"/>
      <c r="J27" s="3072"/>
      <c r="K27" s="3055"/>
      <c r="L27" s="3051"/>
      <c r="M27" s="3051"/>
      <c r="N27" s="3052"/>
      <c r="O27" s="3053"/>
      <c r="P27" s="3052"/>
      <c r="Q27" s="3052"/>
      <c r="R27" s="3052"/>
      <c r="S27" s="3052"/>
      <c r="T27" s="3052"/>
      <c r="U27" s="3052"/>
    </row>
    <row r="28" spans="1:21">
      <c r="A28" s="1671"/>
      <c r="B28" s="1668" t="s">
        <v>1962</v>
      </c>
      <c r="C28" s="1634"/>
      <c r="D28" s="2492" t="s">
        <v>1962</v>
      </c>
      <c r="E28" s="1635"/>
      <c r="F28" s="3079"/>
      <c r="G28" s="3072"/>
      <c r="H28" s="3072"/>
      <c r="I28" s="3076"/>
      <c r="J28" s="3072"/>
      <c r="K28" s="3055"/>
      <c r="L28" s="3051"/>
      <c r="M28" s="3051"/>
      <c r="N28" s="3052"/>
      <c r="O28" s="3053"/>
      <c r="P28" s="3052"/>
      <c r="Q28" s="3052"/>
      <c r="R28" s="3052"/>
      <c r="S28" s="3052"/>
      <c r="T28" s="3052"/>
      <c r="U28" s="3052"/>
    </row>
    <row r="29" spans="1:21">
      <c r="A29" s="1671"/>
      <c r="B29" s="1668" t="s">
        <v>1963</v>
      </c>
      <c r="C29" s="1634"/>
      <c r="D29" s="2492" t="s">
        <v>1963</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1964</v>
      </c>
      <c r="C30" s="1636"/>
      <c r="D30" s="2493" t="s">
        <v>1964</v>
      </c>
      <c r="E30" s="1637"/>
      <c r="F30" s="3080"/>
      <c r="G30" s="3077"/>
      <c r="H30" s="3077"/>
      <c r="I30" s="3078"/>
      <c r="J30" s="3072"/>
      <c r="K30" s="3055"/>
      <c r="L30" s="3051"/>
      <c r="M30" s="3051"/>
      <c r="N30" s="3052"/>
      <c r="O30" s="3053"/>
      <c r="P30" s="3052"/>
      <c r="Q30" s="3052"/>
      <c r="R30" s="3052"/>
      <c r="S30" s="3052"/>
      <c r="T30" s="3052"/>
      <c r="U30" s="3052"/>
    </row>
    <row r="31" spans="1:21" ht="15" thickTop="1">
      <c r="A31" s="3380" t="s">
        <v>1989</v>
      </c>
      <c r="B31" s="1679" t="s">
        <v>1990</v>
      </c>
      <c r="C31" s="3378"/>
      <c r="D31" s="3379"/>
      <c r="E31" s="3072"/>
      <c r="F31" s="3072"/>
      <c r="G31" s="3072"/>
      <c r="H31" s="3072"/>
      <c r="I31" s="3076"/>
      <c r="J31" s="3072"/>
      <c r="K31" s="3058"/>
      <c r="L31" s="3052"/>
      <c r="M31" s="3052"/>
      <c r="N31" s="3052"/>
      <c r="O31" s="3052"/>
      <c r="P31" s="3052"/>
      <c r="Q31" s="3052"/>
      <c r="R31" s="3052"/>
      <c r="S31" s="3052"/>
      <c r="T31" s="3052"/>
      <c r="U31" s="3052"/>
    </row>
    <row r="32" spans="1:21">
      <c r="A32" s="3380"/>
      <c r="B32" s="1586" t="s">
        <v>1991</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80"/>
      <c r="B33" s="1586" t="s">
        <v>1992</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81"/>
      <c r="B34" s="1586" t="s">
        <v>1993</v>
      </c>
      <c r="C34" s="3382"/>
      <c r="D34" s="3383"/>
      <c r="E34" s="3072"/>
      <c r="F34" s="3072"/>
      <c r="G34" s="3072"/>
      <c r="H34" s="3072"/>
      <c r="I34" s="3076"/>
      <c r="J34" s="3072"/>
      <c r="K34" s="3058"/>
      <c r="L34" s="3052"/>
      <c r="M34" s="3052"/>
      <c r="N34" s="3052"/>
      <c r="O34" s="3052"/>
      <c r="P34" s="3052"/>
      <c r="Q34" s="3052"/>
      <c r="R34" s="3052"/>
      <c r="S34" s="3052"/>
      <c r="T34" s="3052"/>
      <c r="U34" s="3052"/>
    </row>
    <row r="35" spans="1:28">
      <c r="A35" s="3384" t="s">
        <v>839</v>
      </c>
      <c r="B35" s="1641"/>
      <c r="C35" s="1688" t="str">
        <f>IF(B35="场地平整","——","具体情况：")</f>
        <v>具体情况：</v>
      </c>
      <c r="D35" s="3386"/>
      <c r="E35" s="3387"/>
      <c r="F35" s="3387"/>
      <c r="G35" s="3387"/>
      <c r="H35" s="3387"/>
      <c r="I35" s="3388"/>
      <c r="J35" s="3072"/>
      <c r="K35" s="3059"/>
      <c r="L35" s="3051"/>
      <c r="M35" s="3051"/>
      <c r="N35" s="3052"/>
      <c r="O35" s="3053"/>
      <c r="P35" s="3052"/>
      <c r="Q35" s="3052"/>
      <c r="R35" s="3052"/>
      <c r="S35" s="3052"/>
      <c r="T35" s="3052"/>
      <c r="U35" s="3052"/>
    </row>
    <row r="36" spans="1:28">
      <c r="A36" s="3380"/>
      <c r="B36" s="3389" t="s">
        <v>2042</v>
      </c>
      <c r="C36" s="3390"/>
      <c r="D36" s="1704"/>
      <c r="E36" s="3391"/>
      <c r="F36" s="3391"/>
      <c r="G36" s="1609" t="str">
        <f>IF(B35="场地未平整","估价结果处理","")</f>
        <v/>
      </c>
      <c r="H36" s="3392"/>
      <c r="I36" s="3392"/>
      <c r="J36" s="3072"/>
      <c r="K36" s="3059"/>
      <c r="L36" s="3051"/>
      <c r="M36" s="3051"/>
      <c r="N36" s="3052"/>
      <c r="O36" s="3053"/>
      <c r="P36" s="3052"/>
      <c r="Q36" s="3052"/>
      <c r="R36" s="3052"/>
      <c r="S36" s="3052"/>
      <c r="T36" s="3052"/>
      <c r="U36" s="3052"/>
    </row>
    <row r="37" spans="1:28" ht="28.5">
      <c r="A37" s="3380"/>
      <c r="B37" s="3369"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80"/>
      <c r="B38" s="3370"/>
      <c r="C38" s="1594" t="s">
        <v>842</v>
      </c>
      <c r="D38" s="1703">
        <f>ROUNDDOWN(MIN(('数据-取费表'!$B$2-D37)/365,D34),1)</f>
        <v>120.7</v>
      </c>
      <c r="E38" s="1646" t="s">
        <v>843</v>
      </c>
      <c r="F38" s="3072"/>
      <c r="G38" s="3072"/>
      <c r="H38" s="3072"/>
      <c r="I38" s="3076"/>
      <c r="J38" s="3072"/>
      <c r="K38" s="3059"/>
      <c r="L38" s="3052"/>
      <c r="M38" s="3052"/>
      <c r="N38" s="3052"/>
      <c r="O38" s="3052"/>
      <c r="P38" s="3052"/>
      <c r="Q38" s="3052"/>
      <c r="R38" s="3052"/>
      <c r="S38" s="3052"/>
      <c r="T38" s="3052"/>
      <c r="U38" s="3052"/>
    </row>
    <row r="39" spans="1:28">
      <c r="A39" s="3381"/>
      <c r="B39" s="3371"/>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1965</v>
      </c>
      <c r="B40" s="1610"/>
      <c r="C40" s="1610"/>
      <c r="D40" s="1610"/>
      <c r="E40" s="1610"/>
      <c r="F40" s="1610"/>
      <c r="G40" s="1610"/>
      <c r="H40" s="1610"/>
      <c r="I40" s="3076"/>
      <c r="J40" s="3072"/>
      <c r="K40" s="3020">
        <f>COUNTIF(B40:H40,"——")</f>
        <v>0</v>
      </c>
      <c r="L40" s="1618" t="s">
        <v>1966</v>
      </c>
      <c r="M40" s="1615" t="s">
        <v>1967</v>
      </c>
      <c r="N40" s="1615" t="s">
        <v>1968</v>
      </c>
      <c r="O40" s="1615" t="s">
        <v>1969</v>
      </c>
      <c r="P40" s="1615" t="s">
        <v>1970</v>
      </c>
      <c r="Q40" s="1615" t="s">
        <v>1971</v>
      </c>
      <c r="R40" s="1615" t="s">
        <v>1972</v>
      </c>
      <c r="S40" s="3352" t="s">
        <v>1973</v>
      </c>
      <c r="T40" s="1650" t="str">
        <f>NUMBERSTRING(7-K40,1)&amp;"通"</f>
        <v>七通</v>
      </c>
      <c r="U40" s="3052"/>
    </row>
    <row r="41" spans="1:28">
      <c r="A41" s="1588"/>
      <c r="B41" s="3385" t="s">
        <v>1711</v>
      </c>
      <c r="C41" s="3385"/>
      <c r="D41" s="3385"/>
      <c r="E41" s="3385"/>
      <c r="F41" s="1651">
        <f>C10</f>
        <v>0</v>
      </c>
      <c r="G41" s="3072"/>
      <c r="H41" s="3072"/>
      <c r="I41" s="3076"/>
      <c r="J41" s="3072"/>
      <c r="K41" s="1618"/>
      <c r="L41" s="1615">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52"/>
      <c r="T41" s="1652" t="str">
        <f>IF(T40="一通",L41,IF(T40="二通",M41,IF(T40="三通",N41,IF(T40="四通",O41,IF(T40="五通",P41,IF(T40="六通",Q41,R41))))))</f>
        <v>、、、、、、</v>
      </c>
      <c r="U41" s="3052"/>
    </row>
    <row r="42" spans="1:28">
      <c r="A42" s="1654"/>
      <c r="B42" s="1681" t="s">
        <v>1887</v>
      </c>
      <c r="C42" s="1681" t="s">
        <v>1888</v>
      </c>
      <c r="D42" s="1681" t="s">
        <v>1889</v>
      </c>
      <c r="E42" s="1618" t="s">
        <v>1890</v>
      </c>
      <c r="F42" s="1655"/>
      <c r="G42" s="3072"/>
      <c r="H42" s="3072"/>
      <c r="I42" s="3076"/>
      <c r="J42" s="3072"/>
      <c r="K42" s="3055"/>
      <c r="L42" s="3051"/>
      <c r="M42" s="3051"/>
      <c r="N42" s="3052"/>
      <c r="O42" s="3053"/>
      <c r="P42" s="3052"/>
      <c r="Q42" s="3052"/>
      <c r="R42" s="3052"/>
      <c r="S42" s="3052"/>
      <c r="T42" s="3052"/>
      <c r="U42" s="3052"/>
    </row>
    <row r="43" spans="1:28">
      <c r="A43" s="3023" t="s">
        <v>1696</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1697</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1994</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1995</v>
      </c>
      <c r="B48" s="1608" t="s">
        <v>1996</v>
      </c>
      <c r="C48" s="1608" t="s">
        <v>1997</v>
      </c>
      <c r="D48" s="1608" t="s">
        <v>1998</v>
      </c>
      <c r="E48" s="1608" t="s">
        <v>1999</v>
      </c>
      <c r="F48" s="1608" t="s">
        <v>2000</v>
      </c>
      <c r="G48" s="1608" t="s">
        <v>2001</v>
      </c>
      <c r="H48" s="1608" t="s">
        <v>2002</v>
      </c>
      <c r="I48" s="1608" t="s">
        <v>2003</v>
      </c>
      <c r="J48" s="1687"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G16" sqref="AG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37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75029.52</v>
      </c>
      <c r="B3" s="22">
        <f>IF(C3="否",G5-AT5,G5)</f>
        <v>276122.93</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276122.93</v>
      </c>
      <c r="H5" s="27">
        <f t="shared" ref="H5:AT5" si="0">SUM(H13:H641)</f>
        <v>275172.38</v>
      </c>
      <c r="I5" s="27">
        <f t="shared" si="0"/>
        <v>197017.96</v>
      </c>
      <c r="J5" s="27">
        <f t="shared" si="0"/>
        <v>0</v>
      </c>
      <c r="K5" s="27">
        <f t="shared" si="0"/>
        <v>12924.980000000001</v>
      </c>
      <c r="L5" s="27">
        <f t="shared" si="0"/>
        <v>0</v>
      </c>
      <c r="M5" s="27">
        <f t="shared" si="0"/>
        <v>550.51</v>
      </c>
      <c r="N5" s="27">
        <f t="shared" si="0"/>
        <v>0</v>
      </c>
      <c r="O5" s="27">
        <f t="shared" si="0"/>
        <v>64678.93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950.55</v>
      </c>
      <c r="AD5" s="27">
        <f t="shared" si="0"/>
        <v>730.47</v>
      </c>
      <c r="AE5" s="27">
        <f t="shared" si="0"/>
        <v>0</v>
      </c>
      <c r="AF5" s="27">
        <f t="shared" si="0"/>
        <v>0</v>
      </c>
      <c r="AG5" s="27">
        <f t="shared" si="0"/>
        <v>0</v>
      </c>
      <c r="AH5" s="27">
        <f t="shared" si="0"/>
        <v>0</v>
      </c>
      <c r="AI5" s="27">
        <f t="shared" si="0"/>
        <v>0</v>
      </c>
      <c r="AJ5" s="27">
        <f t="shared" si="0"/>
        <v>0</v>
      </c>
      <c r="AK5" s="27">
        <f t="shared" si="0"/>
        <v>0</v>
      </c>
      <c r="AL5" s="27">
        <f t="shared" si="0"/>
        <v>220.07999999999998</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276122.93</v>
      </c>
      <c r="BA5" s="29">
        <f t="shared" si="1"/>
        <v>275172.38</v>
      </c>
      <c r="BB5" s="29">
        <f t="shared" si="1"/>
        <v>197017.96</v>
      </c>
      <c r="BC5" s="29">
        <f t="shared" si="1"/>
        <v>12924.980000000001</v>
      </c>
      <c r="BD5" s="29">
        <f t="shared" si="1"/>
        <v>550.51</v>
      </c>
      <c r="BE5" s="29">
        <f t="shared" si="1"/>
        <v>64678.93</v>
      </c>
      <c r="BF5" s="29">
        <f t="shared" si="1"/>
        <v>0</v>
      </c>
      <c r="BG5" s="29">
        <f t="shared" si="1"/>
        <v>0</v>
      </c>
      <c r="BH5" s="29">
        <f t="shared" si="1"/>
        <v>0</v>
      </c>
      <c r="BI5" s="29">
        <f t="shared" si="1"/>
        <v>0</v>
      </c>
      <c r="BJ5" s="29">
        <f t="shared" si="1"/>
        <v>0</v>
      </c>
      <c r="BK5" s="29">
        <f t="shared" si="1"/>
        <v>0</v>
      </c>
      <c r="BL5" s="29">
        <f t="shared" si="1"/>
        <v>950.55</v>
      </c>
      <c r="BM5" s="29">
        <f t="shared" si="1"/>
        <v>730.47</v>
      </c>
      <c r="BN5" s="29">
        <f t="shared" si="1"/>
        <v>0</v>
      </c>
      <c r="BO5" s="29">
        <f t="shared" si="1"/>
        <v>0</v>
      </c>
      <c r="BP5" s="29">
        <f t="shared" si="1"/>
        <v>0</v>
      </c>
      <c r="BQ5" s="29">
        <f t="shared" si="1"/>
        <v>220.07999999999998</v>
      </c>
      <c r="BR5" s="29">
        <f t="shared" si="1"/>
        <v>0</v>
      </c>
      <c r="BS5" s="29">
        <f t="shared" si="1"/>
        <v>0</v>
      </c>
      <c r="BT5" s="30">
        <f t="shared" si="1"/>
        <v>0</v>
      </c>
    </row>
    <row r="6" spans="1:72" s="37" customFormat="1" ht="12.75">
      <c r="A6" s="26" t="s">
        <v>169</v>
      </c>
      <c r="B6" s="31"/>
      <c r="C6" s="31"/>
      <c r="D6" s="32"/>
      <c r="E6" s="27">
        <f>H6+AC6+AT6</f>
        <v>75029.529999999984</v>
      </c>
      <c r="F6" s="27" t="s">
        <v>1</v>
      </c>
      <c r="G6" s="27" t="s">
        <v>2</v>
      </c>
      <c r="H6" s="33">
        <f>SUMIF(I$12:AB$12,"总值",I6:AB6)</f>
        <v>74771.239999999991</v>
      </c>
      <c r="I6" s="27">
        <f t="shared" ref="I6:AB6" si="2">ROUND($A$3*I5/$B$3,2)</f>
        <v>53534.720000000001</v>
      </c>
      <c r="J6" s="27">
        <f t="shared" si="2"/>
        <v>0</v>
      </c>
      <c r="K6" s="27">
        <f t="shared" si="2"/>
        <v>3512.04</v>
      </c>
      <c r="L6" s="27">
        <f t="shared" si="2"/>
        <v>0</v>
      </c>
      <c r="M6" s="27">
        <f t="shared" si="2"/>
        <v>149.59</v>
      </c>
      <c r="N6" s="27">
        <f t="shared" si="2"/>
        <v>0</v>
      </c>
      <c r="O6" s="27">
        <f t="shared" si="2"/>
        <v>17574.89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258.29000000000002</v>
      </c>
      <c r="AD6" s="27">
        <f t="shared" ref="AD6:AS6" si="3">ROUND($A$3*AD5/$B$3,2)</f>
        <v>198.49</v>
      </c>
      <c r="AE6" s="27">
        <f t="shared" si="3"/>
        <v>0</v>
      </c>
      <c r="AF6" s="27">
        <f t="shared" si="3"/>
        <v>0</v>
      </c>
      <c r="AG6" s="27">
        <f t="shared" si="3"/>
        <v>0</v>
      </c>
      <c r="AH6" s="27">
        <f t="shared" si="3"/>
        <v>0</v>
      </c>
      <c r="AI6" s="27">
        <f t="shared" si="3"/>
        <v>0</v>
      </c>
      <c r="AJ6" s="27">
        <f t="shared" si="3"/>
        <v>0</v>
      </c>
      <c r="AK6" s="27">
        <f t="shared" si="3"/>
        <v>0</v>
      </c>
      <c r="AL6" s="27">
        <f t="shared" si="3"/>
        <v>59.8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75029.52</v>
      </c>
      <c r="AZ6" s="27" t="s">
        <v>3</v>
      </c>
      <c r="BA6" s="27">
        <f>ROUND($AY$6*BA5/$AZ$5,2)</f>
        <v>74771.23</v>
      </c>
      <c r="BB6" s="27">
        <f>ROUND($AY$6*BB5/$AZ$5,2)</f>
        <v>53534.720000000001</v>
      </c>
      <c r="BC6" s="27">
        <f t="shared" ref="BC6:BH6" si="4">ROUND($AY$6*BC5/$AZ$5,2)</f>
        <v>3512.04</v>
      </c>
      <c r="BD6" s="27">
        <f t="shared" si="4"/>
        <v>149.59</v>
      </c>
      <c r="BE6" s="27">
        <f t="shared" si="4"/>
        <v>17574.89</v>
      </c>
      <c r="BF6" s="27">
        <f t="shared" si="4"/>
        <v>0</v>
      </c>
      <c r="BG6" s="27">
        <f t="shared" si="4"/>
        <v>0</v>
      </c>
      <c r="BH6" s="27">
        <f t="shared" si="4"/>
        <v>0</v>
      </c>
      <c r="BI6" s="27">
        <f t="shared" ref="BI6:BT6" si="5">ROUND($AY$6*BI5/$AZ$5,2)</f>
        <v>0</v>
      </c>
      <c r="BJ6" s="27">
        <f t="shared" si="5"/>
        <v>0</v>
      </c>
      <c r="BK6" s="27">
        <f t="shared" si="5"/>
        <v>0</v>
      </c>
      <c r="BL6" s="27">
        <f t="shared" si="5"/>
        <v>258.29000000000002</v>
      </c>
      <c r="BM6" s="27">
        <f t="shared" si="5"/>
        <v>198.49</v>
      </c>
      <c r="BN6" s="27">
        <f t="shared" si="5"/>
        <v>0</v>
      </c>
      <c r="BO6" s="27">
        <f t="shared" si="5"/>
        <v>0</v>
      </c>
      <c r="BP6" s="27">
        <f t="shared" si="5"/>
        <v>0</v>
      </c>
      <c r="BQ6" s="27">
        <f t="shared" si="5"/>
        <v>59.8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3006</v>
      </c>
      <c r="J9" s="51"/>
      <c r="K9" s="2730" t="s">
        <v>3006</v>
      </c>
      <c r="L9" s="51"/>
      <c r="M9" s="2730" t="s">
        <v>3014</v>
      </c>
      <c r="N9" s="51"/>
      <c r="O9" s="59"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3005</v>
      </c>
      <c r="L10" s="51"/>
      <c r="M10" s="2732" t="s">
        <v>3005</v>
      </c>
      <c r="N10" s="51"/>
      <c r="O10" s="66" t="s">
        <v>3019</v>
      </c>
      <c r="P10" s="51"/>
      <c r="Q10" s="66"/>
      <c r="R10" s="51"/>
      <c r="S10" s="66"/>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75029.52</v>
      </c>
      <c r="F13" s="81"/>
      <c r="G13" s="82">
        <f t="shared" ref="G13:G20" si="7">H13+AC13+AT13</f>
        <v>276122.93</v>
      </c>
      <c r="H13" s="33">
        <f t="shared" ref="H13:H20" si="8">SUMIF(I$12:AB$12,"总值",I13:AB13)</f>
        <v>275172.38</v>
      </c>
      <c r="I13" s="2729">
        <f>面积指标表!D22</f>
        <v>197017.96</v>
      </c>
      <c r="J13" s="2729"/>
      <c r="K13" s="2729">
        <f>面积指标表!F22</f>
        <v>12924.980000000001</v>
      </c>
      <c r="L13" s="2729"/>
      <c r="M13" s="2729">
        <f>面积指标表!N22</f>
        <v>550.51</v>
      </c>
      <c r="N13" s="83"/>
      <c r="O13" s="83">
        <f>面积指标表!K22</f>
        <v>64678.93</v>
      </c>
      <c r="P13" s="83"/>
      <c r="Q13" s="83"/>
      <c r="R13" s="83"/>
      <c r="S13" s="83"/>
      <c r="T13" s="83"/>
      <c r="U13" s="83"/>
      <c r="V13" s="83"/>
      <c r="W13" s="83"/>
      <c r="X13" s="83"/>
      <c r="Y13" s="83"/>
      <c r="Z13" s="83"/>
      <c r="AA13" s="83"/>
      <c r="AB13" s="83"/>
      <c r="AC13" s="27">
        <f t="shared" ref="AC13:AC20" si="9">SUMIF(AD$12:AS$12,"总值",AD13:AS13)</f>
        <v>950.55</v>
      </c>
      <c r="AD13" s="3312">
        <f>面积指标表!E22</f>
        <v>730.47</v>
      </c>
      <c r="AE13" s="2733"/>
      <c r="AF13" s="2733"/>
      <c r="AG13" s="2733"/>
      <c r="AH13" s="2733"/>
      <c r="AI13" s="2733"/>
      <c r="AJ13" s="2733"/>
      <c r="AK13" s="2733"/>
      <c r="AL13" s="2733">
        <f>面积指标表!M22</f>
        <v>220.07999999999998</v>
      </c>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75029.52</v>
      </c>
      <c r="AZ13" s="27">
        <f t="shared" ref="AZ13:AZ20" si="12">BA13+BL13</f>
        <v>276122.93</v>
      </c>
      <c r="BA13" s="27">
        <f t="shared" ref="BA13:BA20" si="13">SUM(BB13:BK13)</f>
        <v>275172.38</v>
      </c>
      <c r="BB13" s="27">
        <f t="shared" ref="BB13:BB20" si="14">IF($D13="是",I13-J13,0)</f>
        <v>197017.96</v>
      </c>
      <c r="BC13" s="27">
        <f t="shared" ref="BC13:BC20" si="15">IF($D13="是",K13-L13,0)</f>
        <v>12924.980000000001</v>
      </c>
      <c r="BD13" s="27">
        <f t="shared" ref="BD13:BD20" si="16">IF($D13="是",M13-N13,0)</f>
        <v>550.51</v>
      </c>
      <c r="BE13" s="27">
        <f t="shared" ref="BE13:BE20" si="17">IF($D13="是",O13-P13,0)</f>
        <v>64678.93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950.55</v>
      </c>
      <c r="BM13" s="27">
        <f t="shared" ref="BM13:BM20" si="25">IF($D13="是",AD13-AE13,0)</f>
        <v>730.47</v>
      </c>
      <c r="BN13" s="27">
        <f t="shared" ref="BN13:BN20" si="26">IF($D13="是",AF13-AG13,0)</f>
        <v>0</v>
      </c>
      <c r="BO13" s="27">
        <f t="shared" ref="BO13:BO20" si="27">IF($D13="是",AH13-AI13,0)</f>
        <v>0</v>
      </c>
      <c r="BP13" s="27">
        <f t="shared" ref="BP13:BP20" si="28">IF($D13="是",AJ13-AK13,0)</f>
        <v>0</v>
      </c>
      <c r="BQ13" s="27">
        <f t="shared" ref="BQ13:BQ20" si="29">IF($D13="是",AL13-AM13,0)</f>
        <v>220.07999999999998</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3" t="s">
        <v>0</v>
      </c>
      <c r="B1" s="3393" t="s">
        <v>4</v>
      </c>
      <c r="C1" s="3393" t="s">
        <v>5</v>
      </c>
      <c r="D1" s="3394" t="s">
        <v>40</v>
      </c>
      <c r="E1" s="3394" t="s">
        <v>41</v>
      </c>
      <c r="F1" s="3394"/>
      <c r="G1" s="3394"/>
      <c r="H1" s="3394"/>
      <c r="I1" s="3394"/>
      <c r="J1" s="3394"/>
      <c r="K1" s="3394"/>
      <c r="L1" s="3394"/>
      <c r="M1" s="3394"/>
    </row>
    <row r="2" spans="1:13" ht="27" customHeight="1">
      <c r="A2" s="3393"/>
      <c r="B2" s="3393"/>
      <c r="C2" s="3393"/>
      <c r="D2" s="3394"/>
      <c r="E2" s="3394" t="s">
        <v>24</v>
      </c>
      <c r="F2" s="3394" t="s">
        <v>25</v>
      </c>
      <c r="G2" s="3394"/>
      <c r="H2" s="3394"/>
      <c r="I2" s="3394"/>
      <c r="J2" s="3394" t="s">
        <v>26</v>
      </c>
      <c r="K2" s="3394"/>
      <c r="L2" s="3394"/>
      <c r="M2" s="3394"/>
    </row>
    <row r="3" spans="1:13" ht="28.5">
      <c r="A3" s="3393"/>
      <c r="B3" s="3393"/>
      <c r="C3" s="3393"/>
      <c r="D3" s="3394"/>
      <c r="E3" s="33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4" t="s">
        <v>42</v>
      </c>
      <c r="B9" s="3394"/>
      <c r="C9" s="33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topLeftCell="A7" zoomScale="90" zoomScaleNormal="90" workbookViewId="0">
      <selection activeCell="M22" activeCellId="1" sqref="D22:F22 M22"/>
    </sheetView>
  </sheetViews>
  <sheetFormatPr defaultColWidth="9" defaultRowHeight="16.5"/>
  <cols>
    <col min="1" max="1" width="9" style="3282"/>
    <col min="2" max="3" width="9.125" style="3282" bestFit="1" customWidth="1"/>
    <col min="4" max="4" width="13.375" style="3282" customWidth="1"/>
    <col min="5" max="5" width="10.125" style="3282" customWidth="1"/>
    <col min="6" max="6" width="11.75" style="3282" customWidth="1"/>
    <col min="7" max="10" width="9.125" style="3282" bestFit="1" customWidth="1"/>
    <col min="11" max="11" width="10.125" style="3282" bestFit="1" customWidth="1"/>
    <col min="12" max="14" width="9.125" style="3282" bestFit="1" customWidth="1"/>
    <col min="15" max="15" width="11.25" style="3282" customWidth="1"/>
    <col min="16" max="16" width="11.375" style="3282" customWidth="1"/>
    <col min="17" max="16384" width="9" style="3282"/>
  </cols>
  <sheetData>
    <row r="1" spans="1:18" ht="16.5" customHeight="1">
      <c r="A1" s="3395" t="s">
        <v>3007</v>
      </c>
      <c r="B1" s="3396" t="s">
        <v>3008</v>
      </c>
      <c r="C1" s="3397"/>
      <c r="D1" s="3400" t="s">
        <v>3053</v>
      </c>
      <c r="E1" s="3400"/>
      <c r="F1" s="3400"/>
      <c r="G1" s="3400"/>
      <c r="H1" s="3400"/>
      <c r="I1" s="3400"/>
      <c r="J1" s="3401" t="s">
        <v>3009</v>
      </c>
      <c r="K1" s="3402"/>
      <c r="L1" s="3402"/>
      <c r="M1" s="3402"/>
      <c r="N1" s="3403"/>
      <c r="O1" s="3408" t="s">
        <v>3010</v>
      </c>
      <c r="P1" s="3408" t="s">
        <v>3011</v>
      </c>
    </row>
    <row r="2" spans="1:18" ht="15.75" customHeight="1">
      <c r="A2" s="3395"/>
      <c r="B2" s="3398"/>
      <c r="C2" s="3399"/>
      <c r="D2" s="3400" t="s">
        <v>3012</v>
      </c>
      <c r="E2" s="3400"/>
      <c r="F2" s="3400" t="s">
        <v>3013</v>
      </c>
      <c r="G2" s="3400"/>
      <c r="H2" s="3400"/>
      <c r="I2" s="3400"/>
      <c r="J2" s="3404"/>
      <c r="K2" s="3405"/>
      <c r="L2" s="3405"/>
      <c r="M2" s="3405"/>
      <c r="N2" s="3406"/>
      <c r="O2" s="3410"/>
      <c r="P2" s="3410"/>
    </row>
    <row r="3" spans="1:18" ht="15.75" customHeight="1">
      <c r="A3" s="3395"/>
      <c r="B3" s="3411" t="s">
        <v>3006</v>
      </c>
      <c r="C3" s="3411" t="s">
        <v>3014</v>
      </c>
      <c r="D3" s="3283" t="s">
        <v>3015</v>
      </c>
      <c r="E3" s="3283" t="s">
        <v>3016</v>
      </c>
      <c r="F3" s="3400" t="s">
        <v>3013</v>
      </c>
      <c r="G3" s="3400"/>
      <c r="H3" s="3400"/>
      <c r="I3" s="3283" t="s">
        <v>3017</v>
      </c>
      <c r="J3" s="3408" t="s">
        <v>3018</v>
      </c>
      <c r="K3" s="3408" t="s">
        <v>3019</v>
      </c>
      <c r="L3" s="3408" t="s">
        <v>3020</v>
      </c>
      <c r="M3" s="3408" t="s">
        <v>3021</v>
      </c>
      <c r="N3" s="3408" t="s">
        <v>3022</v>
      </c>
      <c r="O3" s="3410"/>
      <c r="P3" s="3410"/>
    </row>
    <row r="4" spans="1:18" ht="33">
      <c r="A4" s="3395"/>
      <c r="B4" s="3412"/>
      <c r="C4" s="3412"/>
      <c r="D4" s="3283" t="s">
        <v>3023</v>
      </c>
      <c r="E4" s="3283" t="s">
        <v>3024</v>
      </c>
      <c r="F4" s="3283" t="s">
        <v>3025</v>
      </c>
      <c r="G4" s="3283" t="s">
        <v>3026</v>
      </c>
      <c r="H4" s="3283" t="s">
        <v>3027</v>
      </c>
      <c r="I4" s="3283" t="s">
        <v>3028</v>
      </c>
      <c r="J4" s="3409"/>
      <c r="K4" s="3409"/>
      <c r="L4" s="3409"/>
      <c r="M4" s="3409"/>
      <c r="N4" s="3409"/>
      <c r="O4" s="3409"/>
      <c r="P4" s="3409"/>
    </row>
    <row r="5" spans="1:18" ht="30" customHeight="1">
      <c r="A5" s="3284" t="s">
        <v>3029</v>
      </c>
      <c r="B5" s="3284">
        <v>31</v>
      </c>
      <c r="C5" s="3284">
        <v>1</v>
      </c>
      <c r="D5" s="3284">
        <v>14254.19</v>
      </c>
      <c r="E5" s="3284">
        <v>30.06</v>
      </c>
      <c r="F5" s="3285">
        <v>1404.1</v>
      </c>
      <c r="G5" s="3285"/>
      <c r="H5" s="3285"/>
      <c r="I5" s="3285"/>
      <c r="J5" s="3285"/>
      <c r="K5" s="3285"/>
      <c r="L5" s="3285"/>
      <c r="M5" s="3284"/>
      <c r="N5" s="3285"/>
      <c r="O5" s="3285">
        <v>15688.34</v>
      </c>
      <c r="P5" s="3285"/>
      <c r="Q5" s="3282">
        <f>D5+E5+F5+K5+M5+N5</f>
        <v>15688.35</v>
      </c>
      <c r="R5" s="3282">
        <f>O5-Q5</f>
        <v>-1.0000000000218279E-2</v>
      </c>
    </row>
    <row r="6" spans="1:18" ht="30" customHeight="1">
      <c r="A6" s="3284" t="s">
        <v>3030</v>
      </c>
      <c r="B6" s="3284">
        <v>31</v>
      </c>
      <c r="C6" s="3284">
        <v>1</v>
      </c>
      <c r="D6" s="3284">
        <v>14580.13</v>
      </c>
      <c r="E6" s="3284"/>
      <c r="F6" s="3285">
        <v>446.43</v>
      </c>
      <c r="G6" s="3285"/>
      <c r="H6" s="3285"/>
      <c r="I6" s="3285"/>
      <c r="J6" s="3285">
        <v>14</v>
      </c>
      <c r="K6" s="3285">
        <v>503.5</v>
      </c>
      <c r="L6" s="3285"/>
      <c r="M6" s="3284"/>
      <c r="N6" s="3285"/>
      <c r="O6" s="3285">
        <v>15530.06</v>
      </c>
      <c r="P6" s="3285"/>
      <c r="Q6" s="3282">
        <f t="shared" ref="Q6:Q21" si="0">D6+E6+F6+K6+M6+N6</f>
        <v>15530.06</v>
      </c>
      <c r="R6" s="3282">
        <f t="shared" ref="R6:R21" si="1">O6-Q6</f>
        <v>0</v>
      </c>
    </row>
    <row r="7" spans="1:18" ht="30" customHeight="1">
      <c r="A7" s="3284" t="s">
        <v>3031</v>
      </c>
      <c r="B7" s="3284">
        <v>31</v>
      </c>
      <c r="C7" s="3284">
        <v>1</v>
      </c>
      <c r="D7" s="3284">
        <v>14307.76</v>
      </c>
      <c r="E7" s="3284"/>
      <c r="F7" s="3285">
        <v>888.71</v>
      </c>
      <c r="G7" s="3285"/>
      <c r="H7" s="3285"/>
      <c r="I7" s="3285"/>
      <c r="J7" s="3285"/>
      <c r="K7" s="3285"/>
      <c r="L7" s="3285"/>
      <c r="M7" s="3284"/>
      <c r="N7" s="3285"/>
      <c r="O7" s="3285">
        <v>15196.47</v>
      </c>
      <c r="P7" s="3285"/>
      <c r="Q7" s="3282">
        <f t="shared" si="0"/>
        <v>15196.470000000001</v>
      </c>
      <c r="R7" s="3282">
        <f t="shared" si="1"/>
        <v>0</v>
      </c>
    </row>
    <row r="8" spans="1:18" ht="30" customHeight="1">
      <c r="A8" s="3284" t="s">
        <v>3032</v>
      </c>
      <c r="B8" s="3284">
        <v>31</v>
      </c>
      <c r="C8" s="3284">
        <v>2</v>
      </c>
      <c r="D8" s="3284">
        <v>14500.18</v>
      </c>
      <c r="E8" s="3284"/>
      <c r="F8" s="3285">
        <v>808.93</v>
      </c>
      <c r="G8" s="3285"/>
      <c r="H8" s="3285"/>
      <c r="I8" s="3285"/>
      <c r="J8" s="3285">
        <v>15</v>
      </c>
      <c r="K8" s="3311">
        <v>530.75</v>
      </c>
      <c r="L8" s="3311"/>
      <c r="M8" s="3311"/>
      <c r="N8" s="3311">
        <v>309.41000000000003</v>
      </c>
      <c r="O8" s="3285">
        <v>16149.28</v>
      </c>
      <c r="P8" s="3285"/>
      <c r="Q8" s="3282">
        <f t="shared" si="0"/>
        <v>16149.27</v>
      </c>
      <c r="R8" s="3282">
        <f t="shared" si="1"/>
        <v>1.0000000000218279E-2</v>
      </c>
    </row>
    <row r="9" spans="1:18" ht="30" customHeight="1">
      <c r="A9" s="3284" t="s">
        <v>3033</v>
      </c>
      <c r="B9" s="3284">
        <v>30</v>
      </c>
      <c r="C9" s="3284">
        <v>2</v>
      </c>
      <c r="D9" s="3286">
        <v>9796.4</v>
      </c>
      <c r="E9" s="3284"/>
      <c r="F9" s="3285">
        <v>1224</v>
      </c>
      <c r="G9" s="3285"/>
      <c r="H9" s="3285"/>
      <c r="I9" s="3285"/>
      <c r="J9" s="3285"/>
      <c r="K9" s="3285"/>
      <c r="L9" s="3285"/>
      <c r="M9" s="3284"/>
      <c r="N9" s="3285">
        <v>241.1</v>
      </c>
      <c r="O9" s="3285">
        <v>11261.49</v>
      </c>
      <c r="P9" s="3285"/>
      <c r="Q9" s="3282">
        <f t="shared" si="0"/>
        <v>11261.5</v>
      </c>
      <c r="R9" s="3282">
        <f t="shared" si="1"/>
        <v>-1.0000000000218279E-2</v>
      </c>
    </row>
    <row r="10" spans="1:18" ht="30" customHeight="1">
      <c r="A10" s="3284" t="s">
        <v>3034</v>
      </c>
      <c r="B10" s="3284">
        <v>30</v>
      </c>
      <c r="C10" s="3284">
        <v>1</v>
      </c>
      <c r="D10" s="3284">
        <v>9553.07</v>
      </c>
      <c r="E10" s="3284"/>
      <c r="F10" s="3285">
        <v>1113.48</v>
      </c>
      <c r="G10" s="3285"/>
      <c r="H10" s="3285"/>
      <c r="I10" s="3285"/>
      <c r="J10" s="3285"/>
      <c r="K10" s="3285"/>
      <c r="L10" s="3285"/>
      <c r="M10" s="3284"/>
      <c r="N10" s="3285"/>
      <c r="O10" s="3285">
        <v>10666.55</v>
      </c>
      <c r="P10" s="3285"/>
      <c r="Q10" s="3282">
        <f t="shared" si="0"/>
        <v>10666.55</v>
      </c>
      <c r="R10" s="3282">
        <f t="shared" si="1"/>
        <v>0</v>
      </c>
    </row>
    <row r="11" spans="1:18" ht="30" customHeight="1">
      <c r="A11" s="3284" t="s">
        <v>3035</v>
      </c>
      <c r="B11" s="3284">
        <v>31</v>
      </c>
      <c r="C11" s="3284">
        <v>1</v>
      </c>
      <c r="D11" s="3284">
        <v>13846.48</v>
      </c>
      <c r="E11" s="3284"/>
      <c r="F11" s="3285">
        <v>1579.47</v>
      </c>
      <c r="G11" s="3285"/>
      <c r="H11" s="3285"/>
      <c r="I11" s="3285"/>
      <c r="J11" s="3285"/>
      <c r="K11" s="3285"/>
      <c r="L11" s="3285"/>
      <c r="M11" s="3284"/>
      <c r="N11" s="3285"/>
      <c r="O11" s="3285">
        <v>15425.95</v>
      </c>
      <c r="P11" s="3285"/>
      <c r="Q11" s="3282">
        <f t="shared" si="0"/>
        <v>15425.949999999999</v>
      </c>
      <c r="R11" s="3282">
        <f t="shared" si="1"/>
        <v>0</v>
      </c>
    </row>
    <row r="12" spans="1:18" ht="30" customHeight="1">
      <c r="A12" s="3284" t="s">
        <v>3036</v>
      </c>
      <c r="B12" s="3284">
        <v>31</v>
      </c>
      <c r="C12" s="3284">
        <v>1</v>
      </c>
      <c r="D12" s="3284">
        <v>13852.99</v>
      </c>
      <c r="E12" s="3284"/>
      <c r="F12" s="3285">
        <v>676.8</v>
      </c>
      <c r="G12" s="3285"/>
      <c r="H12" s="3285"/>
      <c r="I12" s="3285"/>
      <c r="J12" s="3285"/>
      <c r="K12" s="3285"/>
      <c r="L12" s="3285"/>
      <c r="M12" s="3284"/>
      <c r="N12" s="3285"/>
      <c r="O12" s="3287">
        <v>14529.8</v>
      </c>
      <c r="P12" s="3285"/>
      <c r="Q12" s="3282">
        <f t="shared" si="0"/>
        <v>14529.789999999999</v>
      </c>
      <c r="R12" s="3282">
        <f t="shared" si="1"/>
        <v>1.0000000000218279E-2</v>
      </c>
    </row>
    <row r="13" spans="1:18" ht="30" customHeight="1">
      <c r="A13" s="3284" t="s">
        <v>3037</v>
      </c>
      <c r="B13" s="3284">
        <v>31</v>
      </c>
      <c r="C13" s="3284">
        <v>1</v>
      </c>
      <c r="D13" s="3284">
        <v>12058.39</v>
      </c>
      <c r="E13" s="3284">
        <v>388.07</v>
      </c>
      <c r="F13" s="3285">
        <v>870.62</v>
      </c>
      <c r="G13" s="3285"/>
      <c r="H13" s="3285"/>
      <c r="I13" s="3285"/>
      <c r="J13" s="3285"/>
      <c r="K13" s="3285"/>
      <c r="L13" s="3285"/>
      <c r="M13" s="3284"/>
      <c r="N13" s="3285"/>
      <c r="O13" s="3285">
        <v>13317.08</v>
      </c>
      <c r="P13" s="3285"/>
      <c r="Q13" s="3282">
        <f t="shared" si="0"/>
        <v>13317.08</v>
      </c>
      <c r="R13" s="3282">
        <f t="shared" si="1"/>
        <v>0</v>
      </c>
    </row>
    <row r="14" spans="1:18" ht="30" customHeight="1">
      <c r="A14" s="3284" t="s">
        <v>3038</v>
      </c>
      <c r="B14" s="3284">
        <v>31</v>
      </c>
      <c r="C14" s="3284">
        <v>1</v>
      </c>
      <c r="D14" s="3284">
        <v>12050.92</v>
      </c>
      <c r="E14" s="3284">
        <v>175.63</v>
      </c>
      <c r="F14" s="3285">
        <v>1205.77</v>
      </c>
      <c r="G14" s="3285"/>
      <c r="H14" s="3285"/>
      <c r="I14" s="3285"/>
      <c r="J14" s="3285"/>
      <c r="K14" s="3285"/>
      <c r="L14" s="3285"/>
      <c r="M14" s="3284"/>
      <c r="N14" s="3285"/>
      <c r="O14" s="3285">
        <v>13432.32</v>
      </c>
      <c r="P14" s="3285"/>
      <c r="Q14" s="3282">
        <f t="shared" si="0"/>
        <v>13432.32</v>
      </c>
      <c r="R14" s="3282">
        <f t="shared" si="1"/>
        <v>0</v>
      </c>
    </row>
    <row r="15" spans="1:18" ht="30" customHeight="1">
      <c r="A15" s="3284" t="s">
        <v>3039</v>
      </c>
      <c r="B15" s="3284">
        <v>31</v>
      </c>
      <c r="C15" s="3284">
        <v>1</v>
      </c>
      <c r="D15" s="3284">
        <v>12246.69</v>
      </c>
      <c r="E15" s="3284">
        <v>136.71</v>
      </c>
      <c r="F15" s="3285">
        <v>1478.36</v>
      </c>
      <c r="G15" s="3285"/>
      <c r="H15" s="3285"/>
      <c r="I15" s="3285"/>
      <c r="J15" s="3285"/>
      <c r="K15" s="3285"/>
      <c r="L15" s="3285"/>
      <c r="M15" s="3284"/>
      <c r="N15" s="3285"/>
      <c r="O15" s="3285">
        <v>13861.76</v>
      </c>
      <c r="P15" s="3285"/>
      <c r="Q15" s="3282">
        <f t="shared" si="0"/>
        <v>13861.76</v>
      </c>
      <c r="R15" s="3282">
        <f t="shared" si="1"/>
        <v>0</v>
      </c>
    </row>
    <row r="16" spans="1:18" ht="30" customHeight="1">
      <c r="A16" s="3284" t="s">
        <v>3040</v>
      </c>
      <c r="B16" s="3284">
        <v>31</v>
      </c>
      <c r="C16" s="3284">
        <v>1</v>
      </c>
      <c r="D16" s="3284">
        <v>9872.17</v>
      </c>
      <c r="E16" s="3284"/>
      <c r="F16" s="3285">
        <v>317.41000000000003</v>
      </c>
      <c r="G16" s="3285"/>
      <c r="H16" s="3285"/>
      <c r="I16" s="3285"/>
      <c r="J16" s="3285">
        <v>10</v>
      </c>
      <c r="K16" s="3285">
        <v>378.71</v>
      </c>
      <c r="L16" s="3285"/>
      <c r="M16" s="3284">
        <v>83.82</v>
      </c>
      <c r="N16" s="3285"/>
      <c r="O16" s="3285">
        <v>10652.12</v>
      </c>
      <c r="P16" s="3285"/>
      <c r="Q16" s="3282">
        <f t="shared" si="0"/>
        <v>10652.109999999999</v>
      </c>
      <c r="R16" s="3282">
        <f t="shared" si="1"/>
        <v>1.0000000002037268E-2</v>
      </c>
    </row>
    <row r="17" spans="1:18" ht="30" customHeight="1">
      <c r="A17" s="3284" t="s">
        <v>3041</v>
      </c>
      <c r="B17" s="3284">
        <v>31</v>
      </c>
      <c r="C17" s="3284">
        <v>1</v>
      </c>
      <c r="D17" s="3284">
        <v>12244.21</v>
      </c>
      <c r="E17" s="3284"/>
      <c r="F17" s="3285">
        <v>910.9</v>
      </c>
      <c r="G17" s="3285"/>
      <c r="H17" s="3285"/>
      <c r="I17" s="3285"/>
      <c r="J17" s="3285"/>
      <c r="K17" s="3285"/>
      <c r="L17" s="3285"/>
      <c r="M17" s="3284">
        <v>136.26</v>
      </c>
      <c r="N17" s="3285"/>
      <c r="O17" s="3285">
        <v>13291.37</v>
      </c>
      <c r="P17" s="3285"/>
      <c r="Q17" s="3282">
        <f t="shared" si="0"/>
        <v>13291.369999999999</v>
      </c>
      <c r="R17" s="3282">
        <f t="shared" si="1"/>
        <v>0</v>
      </c>
    </row>
    <row r="18" spans="1:18" ht="30" customHeight="1">
      <c r="A18" s="3284" t="s">
        <v>3042</v>
      </c>
      <c r="B18" s="3284">
        <v>32</v>
      </c>
      <c r="C18" s="3284"/>
      <c r="D18" s="3284">
        <v>10442.15</v>
      </c>
      <c r="E18" s="3284"/>
      <c r="F18" s="3285"/>
      <c r="G18" s="3285"/>
      <c r="H18" s="3285"/>
      <c r="I18" s="3285"/>
      <c r="J18" s="3285"/>
      <c r="K18" s="3285"/>
      <c r="L18" s="3285"/>
      <c r="M18" s="3284"/>
      <c r="N18" s="3285"/>
      <c r="O18" s="3285">
        <v>10442.15</v>
      </c>
      <c r="P18" s="3285"/>
      <c r="Q18" s="3282">
        <f t="shared" si="0"/>
        <v>10442.15</v>
      </c>
      <c r="R18" s="3282">
        <f t="shared" si="1"/>
        <v>0</v>
      </c>
    </row>
    <row r="19" spans="1:18" ht="30" customHeight="1">
      <c r="A19" s="3284" t="s">
        <v>3043</v>
      </c>
      <c r="B19" s="3284">
        <v>32</v>
      </c>
      <c r="C19" s="3284"/>
      <c r="D19" s="3284">
        <v>10442.15</v>
      </c>
      <c r="E19" s="3284"/>
      <c r="F19" s="3285"/>
      <c r="G19" s="3285"/>
      <c r="H19" s="3285"/>
      <c r="I19" s="3285"/>
      <c r="J19" s="3285"/>
      <c r="K19" s="3285"/>
      <c r="L19" s="3285"/>
      <c r="M19" s="3284"/>
      <c r="N19" s="3285"/>
      <c r="O19" s="3285">
        <v>10442.15</v>
      </c>
      <c r="P19" s="3285"/>
      <c r="Q19" s="3282">
        <f t="shared" si="0"/>
        <v>10442.15</v>
      </c>
      <c r="R19" s="3282">
        <f t="shared" si="1"/>
        <v>0</v>
      </c>
    </row>
    <row r="20" spans="1:18" ht="30" customHeight="1">
      <c r="A20" s="3284" t="s">
        <v>3044</v>
      </c>
      <c r="B20" s="3284">
        <v>32</v>
      </c>
      <c r="C20" s="3284"/>
      <c r="D20" s="3284">
        <v>12970.08</v>
      </c>
      <c r="E20" s="3284"/>
      <c r="F20" s="3285"/>
      <c r="G20" s="3285"/>
      <c r="H20" s="3285"/>
      <c r="I20" s="3285"/>
      <c r="J20" s="3285"/>
      <c r="K20" s="3285"/>
      <c r="L20" s="3285"/>
      <c r="M20" s="3284"/>
      <c r="N20" s="3285"/>
      <c r="O20" s="3285">
        <v>12970.08</v>
      </c>
      <c r="P20" s="3285"/>
      <c r="Q20" s="3282">
        <f t="shared" si="0"/>
        <v>12970.08</v>
      </c>
      <c r="R20" s="3282">
        <f t="shared" si="1"/>
        <v>0</v>
      </c>
    </row>
    <row r="21" spans="1:18" ht="30" customHeight="1">
      <c r="A21" s="3284" t="s">
        <v>3045</v>
      </c>
      <c r="B21" s="3284"/>
      <c r="C21" s="3284"/>
      <c r="D21" s="3284"/>
      <c r="E21" s="3284"/>
      <c r="F21" s="3285"/>
      <c r="G21" s="3285"/>
      <c r="H21" s="3285"/>
      <c r="I21" s="3285"/>
      <c r="J21" s="3285">
        <v>1806</v>
      </c>
      <c r="K21" s="3285">
        <v>63265.97</v>
      </c>
      <c r="L21" s="3285"/>
      <c r="M21" s="3284"/>
      <c r="N21" s="3285"/>
      <c r="O21" s="3285">
        <v>63265.97</v>
      </c>
      <c r="P21" s="3285"/>
      <c r="Q21" s="3282">
        <f t="shared" si="0"/>
        <v>63265.97</v>
      </c>
      <c r="R21" s="3282">
        <f t="shared" si="1"/>
        <v>0</v>
      </c>
    </row>
    <row r="22" spans="1:18" s="3292" customFormat="1" ht="30.95" customHeight="1">
      <c r="A22" s="3407" t="s">
        <v>24</v>
      </c>
      <c r="B22" s="3407"/>
      <c r="C22" s="3407"/>
      <c r="D22" s="3288">
        <f>SUM(D5:D21)</f>
        <v>197017.96</v>
      </c>
      <c r="E22" s="3289">
        <f>SUM(E5:E21)</f>
        <v>730.47</v>
      </c>
      <c r="F22" s="3288">
        <f>SUM(F5:F21)</f>
        <v>12924.980000000001</v>
      </c>
      <c r="G22" s="3290">
        <f t="shared" ref="G22:L22" si="2">SUM(G5:G21)</f>
        <v>0</v>
      </c>
      <c r="H22" s="3290">
        <f t="shared" si="2"/>
        <v>0</v>
      </c>
      <c r="I22" s="3290">
        <f t="shared" si="2"/>
        <v>0</v>
      </c>
      <c r="J22" s="3290">
        <f>SUM(J5:J21)</f>
        <v>1845</v>
      </c>
      <c r="K22" s="3288">
        <f>SUM(K5:K21)</f>
        <v>64678.93</v>
      </c>
      <c r="L22" s="3290">
        <f t="shared" si="2"/>
        <v>0</v>
      </c>
      <c r="M22" s="3289">
        <f>SUM(M5:M21)</f>
        <v>220.07999999999998</v>
      </c>
      <c r="N22" s="3291">
        <f>SUM(N5:N21)</f>
        <v>550.51</v>
      </c>
      <c r="O22" s="3290">
        <f>SUM(O5:O21)</f>
        <v>276122.93999999994</v>
      </c>
      <c r="P22" s="3290"/>
    </row>
  </sheetData>
  <mergeCells count="17">
    <mergeCell ref="O1:O4"/>
    <mergeCell ref="P1:P4"/>
    <mergeCell ref="D2:E2"/>
    <mergeCell ref="F2:I2"/>
    <mergeCell ref="B3:B4"/>
    <mergeCell ref="C3:C4"/>
    <mergeCell ref="M3:M4"/>
    <mergeCell ref="N3:N4"/>
    <mergeCell ref="A1:A4"/>
    <mergeCell ref="B1:C2"/>
    <mergeCell ref="D1:I1"/>
    <mergeCell ref="J1:N2"/>
    <mergeCell ref="A22:C22"/>
    <mergeCell ref="F3:H3"/>
    <mergeCell ref="J3:J4"/>
    <mergeCell ref="K3:K4"/>
    <mergeCell ref="L3:L4"/>
  </mergeCells>
  <phoneticPr fontId="228"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L35" sqref="L35"/>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22" t="s">
        <v>203</v>
      </c>
      <c r="B2" s="3422"/>
      <c r="C2" s="3422"/>
      <c r="D2" s="1887" t="s">
        <v>204</v>
      </c>
      <c r="E2" s="106" t="s">
        <v>205</v>
      </c>
      <c r="F2" s="3081"/>
      <c r="G2" s="1180"/>
      <c r="H2" s="1181"/>
      <c r="I2" s="1182" t="s">
        <v>849</v>
      </c>
      <c r="J2" s="3081"/>
      <c r="K2" s="3081"/>
      <c r="L2" s="3081"/>
      <c r="M2" s="3081"/>
      <c r="N2" s="3081"/>
      <c r="O2" s="3081"/>
      <c r="P2" s="3081"/>
    </row>
    <row r="3" spans="1:16" ht="15.75" thickBot="1">
      <c r="A3" s="3423" t="s">
        <v>206</v>
      </c>
      <c r="B3" s="3423"/>
      <c r="C3" s="3423"/>
      <c r="D3" s="107">
        <f>'数据-基础表'!AY6</f>
        <v>75029.52</v>
      </c>
      <c r="E3" s="107">
        <f>'数据-基础表'!AZ5</f>
        <v>276122.93</v>
      </c>
      <c r="F3" s="3081"/>
      <c r="G3" s="278" t="s">
        <v>850</v>
      </c>
      <c r="H3" s="273" t="s">
        <v>851</v>
      </c>
      <c r="I3" s="1888">
        <f>ROUND('数据-基础表'!B3/'数据-基础表'!A3,2)</f>
        <v>3.68</v>
      </c>
      <c r="J3" s="3081"/>
      <c r="K3" s="3081"/>
      <c r="L3" s="3081"/>
      <c r="M3" s="3081"/>
      <c r="N3" s="3081"/>
      <c r="O3" s="3081"/>
      <c r="P3" s="3081"/>
    </row>
    <row r="4" spans="1:16" ht="15">
      <c r="A4" s="3424"/>
      <c r="B4" s="3425"/>
      <c r="C4" s="3426"/>
      <c r="D4" s="108" t="s">
        <v>204</v>
      </c>
      <c r="E4" s="109" t="s">
        <v>205</v>
      </c>
      <c r="F4" s="3081"/>
      <c r="G4" s="1183"/>
      <c r="H4" s="273" t="s">
        <v>852</v>
      </c>
      <c r="I4" s="1888">
        <f>ROUND(SUMIF('数据-基础表'!I9:AS9,"地上",'数据-基础表'!I5:AS5)/'数据-基础表'!A3,2)</f>
        <v>2.81</v>
      </c>
      <c r="J4" s="3081"/>
      <c r="K4" s="3081"/>
      <c r="L4" s="3081"/>
      <c r="M4" s="3081"/>
      <c r="N4" s="3081"/>
      <c r="O4" s="3081"/>
      <c r="P4" s="3081"/>
    </row>
    <row r="5" spans="1:16">
      <c r="A5" s="110" t="s">
        <v>207</v>
      </c>
      <c r="B5" s="3427" t="s">
        <v>230</v>
      </c>
      <c r="C5" s="3427"/>
      <c r="D5" s="111">
        <f>ROUND($D$3*E5/$E$3,2)</f>
        <v>53534.720000000001</v>
      </c>
      <c r="E5" s="112">
        <f>SUMIF('数据-基础表'!$11:$11,"住宅",'数据-基础表'!$5:$5)</f>
        <v>197017.96</v>
      </c>
      <c r="F5" s="3081"/>
      <c r="G5" s="278" t="s">
        <v>853</v>
      </c>
      <c r="H5" s="273" t="s">
        <v>851</v>
      </c>
      <c r="I5" s="1888">
        <f>ROUND(E31/D31,2)</f>
        <v>3.68</v>
      </c>
      <c r="J5" s="3081"/>
      <c r="K5" s="3081"/>
      <c r="L5" s="3081"/>
      <c r="M5" s="3081"/>
      <c r="N5" s="3081"/>
      <c r="O5" s="3081"/>
      <c r="P5" s="3081"/>
    </row>
    <row r="6" spans="1:16" ht="15" thickBot="1">
      <c r="A6" s="113"/>
      <c r="B6" s="3427" t="s">
        <v>208</v>
      </c>
      <c r="C6" s="3427"/>
      <c r="D6" s="111">
        <f>ROUND($D$3*E6/$E$3,2)</f>
        <v>21494.799999999999</v>
      </c>
      <c r="E6" s="112">
        <f>E3-E5</f>
        <v>79104.97</v>
      </c>
      <c r="F6" s="3081"/>
      <c r="G6" s="1183"/>
      <c r="H6" s="273" t="s">
        <v>852</v>
      </c>
      <c r="I6" s="1888">
        <f>ROUND(F31/D31,2)</f>
        <v>2.81</v>
      </c>
      <c r="J6" s="3081"/>
      <c r="K6" s="3081"/>
      <c r="L6" s="3081"/>
      <c r="M6" s="3081"/>
      <c r="N6" s="3081"/>
      <c r="O6" s="3081"/>
      <c r="P6" s="3081"/>
    </row>
    <row r="7" spans="1:16" ht="15">
      <c r="A7" s="3419"/>
      <c r="B7" s="3420"/>
      <c r="C7" s="3421"/>
      <c r="D7" s="108" t="s">
        <v>204</v>
      </c>
      <c r="E7" s="114" t="s">
        <v>231</v>
      </c>
      <c r="F7" s="3081"/>
      <c r="G7" s="1138" t="s">
        <v>1636</v>
      </c>
      <c r="H7" s="1139"/>
      <c r="I7" s="1758">
        <f>ROUND((面积指标表!D22+面积指标表!E22+面积指标表!F22)/'数据-基础表'!A3,2)</f>
        <v>2.81</v>
      </c>
      <c r="J7" s="3081"/>
      <c r="K7" s="3081"/>
      <c r="L7" s="3081"/>
      <c r="M7" s="3081"/>
      <c r="N7" s="3081"/>
      <c r="O7" s="3081"/>
      <c r="P7" s="3081"/>
    </row>
    <row r="8" spans="1:16">
      <c r="A8" s="110" t="s">
        <v>209</v>
      </c>
      <c r="B8" s="115" t="s">
        <v>210</v>
      </c>
      <c r="C8" s="111" t="s">
        <v>211</v>
      </c>
      <c r="D8" s="111">
        <f t="shared" ref="D8:D15" si="0">ROUND($D$3*E8/$E$3,2)</f>
        <v>57046.76</v>
      </c>
      <c r="E8" s="116">
        <f>SUMIF('数据-基础表'!BB10:BK10,"地上",'数据-基础表'!BB5:BK5)</f>
        <v>209942.94</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149.59</v>
      </c>
      <c r="E10" s="116">
        <f>SUMPRODUCT(('数据-基础表'!BB10:BK10="地下")*('数据-基础表'!BB11:BK11="商业")*('数据-基础表'!BB5:BK5))</f>
        <v>550.51</v>
      </c>
      <c r="F10" s="3081"/>
      <c r="G10" s="3082"/>
      <c r="H10" s="3082"/>
      <c r="I10" s="3081"/>
      <c r="J10" s="3081"/>
      <c r="K10" s="3081"/>
      <c r="L10" s="3081"/>
      <c r="M10" s="3081"/>
      <c r="N10" s="3081"/>
      <c r="O10" s="3081"/>
      <c r="P10" s="3081"/>
    </row>
    <row r="11" spans="1:16">
      <c r="A11" s="117"/>
      <c r="B11" s="118"/>
      <c r="C11" s="2209"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2321</v>
      </c>
      <c r="D13" s="111">
        <f t="shared" si="0"/>
        <v>17574.89</v>
      </c>
      <c r="E13" s="116">
        <f>SUMPRODUCT(('数据-基础表'!BB10:BK10="地下")*('数据-基础表'!BB11:BK11="车库")*('数据-基础表'!BB5:BK5))</f>
        <v>64678.93</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74771.239999999991</v>
      </c>
      <c r="E16" s="120">
        <f>SUM(E8:E15)</f>
        <v>275172.38</v>
      </c>
      <c r="F16" s="3081"/>
      <c r="G16" s="3082"/>
      <c r="H16" s="955" t="s">
        <v>219</v>
      </c>
      <c r="I16" s="956"/>
      <c r="J16" s="1896"/>
      <c r="K16" s="3413" t="s">
        <v>2547</v>
      </c>
      <c r="L16" s="3414"/>
      <c r="M16" s="3414"/>
      <c r="N16" s="3414"/>
      <c r="O16" s="3414"/>
      <c r="P16" s="3415"/>
    </row>
    <row r="17" spans="1:19" ht="15">
      <c r="A17" s="121" t="s">
        <v>216</v>
      </c>
      <c r="B17" s="122" t="s">
        <v>217</v>
      </c>
      <c r="C17" s="2176" t="s">
        <v>2300</v>
      </c>
      <c r="D17" s="108" t="s">
        <v>204</v>
      </c>
      <c r="E17" s="124" t="s">
        <v>205</v>
      </c>
      <c r="F17" s="125"/>
      <c r="G17" s="1317"/>
      <c r="H17" s="957" t="s">
        <v>218</v>
      </c>
      <c r="I17" s="958" t="s">
        <v>2299</v>
      </c>
      <c r="J17" s="1896"/>
      <c r="K17" s="3416" t="s">
        <v>2548</v>
      </c>
      <c r="L17" s="3417"/>
      <c r="M17" s="3418"/>
      <c r="N17" s="3416" t="s">
        <v>2549</v>
      </c>
      <c r="O17" s="3417"/>
      <c r="P17" s="3418"/>
      <c r="R17" s="2177" t="s">
        <v>2298</v>
      </c>
      <c r="S17" s="142"/>
    </row>
    <row r="18" spans="1:19" ht="15">
      <c r="A18" s="117"/>
      <c r="B18" s="128"/>
      <c r="C18" s="129"/>
      <c r="D18" s="2482"/>
      <c r="E18" s="130" t="s">
        <v>220</v>
      </c>
      <c r="F18" s="131" t="s">
        <v>221</v>
      </c>
      <c r="G18" s="1318" t="s">
        <v>222</v>
      </c>
      <c r="H18" s="959" t="s">
        <v>223</v>
      </c>
      <c r="I18" s="960" t="s">
        <v>224</v>
      </c>
      <c r="J18" s="1896"/>
      <c r="K18" s="2447" t="s">
        <v>2550</v>
      </c>
      <c r="L18" s="2448" t="s">
        <v>2551</v>
      </c>
      <c r="M18" s="2449" t="s">
        <v>2552</v>
      </c>
      <c r="N18" s="2447" t="s">
        <v>2550</v>
      </c>
      <c r="O18" s="2448" t="s">
        <v>2551</v>
      </c>
      <c r="P18" s="2449" t="s">
        <v>2552</v>
      </c>
      <c r="R18" s="2178" t="s">
        <v>2296</v>
      </c>
      <c r="S18" s="2178" t="s">
        <v>2297</v>
      </c>
    </row>
    <row r="19" spans="1:19">
      <c r="A19" s="133"/>
      <c r="B19" s="115" t="s">
        <v>225</v>
      </c>
      <c r="C19" s="2736" t="s">
        <v>3047</v>
      </c>
      <c r="D19" s="111">
        <f t="shared" ref="D19:D26" si="1">ROUND($D$3*E19/$E$3,2)</f>
        <v>53534.720000000001</v>
      </c>
      <c r="E19" s="134">
        <f t="shared" ref="E19:E26" si="2">SUM(F19:G19)</f>
        <v>197017.96</v>
      </c>
      <c r="F19" s="3083">
        <f>'数据-基础表'!I13</f>
        <v>197017.96</v>
      </c>
      <c r="G19" s="3084"/>
      <c r="H19" s="961">
        <f>ROUND($D$3*I19/$E$3,2)</f>
        <v>241.3</v>
      </c>
      <c r="I19" s="116">
        <f>IF($I$17="自定义",P19,M19)</f>
        <v>888.04</v>
      </c>
      <c r="J19" s="1896"/>
      <c r="K19" s="2450">
        <f t="shared" ref="K19:K26" si="3">ROUND(E$28*E19/E$27,2)</f>
        <v>157.57</v>
      </c>
      <c r="L19" s="273">
        <f t="shared" ref="L19:L26" si="4">ROUND(IF(COUNTIF(C19,"*住宅*")&gt;0,E$29*E19/E$32,0),2)</f>
        <v>730.47</v>
      </c>
      <c r="M19" s="2451">
        <f>K19+L19</f>
        <v>888.04</v>
      </c>
      <c r="N19" s="2452"/>
      <c r="O19" s="2453"/>
      <c r="P19" s="2454">
        <f>N19+O19</f>
        <v>0</v>
      </c>
      <c r="R19" s="3320">
        <f>ROUND(D3*E19/(E19+E20),2)</f>
        <v>70226.240000000005</v>
      </c>
      <c r="S19" s="2179">
        <f t="shared" ref="R19:S26" si="5">E19+I19</f>
        <v>197906</v>
      </c>
    </row>
    <row r="20" spans="1:19">
      <c r="A20" s="137"/>
      <c r="B20" s="115" t="s">
        <v>226</v>
      </c>
      <c r="C20" s="2736" t="s">
        <v>3054</v>
      </c>
      <c r="D20" s="111">
        <f t="shared" si="1"/>
        <v>3661.63</v>
      </c>
      <c r="E20" s="134">
        <f t="shared" si="2"/>
        <v>13475.490000000002</v>
      </c>
      <c r="F20" s="3083">
        <f>'数据-基础表'!K13</f>
        <v>12924.980000000001</v>
      </c>
      <c r="G20" s="3084">
        <v>550.51</v>
      </c>
      <c r="H20" s="961">
        <f t="shared" ref="H20:H26" si="6">ROUND($D$3*I20/$E$3,2)</f>
        <v>2.93</v>
      </c>
      <c r="I20" s="116">
        <f t="shared" ref="I20:I26" si="7">IF($I$17="自定义",P20,M20)</f>
        <v>10.78</v>
      </c>
      <c r="J20" s="1896"/>
      <c r="K20" s="2450">
        <f t="shared" si="3"/>
        <v>10.78</v>
      </c>
      <c r="L20" s="273">
        <f t="shared" si="4"/>
        <v>0</v>
      </c>
      <c r="M20" s="2451">
        <f t="shared" ref="M20:M26" si="8">K20+L20</f>
        <v>10.78</v>
      </c>
      <c r="N20" s="2452"/>
      <c r="O20" s="2453"/>
      <c r="P20" s="2454">
        <f t="shared" ref="P20:P26" si="9">N20+O20</f>
        <v>0</v>
      </c>
      <c r="R20" s="3320">
        <f>D3-R19</f>
        <v>4803.2799999999988</v>
      </c>
      <c r="S20" s="2179">
        <f t="shared" si="5"/>
        <v>13486.270000000002</v>
      </c>
    </row>
    <row r="21" spans="1:19">
      <c r="A21" s="137"/>
      <c r="B21" s="115" t="s">
        <v>226</v>
      </c>
      <c r="C21" s="2736" t="s">
        <v>3055</v>
      </c>
      <c r="D21" s="111">
        <f t="shared" si="1"/>
        <v>17574.89</v>
      </c>
      <c r="E21" s="134">
        <f t="shared" si="2"/>
        <v>64678.93</v>
      </c>
      <c r="F21" s="3083"/>
      <c r="G21" s="3084">
        <f>面积指标表!K22</f>
        <v>64678.93</v>
      </c>
      <c r="H21" s="961">
        <f t="shared" si="6"/>
        <v>14.06</v>
      </c>
      <c r="I21" s="116">
        <f t="shared" si="7"/>
        <v>51.73</v>
      </c>
      <c r="J21" s="1896"/>
      <c r="K21" s="2450">
        <f t="shared" si="3"/>
        <v>51.73</v>
      </c>
      <c r="L21" s="273">
        <f t="shared" si="4"/>
        <v>0</v>
      </c>
      <c r="M21" s="2451">
        <f t="shared" si="8"/>
        <v>51.73</v>
      </c>
      <c r="N21" s="2452"/>
      <c r="O21" s="2453"/>
      <c r="P21" s="2454">
        <f t="shared" si="9"/>
        <v>0</v>
      </c>
      <c r="R21" s="3320">
        <v>0</v>
      </c>
      <c r="S21" s="2179">
        <f t="shared" si="5"/>
        <v>64730.66</v>
      </c>
    </row>
    <row r="22" spans="1:19">
      <c r="A22" s="137"/>
      <c r="B22" s="115" t="s">
        <v>226</v>
      </c>
      <c r="C22" s="3293"/>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74771.239999999991</v>
      </c>
      <c r="E27" s="141">
        <f>IF(SUM(E19:E26)='数据-基础表'!BA5,SUM(E19:E26),IF(F27="地上面积有误","面积有误","地下面积有误"))</f>
        <v>275172.38</v>
      </c>
      <c r="F27" s="134">
        <f>IF(SUM(F19:F26)=E8,SUM(F19:F26),"地上面积有误")</f>
        <v>209942.94</v>
      </c>
      <c r="G27" s="112">
        <f>SUM(G19:G26)</f>
        <v>65229.440000000002</v>
      </c>
      <c r="H27" s="962">
        <f>SUM(H19:H26)</f>
        <v>258.29000000000002</v>
      </c>
      <c r="I27" s="963">
        <f>SUM(I19:I26)</f>
        <v>950.55</v>
      </c>
      <c r="J27" s="1896"/>
      <c r="K27" s="2459">
        <f>SUM(K19:K26)</f>
        <v>220.07999999999998</v>
      </c>
      <c r="L27" s="2460">
        <f>SUM(L19:L26)</f>
        <v>730.47</v>
      </c>
      <c r="M27" s="2461">
        <f>SUM(M19:M26)</f>
        <v>950.55</v>
      </c>
      <c r="N27" s="2459">
        <f t="shared" ref="N27:O27" si="10">SUM(N19:N26)</f>
        <v>0</v>
      </c>
      <c r="O27" s="2460">
        <f t="shared" si="10"/>
        <v>0</v>
      </c>
      <c r="P27" s="2462">
        <f>SUM(P19:P26)</f>
        <v>0</v>
      </c>
      <c r="R27" s="2183">
        <f>IF(SUM(R19:R26)=$D$3,SUM(R19:R26),SUM(R19:R26)&amp;"误差"&amp;ROUND(SUM(R19:R26)-$D$3,2))</f>
        <v>75029.52</v>
      </c>
      <c r="S27" s="273">
        <f>IF(SUM(S19:S26)=$E$3,SUM(S19:S26),SUM(S19:S26)&amp;"误差"&amp;ROUND(SUM(S19:S26)-E3,2))</f>
        <v>276122.93</v>
      </c>
    </row>
    <row r="28" spans="1:19">
      <c r="A28" s="137"/>
      <c r="B28" s="115" t="s">
        <v>227</v>
      </c>
      <c r="C28" s="135" t="s">
        <v>228</v>
      </c>
      <c r="D28" s="111">
        <f>ROUND($D$3*E28/$E$3,2)</f>
        <v>59.8</v>
      </c>
      <c r="E28" s="134">
        <f>SUM(F28:G28)</f>
        <v>220.07999999999998</v>
      </c>
      <c r="F28" s="142">
        <f>'数据-基础表'!BQ5+'数据-基础表'!BS5</f>
        <v>220.07999999999998</v>
      </c>
      <c r="G28" s="143">
        <f>'数据-基础表'!BR5+'数据-基础表'!BT5</f>
        <v>0</v>
      </c>
      <c r="H28" s="3081"/>
      <c r="I28" s="3081"/>
      <c r="J28" s="3081"/>
      <c r="K28" s="3081"/>
      <c r="L28" s="3081"/>
      <c r="M28" s="3081"/>
      <c r="N28" s="3081"/>
      <c r="O28" s="3081"/>
      <c r="P28" s="3081"/>
    </row>
    <row r="29" spans="1:19">
      <c r="A29" s="137"/>
      <c r="B29" s="115" t="s">
        <v>227</v>
      </c>
      <c r="C29" s="2191" t="s">
        <v>2307</v>
      </c>
      <c r="D29" s="111">
        <f>ROUND($D$3*E29/$E$3,2)</f>
        <v>198.49</v>
      </c>
      <c r="E29" s="134">
        <f>SUM(F29:G29)</f>
        <v>730.47</v>
      </c>
      <c r="F29" s="142">
        <f>'数据-基础表'!BM5+'数据-基础表'!BO5</f>
        <v>730.47</v>
      </c>
      <c r="G29" s="144">
        <f>'数据-基础表'!BN5+'数据-基础表'!BP5</f>
        <v>0</v>
      </c>
      <c r="H29" s="3081"/>
      <c r="I29" s="3081"/>
      <c r="J29" s="3081"/>
      <c r="K29" s="3081"/>
      <c r="L29" s="3081"/>
      <c r="M29" s="3081"/>
      <c r="N29" s="3081"/>
      <c r="O29" s="3081"/>
      <c r="P29" s="3081"/>
    </row>
    <row r="30" spans="1:19">
      <c r="A30" s="137"/>
      <c r="B30" s="111"/>
      <c r="C30" s="145" t="s">
        <v>215</v>
      </c>
      <c r="D30" s="134">
        <f>SUM(D28:D29)</f>
        <v>258.29000000000002</v>
      </c>
      <c r="E30" s="134">
        <f>SUM(E28:E29)</f>
        <v>950.55</v>
      </c>
      <c r="F30" s="134">
        <f>SUM(F28:F29)</f>
        <v>950.55</v>
      </c>
      <c r="G30" s="112">
        <f>SUM(G28:G29)</f>
        <v>0</v>
      </c>
      <c r="H30" s="3081"/>
      <c r="I30" s="3081"/>
      <c r="J30" s="3081"/>
      <c r="K30" s="3081"/>
      <c r="L30" s="3081"/>
      <c r="M30" s="3081"/>
      <c r="N30" s="3081"/>
      <c r="O30" s="3081"/>
      <c r="P30" s="3081"/>
    </row>
    <row r="31" spans="1:19" ht="32.25" customHeight="1" thickBot="1">
      <c r="A31" s="1319"/>
      <c r="B31" s="1320" t="s">
        <v>229</v>
      </c>
      <c r="C31" s="2208" t="s">
        <v>2309</v>
      </c>
      <c r="D31" s="1321">
        <f>D27+D30</f>
        <v>75029.529999999984</v>
      </c>
      <c r="E31" s="1321">
        <f>E27+E30</f>
        <v>276122.93</v>
      </c>
      <c r="F31" s="1322">
        <f>F27+F30</f>
        <v>210893.49</v>
      </c>
      <c r="G31" s="1323">
        <f>G27+G30</f>
        <v>65229.440000000002</v>
      </c>
      <c r="H31" s="3081"/>
      <c r="I31" s="3081"/>
      <c r="J31" s="3081"/>
      <c r="K31" s="3081"/>
      <c r="L31" s="3081"/>
      <c r="M31" s="3081"/>
      <c r="N31" s="3081"/>
      <c r="O31" s="3081"/>
      <c r="P31" s="3081"/>
    </row>
    <row r="32" spans="1:19">
      <c r="A32" s="1896"/>
      <c r="B32" s="2220" t="s">
        <v>2308</v>
      </c>
      <c r="C32" s="2487"/>
      <c r="D32" s="1183"/>
      <c r="E32" s="1183">
        <f>SUMIF(C19:C26,"*住宅*",E19:E26)</f>
        <v>197017.96</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M6" sqref="M6:M8"/>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44077</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2310</v>
      </c>
      <c r="AI5" s="169" t="s">
        <v>2279</v>
      </c>
      <c r="AJ5" s="169" t="s">
        <v>258</v>
      </c>
      <c r="AK5" s="157" t="s">
        <v>259</v>
      </c>
      <c r="AL5" s="157" t="s">
        <v>260</v>
      </c>
      <c r="AM5" s="170" t="s">
        <v>261</v>
      </c>
      <c r="AN5" s="2244" t="s">
        <v>2357</v>
      </c>
      <c r="AO5" s="3102"/>
      <c r="AP5" s="3087" t="s">
        <v>2976</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64424</v>
      </c>
      <c r="F6" s="172">
        <f>SUMIF(项目基本情况!D$15:I$15,C6,项目基本情况!D$19:I$19)</f>
        <v>55.74</v>
      </c>
      <c r="G6" s="173">
        <f>IF(ISERROR(ROUND(POWER(1+H6,D6-F6)*(POWER(1+H6,F6)-1)/(POWER(1+H6,D6)-1),3)),0,ROUND(POWER(1+H6,D6-F6)*(POWER(1+H6,F6)-1)/(POWER(1+H6,D6)-1),3))</f>
        <v>0.95799999999999996</v>
      </c>
      <c r="H6" s="2737">
        <v>4.4999999999999998E-2</v>
      </c>
      <c r="I6" s="2737">
        <v>0.05</v>
      </c>
      <c r="J6" s="174">
        <v>0.08</v>
      </c>
      <c r="K6" s="177">
        <f>SUMIF('数据-汇总表'!C$19:C$33,'数据-取费表'!A6,'数据-汇总表'!E$19:E$33)</f>
        <v>197017.96</v>
      </c>
      <c r="L6" s="2738">
        <v>3000</v>
      </c>
      <c r="M6" s="175">
        <f t="shared" ref="M6:M14" si="0">ROUND(K6*L6/10000,0)</f>
        <v>59105</v>
      </c>
      <c r="N6" s="2739">
        <v>0</v>
      </c>
      <c r="O6" s="175">
        <f>IF($N$5="成新度","——",ROUND(M6*N6,0))</f>
        <v>0</v>
      </c>
      <c r="P6" s="176">
        <f>IF($N$5="成新度","——",M6-O6)</f>
        <v>59105</v>
      </c>
      <c r="Q6" s="2740">
        <v>0.15</v>
      </c>
      <c r="R6" s="177">
        <f>SUMIF('数据-汇总表'!C$19:C$33,A6,'数据-汇总表'!R$19:R$33)</f>
        <v>70226.240000000005</v>
      </c>
      <c r="S6" s="132">
        <f>IF('数据-汇总表'!$I$17="按面积比例",SUMIF('数据-汇总表'!C$19:C$33,A6,'数据-汇总表'!K$19:K$33),SUMIF('数据-汇总表'!C$19:C$33,A6,'数据-汇总表'!N$19:N$33))</f>
        <v>157.57</v>
      </c>
      <c r="T6" s="2112">
        <f>IF($T$4="按面积比例",IF(ISERROR(ROUND($M$14*S6/S$16,0)),"0",ROUND($M$14*S6/S$16,0)),"需自行计算录入")</f>
        <v>34</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0.91400000000000003</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1" t="s">
        <v>3005</v>
      </c>
      <c r="D7" s="2186">
        <f>SUMIF(项目基本情况!D$15:I$15,C7,项目基本情况!D$18:I$18)</f>
        <v>40</v>
      </c>
      <c r="E7" s="2187">
        <f>IF(B7="","",SUMIF(项目基本情况!D$15:I$15,C7,项目基本情况!D$17:I$17))</f>
        <v>53466</v>
      </c>
      <c r="F7" s="172">
        <f>SUMIF(项目基本情况!D$15:I$15,C7,项目基本情况!D$19:I$19)</f>
        <v>25.72</v>
      </c>
      <c r="G7" s="173">
        <f t="shared" ref="G7:G11" si="2">IF(ISERROR(ROUND(POWER(1+H7,D7-F7)*(POWER(1+H7,F7)-1)/(POWER(1+H7,D7)-1),3)),0,ROUND(POWER(1+H7,D7-F7)*(POWER(1+H7,F7)-1)/(POWER(1+H7,D7)-1),3))</f>
        <v>0.83299999999999996</v>
      </c>
      <c r="H7" s="2737">
        <v>0.05</v>
      </c>
      <c r="I7" s="2737">
        <v>5.5E-2</v>
      </c>
      <c r="J7" s="174">
        <v>0.08</v>
      </c>
      <c r="K7" s="177">
        <f>SUMIF('数据-汇总表'!C$19:C$33,'数据-取费表'!A7,'数据-汇总表'!E$19:E$33)</f>
        <v>13475.490000000002</v>
      </c>
      <c r="L7" s="2738">
        <v>2500</v>
      </c>
      <c r="M7" s="175">
        <f t="shared" si="0"/>
        <v>3369</v>
      </c>
      <c r="N7" s="2739">
        <v>0</v>
      </c>
      <c r="O7" s="175">
        <f t="shared" ref="O7:O14" si="3">IF($N$5="成新度","——",ROUND(M7*N7,0))</f>
        <v>0</v>
      </c>
      <c r="P7" s="176">
        <f t="shared" ref="P7:P14" si="4">IF($N$5="成新度","——",M7-O7)</f>
        <v>3369</v>
      </c>
      <c r="Q7" s="2740">
        <v>0.2</v>
      </c>
      <c r="R7" s="177">
        <f>SUMIF('数据-汇总表'!C$19:C$33,A7,'数据-汇总表'!R$19:R$33)</f>
        <v>4803.2799999999988</v>
      </c>
      <c r="S7" s="132">
        <f>IF('数据-汇总表'!$I$17="按面积比例",SUMIF('数据-汇总表'!C$19:C$33,A7,'数据-汇总表'!K$19:K$33),SUMIF('数据-汇总表'!C$19:C$33,A7,'数据-汇总表'!N$19:N$33))</f>
        <v>10.78</v>
      </c>
      <c r="T7" s="2112">
        <f t="shared" ref="T7:T13" si="5">IF($T$4="按面积比例",IF(ISERROR(ROUND($M$14*S7/S$16,0)),"0",ROUND($M$14*S7/S$16,0)),"需自行计算录入")</f>
        <v>2</v>
      </c>
      <c r="U7" s="178">
        <v>3.8</v>
      </c>
      <c r="V7" s="179">
        <v>0.03</v>
      </c>
      <c r="W7" s="179">
        <v>0.15</v>
      </c>
      <c r="X7" s="2199"/>
      <c r="Y7" s="180">
        <v>1</v>
      </c>
      <c r="Z7" s="181"/>
      <c r="AA7" s="174"/>
      <c r="AB7" s="174"/>
      <c r="AC7" s="2202"/>
      <c r="AD7" s="182"/>
      <c r="AE7" s="959">
        <f t="shared" ref="AE7:AE13" ca="1" si="6">IF(AN7="",0,SUMIF(INDIRECT("'"&amp;AN7&amp;"'"&amp;"!E:E"),$AE$5,INDIRECT("'"&amp;AN7&amp;"'"&amp;"!F:F")))</f>
        <v>23.22</v>
      </c>
      <c r="AF7" s="139"/>
      <c r="AG7" s="1195">
        <f t="shared" ref="AG7:AG13" si="7">IF(AF7="",0,AE7-AF7)</f>
        <v>0</v>
      </c>
      <c r="AH7" s="139"/>
      <c r="AI7" s="185">
        <v>365</v>
      </c>
      <c r="AJ7" s="186"/>
      <c r="AK7" s="187">
        <v>1.4999999999999999E-2</v>
      </c>
      <c r="AL7" s="188">
        <v>1.5E-3</v>
      </c>
      <c r="AM7" s="2243">
        <v>1.4999999999999999E-2</v>
      </c>
      <c r="AN7" s="2245" t="s">
        <v>3148</v>
      </c>
      <c r="AO7" s="3091"/>
      <c r="AP7" s="1186">
        <f t="shared" ref="AP7:AP13" si="8">ROUND(1-1/(1+H7)^F7,3)</f>
        <v>0.71499999999999997</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车库</v>
      </c>
      <c r="B8" s="2215" t="str">
        <f t="shared" si="1"/>
        <v>经营性</v>
      </c>
      <c r="C8" s="171" t="s">
        <v>3019</v>
      </c>
      <c r="D8" s="2186">
        <f>SUMIF(项目基本情况!D$15:I$15,C8,项目基本情况!D$18:I$18)</f>
        <v>50</v>
      </c>
      <c r="E8" s="2187">
        <f>IF(B8="","",SUMIF(项目基本情况!D$15:I$15,C8,项目基本情况!D$17:I$17))</f>
        <v>57119</v>
      </c>
      <c r="F8" s="172">
        <f>SUMIF(项目基本情况!D$15:I$15,C8,项目基本情况!D$19:I$19)</f>
        <v>35.729999999999997</v>
      </c>
      <c r="G8" s="173">
        <f t="shared" si="2"/>
        <v>0</v>
      </c>
      <c r="H8" s="2737">
        <v>0</v>
      </c>
      <c r="I8" s="2737">
        <v>4.4999999999999998E-2</v>
      </c>
      <c r="J8" s="174">
        <f>J7</f>
        <v>0.08</v>
      </c>
      <c r="K8" s="177">
        <f>SUMIF('数据-汇总表'!C$19:C$33,'数据-取费表'!A8,'数据-汇总表'!E$19:E$33)</f>
        <v>64678.93</v>
      </c>
      <c r="L8" s="2738">
        <v>2200</v>
      </c>
      <c r="M8" s="175">
        <f>ROUND(K8*L8/10000,0)</f>
        <v>14229</v>
      </c>
      <c r="N8" s="2739">
        <f>N6</f>
        <v>0</v>
      </c>
      <c r="O8" s="175">
        <f t="shared" si="3"/>
        <v>0</v>
      </c>
      <c r="P8" s="176">
        <f t="shared" si="4"/>
        <v>14229</v>
      </c>
      <c r="Q8" s="2740">
        <v>0.03</v>
      </c>
      <c r="R8" s="177">
        <f>SUMIF('数据-汇总表'!C$19:C$33,A8,'数据-汇总表'!R$19:R$33)</f>
        <v>0</v>
      </c>
      <c r="S8" s="132">
        <f>IF('数据-汇总表'!$I$17="按面积比例",SUMIF('数据-汇总表'!C$19:C$33,A8,'数据-汇总表'!K$19:K$33),SUMIF('数据-汇总表'!C$19:C$33,A8,'数据-汇总表'!N$19:N$33))</f>
        <v>51.73</v>
      </c>
      <c r="T8" s="2112">
        <f t="shared" si="5"/>
        <v>11</v>
      </c>
      <c r="U8" s="178">
        <v>500</v>
      </c>
      <c r="V8" s="179">
        <v>0.02</v>
      </c>
      <c r="W8" s="179">
        <v>0.15</v>
      </c>
      <c r="X8" s="2199"/>
      <c r="Y8" s="180">
        <v>1</v>
      </c>
      <c r="Z8" s="181"/>
      <c r="AA8" s="174"/>
      <c r="AB8" s="174"/>
      <c r="AC8" s="2202"/>
      <c r="AD8" s="182"/>
      <c r="AE8" s="959">
        <f t="shared" ca="1" si="6"/>
        <v>33.229999999999997</v>
      </c>
      <c r="AF8" s="139"/>
      <c r="AG8" s="1195">
        <f t="shared" si="7"/>
        <v>0</v>
      </c>
      <c r="AH8" s="139">
        <v>1845</v>
      </c>
      <c r="AI8" s="185">
        <v>12</v>
      </c>
      <c r="AJ8" s="186"/>
      <c r="AK8" s="187">
        <v>0.01</v>
      </c>
      <c r="AL8" s="188">
        <v>1.5E-3</v>
      </c>
      <c r="AM8" s="2243">
        <v>1.4999999999999999E-2</v>
      </c>
      <c r="AN8" s="2245" t="s">
        <v>3056</v>
      </c>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2301</v>
      </c>
      <c r="B14" s="2184" t="s">
        <v>1670</v>
      </c>
      <c r="C14" s="2185" t="s">
        <v>2301</v>
      </c>
      <c r="D14" s="2186"/>
      <c r="E14" s="2187"/>
      <c r="F14" s="172"/>
      <c r="G14" s="173"/>
      <c r="H14" s="2188"/>
      <c r="I14" s="2188"/>
      <c r="J14" s="2188"/>
      <c r="K14" s="177">
        <f>SUMIF('数据-汇总表'!C$19:C$33,'数据-取费表'!A14,'数据-汇总表'!E$19:E$33)</f>
        <v>220.07999999999998</v>
      </c>
      <c r="L14" s="3313">
        <v>2200</v>
      </c>
      <c r="M14" s="175">
        <f t="shared" si="0"/>
        <v>48</v>
      </c>
      <c r="N14" s="3314">
        <v>0</v>
      </c>
      <c r="O14" s="175">
        <f t="shared" si="3"/>
        <v>0</v>
      </c>
      <c r="P14" s="176">
        <f t="shared" si="4"/>
        <v>48</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2303</v>
      </c>
      <c r="B15" s="2184" t="s">
        <v>1670</v>
      </c>
      <c r="C15" s="2185" t="s">
        <v>2302</v>
      </c>
      <c r="D15" s="2186"/>
      <c r="E15" s="2187"/>
      <c r="F15" s="172"/>
      <c r="G15" s="173"/>
      <c r="H15" s="2188"/>
      <c r="I15" s="2188"/>
      <c r="J15" s="2188"/>
      <c r="K15" s="177">
        <f>SUMIF('数据-汇总表'!C$19:C$33,'数据-取费表'!A15,'数据-汇总表'!E$19:E$33)</f>
        <v>730.47</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0.95</v>
      </c>
      <c r="H16" s="201">
        <f>ROUND(SUMPRODUCT(H6:H13,K6:K13)/SUMPRODUCT((H6:H13&gt;0)*(K6:K13)),3)</f>
        <v>4.4999999999999998E-2</v>
      </c>
      <c r="I16" s="202"/>
      <c r="J16" s="202"/>
      <c r="K16" s="203">
        <f>SUM(K6:K15)</f>
        <v>276122.93</v>
      </c>
      <c r="L16" s="204">
        <f>ROUND(M16*10000/SUM(K6:K14),0)</f>
        <v>2787</v>
      </c>
      <c r="M16" s="204">
        <f>SUM(M6:M14)</f>
        <v>76751</v>
      </c>
      <c r="N16" s="205">
        <f>ROUND(SUMPRODUCT(M6:M14,N6:N14)/M16,3)</f>
        <v>0</v>
      </c>
      <c r="O16" s="204">
        <f>SUM(O6:O14)</f>
        <v>0</v>
      </c>
      <c r="P16" s="204">
        <f>SUM(P6:P14)</f>
        <v>76751</v>
      </c>
      <c r="Q16" s="206">
        <f>ROUND(SUMPRODUCT(Q6:Q13,K6:K13)/SUMPRODUCT((Q6:Q13&gt;0)*(K6:K13)),2)</f>
        <v>0.12</v>
      </c>
      <c r="R16" s="2189">
        <f>SUM(R6:R13)</f>
        <v>75029.52</v>
      </c>
      <c r="S16" s="207">
        <f>SUM(S6:S13)</f>
        <v>220.07999999999998</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0.90100000000000002</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f>Q16/B20</f>
        <v>4.8000000000000001E-2</v>
      </c>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2989</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2.5</v>
      </c>
      <c r="C20" s="3103" t="s">
        <v>2322</v>
      </c>
      <c r="D20" s="3092"/>
      <c r="E20" s="3091"/>
      <c r="F20" s="3091"/>
      <c r="G20" s="3091"/>
      <c r="H20" s="3091"/>
      <c r="I20" s="3091"/>
      <c r="J20" s="3091"/>
      <c r="K20" s="3090"/>
      <c r="L20" s="3090"/>
      <c r="M20" s="3088"/>
      <c r="N20" s="3088"/>
      <c r="O20" s="3088"/>
      <c r="P20" s="3088"/>
      <c r="Q20" s="3088"/>
      <c r="R20" s="3088"/>
      <c r="S20" s="3088"/>
      <c r="T20" s="3088">
        <f>'数据-基础表'!M13</f>
        <v>550.51</v>
      </c>
      <c r="U20" s="3088">
        <v>-1</v>
      </c>
      <c r="V20" s="3088">
        <f>W20*V21</f>
        <v>12500</v>
      </c>
      <c r="W20" s="3088">
        <v>0.5</v>
      </c>
      <c r="X20" s="3088">
        <f>X21*W20</f>
        <v>2.5</v>
      </c>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f>ROUND('数据-基础表'!K13/3,2)</f>
        <v>4308.33</v>
      </c>
      <c r="U21" s="3088">
        <v>1</v>
      </c>
      <c r="V21" s="3088">
        <v>25000</v>
      </c>
      <c r="W21" s="3088">
        <v>1</v>
      </c>
      <c r="X21" s="3088">
        <v>5</v>
      </c>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2.5</v>
      </c>
      <c r="C22" s="3091"/>
      <c r="D22" s="3092"/>
      <c r="E22" s="3091"/>
      <c r="F22" s="3091"/>
      <c r="G22" s="3091"/>
      <c r="H22" s="3091"/>
      <c r="I22" s="3091"/>
      <c r="J22" s="3091"/>
      <c r="K22" s="3090"/>
      <c r="L22" s="3090"/>
      <c r="M22" s="3088"/>
      <c r="N22" s="3088"/>
      <c r="O22" s="3088"/>
      <c r="P22" s="3088"/>
      <c r="Q22" s="3088"/>
      <c r="R22" s="3088"/>
      <c r="S22" s="3088"/>
      <c r="T22" s="3088">
        <f>T21</f>
        <v>4308.33</v>
      </c>
      <c r="U22" s="3088">
        <v>2</v>
      </c>
      <c r="V22" s="3088">
        <f>V21*W22</f>
        <v>17500</v>
      </c>
      <c r="W22" s="3088">
        <v>0.7</v>
      </c>
      <c r="X22" s="3088">
        <f>X21*W22</f>
        <v>3.5</v>
      </c>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f>T21</f>
        <v>4308.33</v>
      </c>
      <c r="U23" s="3088">
        <v>3</v>
      </c>
      <c r="V23" s="3088">
        <f>V21*W23</f>
        <v>15000</v>
      </c>
      <c r="W23" s="3088">
        <v>0.6</v>
      </c>
      <c r="X23" s="3088">
        <f>X21*W23</f>
        <v>3</v>
      </c>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f>(T20*V20+T21*V21+T22*V22+T23*V23)/K7</f>
        <v>18894.329631056087</v>
      </c>
      <c r="W25" s="3088"/>
      <c r="X25" s="3088">
        <f>ROUND((T20*X20+T21*X21+T22*X22+T23*X23)/K7,2)</f>
        <v>3.78</v>
      </c>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50</v>
      </c>
      <c r="C27" s="3104" t="s">
        <v>2990</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90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150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150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0.03</v>
      </c>
      <c r="C33" s="3106" t="s">
        <v>2977</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3648">
        <v>0.05</v>
      </c>
      <c r="C34" s="3106" t="s">
        <v>2978</v>
      </c>
      <c r="D34" s="3107" t="s">
        <v>2986</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150</v>
      </c>
      <c r="C35" s="3106" t="s">
        <v>2979</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2980</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2981</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2981</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2438</v>
      </c>
      <c r="B40" s="2332">
        <f ca="1">存贷款利率!E2</f>
        <v>4.7500000000000001E-2</v>
      </c>
      <c r="C40" s="3106" t="s">
        <v>2982</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2987</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2983</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2984</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2991</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2983</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2985</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1317</v>
      </c>
      <c r="C53" s="3099" t="s">
        <v>2872</v>
      </c>
      <c r="D53" s="3110" t="s">
        <v>2988</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v>15</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5" priority="12" stopIfTrue="1" operator="containsText" text="自行计算">
      <formula>NOT(ISERROR(SEARCH("自行计算",T6)))</formula>
    </cfRule>
    <cfRule type="containsText" dxfId="184" priority="13" stopIfTrue="1" operator="containsText" text="自行计算">
      <formula>NOT(ISERROR(SEARCH("自行计算",T6)))</formula>
    </cfRule>
  </conditionalFormatting>
  <conditionalFormatting sqref="T6:T13">
    <cfRule type="containsText" dxfId="183" priority="10" stopIfTrue="1" operator="containsText" text="自行计算">
      <formula>NOT(ISERROR(SEARCH("自行计算",T6)))</formula>
    </cfRule>
    <cfRule type="containsText" dxfId="182" priority="11" stopIfTrue="1" operator="containsText" text="自行计算">
      <formula>NOT(ISERROR(SEARCH("自行计算",T6)))</formula>
    </cfRule>
  </conditionalFormatting>
  <conditionalFormatting sqref="T12:T13">
    <cfRule type="containsText" dxfId="181" priority="4" stopIfTrue="1" operator="containsText" text="自行计算">
      <formula>NOT(ISERROR(SEARCH("自行计算",T12)))</formula>
    </cfRule>
    <cfRule type="containsText" dxfId="180" priority="5" stopIfTrue="1" operator="containsText" text="自行计算">
      <formula>NOT(ISERROR(SEARCH("自行计算",T12)))</formula>
    </cfRule>
  </conditionalFormatting>
  <conditionalFormatting sqref="T12:T13">
    <cfRule type="containsText" dxfId="179" priority="2" stopIfTrue="1" operator="containsText" text="自行计算">
      <formula>NOT(ISERROR(SEARCH("自行计算",T12)))</formula>
    </cfRule>
    <cfRule type="containsText" dxfId="178" priority="3" stopIfTrue="1" operator="containsText" text="自行计算">
      <formula>NOT(ISERROR(SEARCH("自行计算",T12)))</formula>
    </cfRule>
  </conditionalFormatting>
  <conditionalFormatting sqref="T6:T15">
    <cfRule type="expression" dxfId="17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28" t="s">
        <v>1654</v>
      </c>
      <c r="B1" s="3429"/>
      <c r="C1" s="3429"/>
      <c r="D1" s="3429"/>
      <c r="E1" s="3429"/>
      <c r="F1" s="3429"/>
      <c r="G1" s="3429"/>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2889</v>
      </c>
      <c r="D3" s="3126"/>
      <c r="E3" s="3127" t="s">
        <v>1657</v>
      </c>
      <c r="F3" s="3128" t="s">
        <v>1645</v>
      </c>
      <c r="G3" s="3129" t="s">
        <v>2888</v>
      </c>
      <c r="H3" s="3122"/>
      <c r="I3" s="3122"/>
      <c r="J3" s="3122"/>
      <c r="K3" s="3122"/>
      <c r="L3" s="3122"/>
      <c r="M3" s="3122"/>
      <c r="N3" s="3122"/>
      <c r="O3" s="3122"/>
      <c r="P3" s="3122"/>
      <c r="Q3" s="3122"/>
      <c r="R3" s="3122"/>
    </row>
    <row r="4" spans="1:18" ht="40.5">
      <c r="A4" s="3127"/>
      <c r="B4" s="3130" t="s">
        <v>1658</v>
      </c>
      <c r="C4" s="3131" t="s">
        <v>2890</v>
      </c>
      <c r="D4" s="3126"/>
      <c r="E4" s="3132"/>
      <c r="F4" s="3133" t="s">
        <v>1659</v>
      </c>
      <c r="G4" s="3134" t="s">
        <v>2885</v>
      </c>
      <c r="H4" s="3122"/>
      <c r="I4" s="3122"/>
      <c r="J4" s="3122"/>
      <c r="K4" s="3122"/>
      <c r="L4" s="3122"/>
      <c r="M4" s="3122"/>
      <c r="N4" s="3122"/>
      <c r="O4" s="3122"/>
      <c r="P4" s="3122"/>
      <c r="Q4" s="3122"/>
      <c r="R4" s="3122"/>
    </row>
    <row r="5" spans="1:18" ht="41.25">
      <c r="A5" s="3127"/>
      <c r="B5" s="3130" t="s">
        <v>1660</v>
      </c>
      <c r="C5" s="3131" t="s">
        <v>2891</v>
      </c>
      <c r="D5" s="3126"/>
      <c r="E5" s="3132"/>
      <c r="F5" s="3130" t="s">
        <v>2527</v>
      </c>
      <c r="G5" s="3134" t="s">
        <v>2886</v>
      </c>
      <c r="H5" s="3122"/>
      <c r="I5" s="3122"/>
      <c r="J5" s="3122"/>
      <c r="K5" s="3122"/>
      <c r="L5" s="3122"/>
      <c r="M5" s="3122"/>
      <c r="N5" s="3122"/>
      <c r="O5" s="3122"/>
      <c r="P5" s="3122"/>
      <c r="Q5" s="3122"/>
      <c r="R5" s="3122"/>
    </row>
    <row r="6" spans="1:18" ht="40.5">
      <c r="A6" s="3127"/>
      <c r="B6" s="3130" t="s">
        <v>1646</v>
      </c>
      <c r="C6" s="3134" t="s">
        <v>2885</v>
      </c>
      <c r="D6" s="3126"/>
      <c r="E6" s="3132"/>
      <c r="F6" s="3130" t="s">
        <v>2528</v>
      </c>
      <c r="G6" s="3134" t="s">
        <v>2883</v>
      </c>
      <c r="H6" s="3122"/>
      <c r="I6" s="3122"/>
      <c r="J6" s="3122"/>
      <c r="K6" s="3122"/>
      <c r="L6" s="3122"/>
      <c r="M6" s="3122"/>
      <c r="N6" s="3122"/>
      <c r="O6" s="3122"/>
      <c r="P6" s="3122"/>
      <c r="Q6" s="3122"/>
      <c r="R6" s="3122"/>
    </row>
    <row r="7" spans="1:18" ht="27.75" thickBot="1">
      <c r="A7" s="3127"/>
      <c r="B7" s="3130" t="s">
        <v>2527</v>
      </c>
      <c r="C7" s="3134" t="s">
        <v>2886</v>
      </c>
      <c r="D7" s="3135"/>
      <c r="E7" s="3136"/>
      <c r="F7" s="3137" t="s">
        <v>1661</v>
      </c>
      <c r="G7" s="3138" t="s">
        <v>2887</v>
      </c>
      <c r="H7" s="3122"/>
      <c r="I7" s="3122"/>
      <c r="J7" s="3122"/>
      <c r="K7" s="3122"/>
      <c r="L7" s="3122"/>
      <c r="M7" s="3122"/>
      <c r="N7" s="3122"/>
      <c r="O7" s="3122"/>
      <c r="P7" s="3122"/>
      <c r="Q7" s="3122"/>
      <c r="R7" s="3122"/>
    </row>
    <row r="8" spans="1:18">
      <c r="A8" s="3127"/>
      <c r="B8" s="3130" t="s">
        <v>2528</v>
      </c>
      <c r="C8" s="3134" t="s">
        <v>2883</v>
      </c>
      <c r="D8" s="3135"/>
      <c r="E8" s="3135"/>
      <c r="F8" s="3139"/>
      <c r="G8" s="3139"/>
      <c r="H8" s="3122"/>
      <c r="I8" s="3122"/>
      <c r="J8" s="3122"/>
      <c r="K8" s="3122"/>
      <c r="L8" s="3122"/>
      <c r="M8" s="3122"/>
      <c r="N8" s="3122"/>
      <c r="O8" s="3122"/>
      <c r="P8" s="3122"/>
      <c r="Q8" s="3122"/>
      <c r="R8" s="3122"/>
    </row>
    <row r="9" spans="1:18" ht="27">
      <c r="A9" s="3127"/>
      <c r="B9" s="3130" t="s">
        <v>1647</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2527</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2528</v>
      </c>
      <c r="G20" s="3174" t="str">
        <f>G6</f>
        <v>估价对象所在区域基础设施水平</v>
      </c>
    </row>
    <row r="21" spans="1:7" ht="27">
      <c r="A21" s="3169"/>
      <c r="B21" s="3130" t="s">
        <v>2527</v>
      </c>
      <c r="C21" s="3174" t="str">
        <f>C7</f>
        <v>估价对象所在区域公共配套设施齐备情况</v>
      </c>
      <c r="D21" s="3126"/>
      <c r="E21" s="3172"/>
      <c r="F21" s="3173" t="s">
        <v>1652</v>
      </c>
      <c r="G21" s="3176"/>
    </row>
    <row r="22" spans="1:7" ht="14.25">
      <c r="A22" s="3169"/>
      <c r="B22" s="3130" t="s">
        <v>2528</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A27" sqref="A27"/>
    </sheetView>
  </sheetViews>
  <sheetFormatPr defaultColWidth="14.625" defaultRowHeight="13.5"/>
  <cols>
    <col min="1" max="1" width="24.375" style="3185" customWidth="1"/>
    <col min="2" max="16384" width="14.625" style="3185"/>
  </cols>
  <sheetData>
    <row r="1" spans="1:10" ht="16.5">
      <c r="A1" s="3184" t="s">
        <v>2823</v>
      </c>
      <c r="B1" s="3184">
        <f>SUM(B14:B23)</f>
        <v>276122.93</v>
      </c>
      <c r="C1" s="3193"/>
      <c r="D1" s="3193"/>
      <c r="E1" s="3193"/>
      <c r="F1" s="3193"/>
      <c r="G1" s="3194"/>
      <c r="H1" s="3194"/>
      <c r="I1" s="3194"/>
      <c r="J1" s="3194"/>
    </row>
    <row r="2" spans="1:10" ht="16.5">
      <c r="A2" s="3184" t="s">
        <v>2824</v>
      </c>
      <c r="B2" s="3184">
        <f>SUM(C14:C23)</f>
        <v>75029.52</v>
      </c>
      <c r="C2" s="3193"/>
      <c r="D2" s="3193"/>
      <c r="E2" s="3193"/>
      <c r="F2" s="3193"/>
      <c r="G2" s="3194"/>
      <c r="H2" s="3194"/>
      <c r="I2" s="3194"/>
      <c r="J2" s="3194"/>
    </row>
    <row r="3" spans="1:10" ht="16.5">
      <c r="A3" s="3184" t="s">
        <v>2825</v>
      </c>
      <c r="B3" s="3186">
        <f>项目基本情况!D3</f>
        <v>44077</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124151</v>
      </c>
      <c r="C5" s="3184">
        <f ca="1">ROUND(B5*10000/$B$1,0)</f>
        <v>4496</v>
      </c>
      <c r="D5" s="3184">
        <f ca="1">ROUND(B5*10000/$B$2,0)</f>
        <v>16547</v>
      </c>
      <c r="E5" s="3193"/>
      <c r="F5" s="3193"/>
      <c r="G5" s="3194"/>
      <c r="H5" s="3194"/>
      <c r="I5" s="3194"/>
      <c r="J5" s="3194"/>
    </row>
    <row r="6" spans="1:10" ht="16.5">
      <c r="A6" s="3184" t="s">
        <v>2831</v>
      </c>
      <c r="B6" s="3184">
        <f ca="1">SUM(G14:G23)</f>
        <v>124151</v>
      </c>
      <c r="C6" s="3184">
        <f t="shared" ref="C6:C8" ca="1" si="0">ROUND(B6*10000/$B$1,0)</f>
        <v>4496</v>
      </c>
      <c r="D6" s="3184">
        <f t="shared" ref="D6:D8" ca="1" si="1">ROUND(B6*10000/$B$2,0)</f>
        <v>16547</v>
      </c>
      <c r="E6" s="3193"/>
      <c r="F6" s="3193"/>
      <c r="G6" s="3194"/>
      <c r="H6" s="3194"/>
      <c r="I6" s="3194"/>
      <c r="J6" s="3194"/>
    </row>
    <row r="7" spans="1:10" ht="16.5">
      <c r="A7" s="3184" t="s">
        <v>2832</v>
      </c>
      <c r="B7" s="3184">
        <f>SUM(H14:H23)</f>
        <v>0</v>
      </c>
      <c r="C7" s="3184">
        <f t="shared" si="0"/>
        <v>0</v>
      </c>
      <c r="D7" s="3184">
        <f t="shared" si="1"/>
        <v>0</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276122.93</v>
      </c>
      <c r="C14" s="3190">
        <f>结果表!K38</f>
        <v>75029.52</v>
      </c>
      <c r="D14" s="3190">
        <f ca="1">结果表!C42</f>
        <v>124151</v>
      </c>
      <c r="E14" s="3190">
        <f ca="1">ROUND(D14*10000/B14,0)</f>
        <v>4496</v>
      </c>
      <c r="F14" s="3190">
        <f ca="1">ROUND(D14*10000/C14,0)</f>
        <v>16547</v>
      </c>
      <c r="G14" s="3190">
        <f ca="1">结果表!C44</f>
        <v>124151</v>
      </c>
      <c r="H14" s="3190" t="str">
        <f>结果表!C45</f>
        <v>——</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6"/>
      <c r="H15" s="2756"/>
      <c r="I15" s="3191"/>
      <c r="J15" s="3194"/>
    </row>
    <row r="16" spans="1:10" ht="16.5">
      <c r="A16" s="3189" t="s">
        <v>2841</v>
      </c>
      <c r="B16" s="3191"/>
      <c r="C16" s="3191"/>
      <c r="D16" s="3191"/>
      <c r="E16" s="3190" t="e">
        <f t="shared" si="2"/>
        <v>#DIV/0!</v>
      </c>
      <c r="F16" s="3190" t="e">
        <f t="shared" si="3"/>
        <v>#DIV/0!</v>
      </c>
      <c r="G16" s="2756"/>
      <c r="H16" s="2756"/>
      <c r="I16" s="3191"/>
      <c r="J16" s="3194"/>
    </row>
    <row r="17" spans="1:10" ht="16.5">
      <c r="A17" s="3189" t="s">
        <v>2842</v>
      </c>
      <c r="B17" s="3191"/>
      <c r="C17" s="3191"/>
      <c r="D17" s="3191"/>
      <c r="E17" s="3190" t="e">
        <f t="shared" si="2"/>
        <v>#DIV/0!</v>
      </c>
      <c r="F17" s="3190" t="e">
        <f t="shared" si="3"/>
        <v>#DIV/0!</v>
      </c>
      <c r="G17" s="2756"/>
      <c r="H17" s="2756"/>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F27" sqref="F2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2043</v>
      </c>
      <c r="B1" s="1690"/>
      <c r="C1" s="1718" t="s">
        <v>2044</v>
      </c>
      <c r="D1" s="1719"/>
      <c r="E1" s="1718" t="s">
        <v>2045</v>
      </c>
      <c r="F1" s="1720" t="s">
        <v>3136</v>
      </c>
      <c r="G1" s="309"/>
      <c r="H1" s="309"/>
      <c r="I1" s="309"/>
      <c r="J1" s="1910"/>
      <c r="K1" s="1910"/>
      <c r="L1" s="1910"/>
      <c r="M1" s="1910"/>
      <c r="N1" s="1910"/>
      <c r="O1" s="1910"/>
      <c r="P1" s="1910"/>
      <c r="Q1" s="1910"/>
      <c r="R1" s="1910"/>
      <c r="S1" s="1910"/>
      <c r="T1" s="1910"/>
      <c r="U1" s="1910"/>
      <c r="V1" s="1910"/>
    </row>
    <row r="2" spans="1:22" ht="21.75" customHeight="1" thickBot="1">
      <c r="A2" s="3474" t="str">
        <f>项目基本情况!K2</f>
        <v>出让国有建设用地使用权</v>
      </c>
      <c r="B2" s="3475"/>
      <c r="C2" s="3476"/>
      <c r="D2" s="3476"/>
      <c r="E2" s="3476"/>
      <c r="F2" s="3476"/>
      <c r="G2" s="3475"/>
      <c r="H2" s="3475"/>
      <c r="I2" s="3477"/>
      <c r="J2" s="1911"/>
      <c r="K2" s="1910"/>
      <c r="L2" s="1910"/>
      <c r="M2" s="1910"/>
      <c r="N2" s="1910"/>
      <c r="O2" s="1910"/>
      <c r="P2" s="1910"/>
      <c r="Q2" s="1910"/>
      <c r="R2" s="1910"/>
      <c r="S2" s="1910"/>
      <c r="T2" s="1910"/>
      <c r="U2" s="1910"/>
      <c r="V2" s="1910"/>
    </row>
    <row r="3" spans="1:22" ht="14.25">
      <c r="A3" s="3485" t="s">
        <v>298</v>
      </c>
      <c r="B3" s="3486"/>
      <c r="C3" s="3486"/>
      <c r="D3" s="3486"/>
      <c r="E3" s="3486"/>
      <c r="F3" s="3486"/>
      <c r="G3" s="3486"/>
      <c r="H3" s="3486"/>
      <c r="I3" s="3486"/>
      <c r="J3" s="1911"/>
      <c r="K3" s="1910"/>
      <c r="L3" s="1910"/>
      <c r="M3" s="1910"/>
      <c r="N3" s="1910"/>
      <c r="O3" s="1910"/>
      <c r="P3" s="1910"/>
      <c r="Q3" s="1910"/>
      <c r="R3" s="1910"/>
      <c r="S3" s="1910"/>
      <c r="T3" s="1910"/>
      <c r="U3" s="1910"/>
      <c r="V3" s="1910"/>
    </row>
    <row r="4" spans="1:22" ht="14.25">
      <c r="A4" s="256" t="s">
        <v>299</v>
      </c>
      <c r="B4" s="257" t="s">
        <v>300</v>
      </c>
      <c r="C4" s="258" t="s">
        <v>3146</v>
      </c>
      <c r="D4" s="258" t="s">
        <v>3147</v>
      </c>
      <c r="E4" s="3449" t="s">
        <v>301</v>
      </c>
      <c r="F4" s="3491"/>
      <c r="G4" s="3491"/>
      <c r="H4" s="3491"/>
      <c r="I4" s="3450"/>
      <c r="J4" s="1911"/>
      <c r="K4" s="1910"/>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78" t="s">
        <v>302</v>
      </c>
      <c r="B5" s="3479">
        <v>25</v>
      </c>
      <c r="C5" s="3487"/>
      <c r="D5" s="3490"/>
      <c r="E5" s="259" t="s">
        <v>303</v>
      </c>
      <c r="F5" s="260"/>
      <c r="G5" s="260"/>
      <c r="H5" s="260"/>
      <c r="I5" s="261"/>
      <c r="J5" s="1911"/>
      <c r="K5" s="1910"/>
      <c r="L5" s="1910"/>
      <c r="M5" s="1910"/>
      <c r="N5" s="1910"/>
      <c r="O5" s="1910"/>
      <c r="P5" s="1910"/>
      <c r="Q5" s="1910"/>
      <c r="R5" s="1910"/>
      <c r="S5" s="1910"/>
      <c r="T5" s="1910"/>
      <c r="U5" s="1910"/>
      <c r="V5" s="1910"/>
    </row>
    <row r="6" spans="1:22" ht="14.25">
      <c r="A6" s="3478"/>
      <c r="B6" s="3479"/>
      <c r="C6" s="3488"/>
      <c r="D6" s="3490"/>
      <c r="E6" s="259" t="s">
        <v>304</v>
      </c>
      <c r="F6" s="260"/>
      <c r="G6" s="260"/>
      <c r="H6" s="260"/>
      <c r="I6" s="261"/>
      <c r="J6" s="1911"/>
      <c r="K6" s="1910"/>
      <c r="L6" s="1910"/>
      <c r="M6" s="1910"/>
      <c r="N6" s="1910"/>
      <c r="O6" s="1910"/>
      <c r="P6" s="1910"/>
      <c r="Q6" s="1910"/>
      <c r="R6" s="1910"/>
      <c r="S6" s="1910"/>
      <c r="T6" s="1910"/>
      <c r="U6" s="1910"/>
      <c r="V6" s="1910"/>
    </row>
    <row r="7" spans="1:22" ht="14.25">
      <c r="A7" s="3478"/>
      <c r="B7" s="3479"/>
      <c r="C7" s="3489"/>
      <c r="D7" s="3490"/>
      <c r="E7" s="259" t="s">
        <v>305</v>
      </c>
      <c r="F7" s="260"/>
      <c r="G7" s="260"/>
      <c r="H7" s="260"/>
      <c r="I7" s="261"/>
      <c r="J7" s="1911"/>
      <c r="K7" s="1910"/>
      <c r="L7" s="1910"/>
      <c r="M7" s="1910"/>
      <c r="N7" s="1910"/>
      <c r="O7" s="1910"/>
      <c r="P7" s="1910"/>
      <c r="Q7" s="1910"/>
      <c r="R7" s="1910"/>
      <c r="S7" s="1910"/>
      <c r="T7" s="1910"/>
      <c r="U7" s="1910"/>
      <c r="V7" s="1910"/>
    </row>
    <row r="8" spans="1:22" ht="14.25">
      <c r="A8" s="3478" t="s">
        <v>306</v>
      </c>
      <c r="B8" s="3479">
        <v>15</v>
      </c>
      <c r="C8" s="3487"/>
      <c r="D8" s="3490"/>
      <c r="E8" s="259" t="s">
        <v>307</v>
      </c>
      <c r="F8" s="260"/>
      <c r="G8" s="260"/>
      <c r="H8" s="260"/>
      <c r="I8" s="261"/>
      <c r="J8" s="1911"/>
      <c r="K8" s="1910"/>
      <c r="L8" s="1910"/>
      <c r="M8" s="1910"/>
      <c r="N8" s="1910"/>
      <c r="O8" s="1910"/>
      <c r="P8" s="1910"/>
      <c r="Q8" s="1910"/>
      <c r="R8" s="1910"/>
      <c r="S8" s="1910"/>
      <c r="T8" s="1910"/>
      <c r="U8" s="1910"/>
      <c r="V8" s="1910"/>
    </row>
    <row r="9" spans="1:22" ht="14.25">
      <c r="A9" s="3478"/>
      <c r="B9" s="3479"/>
      <c r="C9" s="3489"/>
      <c r="D9" s="3490"/>
      <c r="E9" s="259" t="s">
        <v>308</v>
      </c>
      <c r="F9" s="260"/>
      <c r="G9" s="260"/>
      <c r="H9" s="260"/>
      <c r="I9" s="261"/>
      <c r="J9" s="1911"/>
      <c r="K9" s="1910"/>
      <c r="L9" s="1910"/>
      <c r="M9" s="1910"/>
      <c r="N9" s="1910"/>
      <c r="O9" s="1910"/>
      <c r="P9" s="1910"/>
      <c r="Q9" s="1910"/>
      <c r="R9" s="1910"/>
      <c r="S9" s="1910"/>
      <c r="T9" s="1910"/>
      <c r="U9" s="1910"/>
      <c r="V9" s="1910"/>
    </row>
    <row r="10" spans="1:22" ht="14.25">
      <c r="A10" s="3478" t="s">
        <v>309</v>
      </c>
      <c r="B10" s="3479">
        <v>15</v>
      </c>
      <c r="C10" s="3487"/>
      <c r="D10" s="3490"/>
      <c r="E10" s="259" t="s">
        <v>310</v>
      </c>
      <c r="F10" s="260"/>
      <c r="G10" s="260"/>
      <c r="H10" s="260"/>
      <c r="I10" s="261"/>
      <c r="J10" s="1911"/>
      <c r="K10" s="1910"/>
      <c r="L10" s="1910"/>
      <c r="M10" s="1910"/>
      <c r="N10" s="1910"/>
      <c r="O10" s="1910"/>
      <c r="P10" s="1910"/>
      <c r="Q10" s="1910"/>
      <c r="R10" s="1910"/>
      <c r="S10" s="1910"/>
      <c r="T10" s="1910"/>
      <c r="U10" s="1910"/>
      <c r="V10" s="1910"/>
    </row>
    <row r="11" spans="1:22" ht="14.25">
      <c r="A11" s="3478"/>
      <c r="B11" s="3479"/>
      <c r="C11" s="3489"/>
      <c r="D11" s="3490"/>
      <c r="E11" s="259" t="s">
        <v>311</v>
      </c>
      <c r="F11" s="260"/>
      <c r="G11" s="260"/>
      <c r="H11" s="260"/>
      <c r="I11" s="261"/>
      <c r="J11" s="1911"/>
      <c r="K11" s="1910"/>
      <c r="L11" s="1910"/>
      <c r="M11" s="1910"/>
      <c r="N11" s="1910"/>
      <c r="O11" s="1910"/>
      <c r="P11" s="1910"/>
      <c r="Q11" s="1910"/>
      <c r="R11" s="1910"/>
      <c r="S11" s="1910"/>
      <c r="T11" s="1910"/>
      <c r="U11" s="1910"/>
      <c r="V11" s="1910"/>
    </row>
    <row r="12" spans="1:22" ht="14.25">
      <c r="A12" s="3478" t="s">
        <v>312</v>
      </c>
      <c r="B12" s="3479">
        <v>15</v>
      </c>
      <c r="C12" s="3487"/>
      <c r="D12" s="3490"/>
      <c r="E12" s="259" t="s">
        <v>313</v>
      </c>
      <c r="F12" s="260"/>
      <c r="G12" s="260"/>
      <c r="H12" s="260"/>
      <c r="I12" s="261"/>
      <c r="J12" s="1911"/>
      <c r="K12" s="1910"/>
      <c r="L12" s="1910"/>
      <c r="M12" s="1910"/>
      <c r="N12" s="1910"/>
      <c r="O12" s="1910"/>
      <c r="P12" s="1910"/>
      <c r="Q12" s="1910"/>
      <c r="R12" s="1910"/>
      <c r="S12" s="1910"/>
      <c r="T12" s="1910"/>
      <c r="U12" s="1910"/>
      <c r="V12" s="1910"/>
    </row>
    <row r="13" spans="1:22" ht="14.25">
      <c r="A13" s="3478"/>
      <c r="B13" s="3479"/>
      <c r="C13" s="3489"/>
      <c r="D13" s="3490"/>
      <c r="E13" s="259" t="s">
        <v>314</v>
      </c>
      <c r="F13" s="260"/>
      <c r="G13" s="260"/>
      <c r="H13" s="260"/>
      <c r="I13" s="261"/>
      <c r="J13" s="1911"/>
      <c r="K13" s="1910"/>
      <c r="L13" s="1910"/>
      <c r="M13" s="1910"/>
      <c r="N13" s="1910"/>
      <c r="O13" s="1910"/>
      <c r="P13" s="1910"/>
      <c r="Q13" s="1910"/>
      <c r="R13" s="1910"/>
      <c r="S13" s="1910"/>
      <c r="T13" s="1910"/>
      <c r="U13" s="1910"/>
      <c r="V13" s="1910"/>
    </row>
    <row r="14" spans="1:22" ht="14.25">
      <c r="A14" s="3478" t="s">
        <v>315</v>
      </c>
      <c r="B14" s="3479">
        <v>30</v>
      </c>
      <c r="C14" s="3487">
        <v>5</v>
      </c>
      <c r="D14" s="3490">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78"/>
      <c r="B15" s="3479"/>
      <c r="C15" s="3488"/>
      <c r="D15" s="3490"/>
      <c r="E15" s="259" t="s">
        <v>317</v>
      </c>
      <c r="F15" s="260"/>
      <c r="G15" s="260"/>
      <c r="H15" s="260"/>
      <c r="I15" s="261"/>
      <c r="J15" s="1911"/>
      <c r="K15" s="1910"/>
      <c r="L15" s="1910"/>
      <c r="M15" s="1910"/>
      <c r="N15" s="1910"/>
      <c r="O15" s="1910"/>
      <c r="P15" s="1910"/>
      <c r="Q15" s="1910"/>
      <c r="R15" s="1910"/>
      <c r="S15" s="1910"/>
      <c r="T15" s="1910"/>
      <c r="U15" s="1910"/>
      <c r="V15" s="1910"/>
    </row>
    <row r="16" spans="1:22" ht="14.25">
      <c r="A16" s="3478"/>
      <c r="B16" s="3479"/>
      <c r="C16" s="3489"/>
      <c r="D16" s="3490"/>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92" t="s">
        <v>2965</v>
      </c>
      <c r="F18" s="3493"/>
      <c r="G18" s="3493"/>
      <c r="H18" s="3493"/>
      <c r="I18" s="3493"/>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125021</v>
      </c>
      <c r="D19" s="269">
        <f ca="1">SUMIF(INDIRECT("'"&amp;D4&amp;"'"&amp;"!A:A"),结果表!B19,INDIRECT("'"&amp;D4&amp;"'"&amp;"!B:B"))</f>
        <v>123281</v>
      </c>
      <c r="E19" s="266" t="s">
        <v>323</v>
      </c>
      <c r="F19" s="267" t="s">
        <v>322</v>
      </c>
      <c r="G19" s="270">
        <f ca="1">ROUND(C19*$C$18+D19*$D$18,0)</f>
        <v>124151</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4528</v>
      </c>
      <c r="D20" s="275">
        <f ca="1">SUMIF(INDIRECT("'"&amp;D4&amp;"'"&amp;"!A:A"),结果表!B20,INDIRECT("'"&amp;D4&amp;"'"&amp;"!B:B"))</f>
        <v>4465</v>
      </c>
      <c r="E20" s="272"/>
      <c r="F20" s="273" t="s">
        <v>325</v>
      </c>
      <c r="G20" s="276">
        <f ca="1">ROUND(C20*$C$18+D20*$D$18,0)</f>
        <v>4497</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16663</v>
      </c>
      <c r="D21" s="149">
        <f ca="1">SUMIF(INDIRECT("'"&amp;D4&amp;"'"&amp;"!A:A"),结果表!B21,INDIRECT("'"&amp;D4&amp;"'"&amp;"!B:B"))</f>
        <v>16431</v>
      </c>
      <c r="E21" s="272"/>
      <c r="F21" s="278" t="s">
        <v>327</v>
      </c>
      <c r="G21" s="280">
        <f ca="1">ROUND(C21*$C$18+D21*$D$18,0)</f>
        <v>16547</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1.4114097062807751E-2</v>
      </c>
      <c r="E22" s="282"/>
      <c r="F22" s="283"/>
      <c r="G22" s="284">
        <f ca="1">ROUND(G19/('数据-汇总表'!D3/666.67),0)</f>
        <v>1103</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51"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98"/>
      <c r="B25" s="1274" t="s">
        <v>331</v>
      </c>
      <c r="C25" s="288">
        <f>IF(B30=0,0,C30)</f>
        <v>0</v>
      </c>
      <c r="D25" s="289"/>
      <c r="E25" s="309"/>
      <c r="F25" s="309"/>
      <c r="G25" s="309"/>
      <c r="H25" s="309"/>
      <c r="I25" s="309"/>
      <c r="J25" s="1910"/>
      <c r="K25" s="1208" t="str">
        <f ca="1">项目基本情况!B16&amp;"国有建设用地使用权价格："&amp;O38&amp;"万元"</f>
        <v>出让国有建设用地使用权价格：124151万元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大写金额：人民币壹拾贰亿肆仟壹佰伍拾壹万元整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单位面积地价：16547元/平方米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楼面地价：4496元/平方米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抵押价格：124151万元</v>
      </c>
      <c r="L29" s="1205"/>
      <c r="M29" s="1205"/>
      <c r="N29" s="1205"/>
      <c r="O29" s="1204"/>
      <c r="P29" s="1910"/>
      <c r="V29" s="1910"/>
    </row>
    <row r="30" spans="1:26" ht="18.75" thickBot="1">
      <c r="A30" s="2799" t="s">
        <v>336</v>
      </c>
      <c r="B30" s="307"/>
      <c r="C30" s="307"/>
      <c r="D30" s="308"/>
      <c r="E30" s="3002" t="s">
        <v>2966</v>
      </c>
      <c r="F30" s="309"/>
      <c r="G30" s="309"/>
      <c r="H30" s="309"/>
      <c r="I30" s="309"/>
      <c r="J30" s="1910"/>
      <c r="K30" s="1211" t="str">
        <f ca="1">IF(K29="——","——","大写金额：人民币"&amp;NUMBERSTRING(INT(O39*10000),2)&amp;"元整")</f>
        <v>大写金额：人民币壹拾贰亿肆仟壹佰伍拾壹万元整</v>
      </c>
      <c r="L30" s="1205"/>
      <c r="M30" s="1205"/>
      <c r="N30" s="1205"/>
      <c r="O30" s="1204"/>
      <c r="P30" s="1910"/>
      <c r="V30" s="1910"/>
    </row>
    <row r="31" spans="1:26" ht="24" customHeight="1" thickBot="1">
      <c r="A31" s="3494" t="s">
        <v>2967</v>
      </c>
      <c r="B31" s="3494"/>
      <c r="C31" s="3494"/>
      <c r="D31" s="3494"/>
      <c r="E31" s="3494"/>
      <c r="F31" s="3494"/>
      <c r="G31" s="3494"/>
      <c r="H31" s="3494"/>
      <c r="I31" s="3494"/>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3" t="s">
        <v>1678</v>
      </c>
      <c r="C32" s="264">
        <f ca="1">G19-C24</f>
        <v>124151</v>
      </c>
      <c r="D32" s="3004" t="s">
        <v>1679</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1" t="s">
        <v>1680</v>
      </c>
      <c r="C33" s="262">
        <f ca="1">ROUND(C32*10000/'数据-汇总表'!E3,0)</f>
        <v>4496</v>
      </c>
      <c r="D33" s="1332" t="s">
        <v>1681</v>
      </c>
      <c r="E33" s="3451"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3" t="s">
        <v>1682</v>
      </c>
      <c r="C34" s="262">
        <f ca="1">ROUND(C32*10000/'数据-汇总表'!D3,0)</f>
        <v>16547</v>
      </c>
      <c r="D34" s="1334" t="s">
        <v>1681</v>
      </c>
      <c r="E34" s="3452"/>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5"/>
      <c r="C35" s="1336">
        <f ca="1">ROUND(C32/('数据-汇总表'!D3/666.67),0)</f>
        <v>1103</v>
      </c>
      <c r="D35" s="1337" t="s">
        <v>1683</v>
      </c>
      <c r="E35" s="3453"/>
      <c r="F35" s="299" t="s">
        <v>342</v>
      </c>
      <c r="G35" s="969"/>
      <c r="H35" s="968" t="s">
        <v>343</v>
      </c>
      <c r="I35" s="309"/>
      <c r="J35" s="1910"/>
      <c r="K35" s="3457" t="s">
        <v>350</v>
      </c>
      <c r="L35" s="3457" t="s">
        <v>351</v>
      </c>
      <c r="M35" s="1217" t="s">
        <v>352</v>
      </c>
      <c r="N35" s="3457" t="s">
        <v>353</v>
      </c>
      <c r="O35" s="3457" t="s">
        <v>354</v>
      </c>
      <c r="P35" s="1910"/>
      <c r="V35" s="1910"/>
    </row>
    <row r="36" spans="1:26" ht="16.5" customHeight="1">
      <c r="A36" s="301" t="s">
        <v>344</v>
      </c>
      <c r="B36" s="302" t="s">
        <v>333</v>
      </c>
      <c r="C36" s="303" t="s">
        <v>345</v>
      </c>
      <c r="D36" s="303" t="s">
        <v>346</v>
      </c>
      <c r="E36" s="304" t="s">
        <v>347</v>
      </c>
      <c r="F36" s="309"/>
      <c r="G36" s="309"/>
      <c r="H36" s="309"/>
      <c r="I36" s="309"/>
      <c r="J36" s="1912"/>
      <c r="K36" s="3458"/>
      <c r="L36" s="3458"/>
      <c r="M36" s="1219" t="s">
        <v>355</v>
      </c>
      <c r="N36" s="3458"/>
      <c r="O36" s="3458"/>
      <c r="P36" s="1910"/>
      <c r="V36" s="1910"/>
    </row>
    <row r="37" spans="1:26" ht="16.5" customHeight="1" thickBot="1">
      <c r="A37" s="1213" t="s">
        <v>348</v>
      </c>
      <c r="B37" s="305"/>
      <c r="C37" s="292"/>
      <c r="D37" s="292"/>
      <c r="E37" s="293"/>
      <c r="F37" s="309"/>
      <c r="G37" s="309"/>
      <c r="H37" s="309"/>
      <c r="I37" s="309"/>
      <c r="J37" s="1912"/>
      <c r="K37" s="3459"/>
      <c r="L37" s="3459"/>
      <c r="M37" s="1220"/>
      <c r="N37" s="3459"/>
      <c r="O37" s="3459"/>
      <c r="P37" s="1910"/>
      <c r="V37" s="1910"/>
    </row>
    <row r="38" spans="1:26" ht="16.5" customHeight="1" thickBot="1">
      <c r="A38" s="1213" t="s">
        <v>349</v>
      </c>
      <c r="B38" s="305"/>
      <c r="C38" s="292"/>
      <c r="D38" s="292"/>
      <c r="E38" s="293"/>
      <c r="F38" s="309"/>
      <c r="G38" s="309"/>
      <c r="H38" s="309"/>
      <c r="I38" s="309"/>
      <c r="J38" s="1912"/>
      <c r="K38" s="1221">
        <f>'数据-汇总表'!D3</f>
        <v>75029.52</v>
      </c>
      <c r="L38" s="1222">
        <f>'数据-汇总表'!E3</f>
        <v>276122.93</v>
      </c>
      <c r="M38" s="1222">
        <f ca="1">C34</f>
        <v>16547</v>
      </c>
      <c r="N38" s="1222">
        <f ca="1">C33</f>
        <v>4496</v>
      </c>
      <c r="O38" s="1223">
        <f ca="1">C32</f>
        <v>124151</v>
      </c>
      <c r="P38" s="1910"/>
      <c r="V38" s="1910"/>
    </row>
    <row r="39" spans="1:26" ht="16.5" customHeight="1" thickBot="1">
      <c r="A39" s="1218"/>
      <c r="B39" s="306"/>
      <c r="C39" s="307"/>
      <c r="D39" s="307"/>
      <c r="E39" s="308"/>
      <c r="F39" s="309"/>
      <c r="G39" s="309"/>
      <c r="H39" s="309"/>
      <c r="I39" s="309"/>
      <c r="J39" s="1912"/>
      <c r="K39" s="3470" t="str">
        <f>MID(A44,3,LEN(A44)-2)</f>
        <v>抵押价格</v>
      </c>
      <c r="L39" s="3471"/>
      <c r="M39" s="3471"/>
      <c r="N39" s="3472"/>
      <c r="O39" s="1339">
        <f ca="1">C44</f>
        <v>124151</v>
      </c>
      <c r="P39" s="1910"/>
      <c r="V39" s="1910"/>
    </row>
    <row r="40" spans="1:26" ht="19.5" thickBot="1">
      <c r="A40" s="104" t="s">
        <v>864</v>
      </c>
      <c r="B40" s="309"/>
      <c r="C40" s="309"/>
      <c r="D40" s="309"/>
      <c r="E40" s="309"/>
      <c r="F40" s="309"/>
      <c r="G40" s="309"/>
      <c r="H40" s="309"/>
      <c r="I40" s="309"/>
      <c r="J40" s="1912"/>
      <c r="K40" s="3470" t="str">
        <f t="shared" ref="K40:K41" si="0">MID(A45,3,LEN(A45)-2)</f>
        <v/>
      </c>
      <c r="L40" s="3471"/>
      <c r="M40" s="3471"/>
      <c r="N40" s="3472"/>
      <c r="O40" s="1339" t="str">
        <f>C45</f>
        <v>——</v>
      </c>
      <c r="P40" s="1910"/>
      <c r="V40" s="1910"/>
    </row>
    <row r="41" spans="1:26" ht="16.5" thickBot="1">
      <c r="A41" s="310" t="s">
        <v>356</v>
      </c>
      <c r="B41" s="311"/>
      <c r="C41" s="312" t="s">
        <v>357</v>
      </c>
      <c r="D41" s="313" t="s">
        <v>358</v>
      </c>
      <c r="E41" s="313" t="s">
        <v>359</v>
      </c>
      <c r="F41" s="314" t="s">
        <v>360</v>
      </c>
      <c r="G41" s="309"/>
      <c r="H41" s="309"/>
      <c r="I41" s="309"/>
      <c r="J41" s="1912"/>
      <c r="K41" s="3470" t="str">
        <f t="shared" si="0"/>
        <v/>
      </c>
      <c r="L41" s="3471"/>
      <c r="M41" s="3471"/>
      <c r="N41" s="3472"/>
      <c r="O41" s="1339" t="str">
        <f>C46</f>
        <v>——</v>
      </c>
      <c r="P41" s="1910"/>
      <c r="V41" s="1910"/>
    </row>
    <row r="42" spans="1:26" ht="29.25">
      <c r="A42" s="3499" t="s">
        <v>2055</v>
      </c>
      <c r="B42" s="3500"/>
      <c r="C42" s="262">
        <f ca="1">C32</f>
        <v>124151</v>
      </c>
      <c r="D42" s="315">
        <f ca="1">C33</f>
        <v>4496</v>
      </c>
      <c r="E42" s="315">
        <f ca="1">C34</f>
        <v>16547</v>
      </c>
      <c r="F42" s="316">
        <f ca="1">C35</f>
        <v>1103</v>
      </c>
      <c r="G42" s="309"/>
      <c r="H42" s="309"/>
      <c r="I42" s="317"/>
      <c r="J42" s="1912"/>
      <c r="K42" s="1224" t="s">
        <v>361</v>
      </c>
      <c r="L42" s="1929" t="s">
        <v>362</v>
      </c>
      <c r="M42" s="1225" t="s">
        <v>363</v>
      </c>
      <c r="N42" s="1930" t="s">
        <v>364</v>
      </c>
      <c r="O42" s="1931" t="s">
        <v>365</v>
      </c>
      <c r="P42" s="1910"/>
      <c r="V42" s="1910"/>
    </row>
    <row r="43" spans="1:26" ht="30">
      <c r="A43" s="3509" t="s">
        <v>2710</v>
      </c>
      <c r="B43" s="3510"/>
      <c r="C43" s="262">
        <f>IF(H33="正常操作",G33+G34+G35,G34+G35)</f>
        <v>0</v>
      </c>
      <c r="D43" s="315" t="s">
        <v>43</v>
      </c>
      <c r="E43" s="315" t="s">
        <v>44</v>
      </c>
      <c r="F43" s="316" t="s">
        <v>44</v>
      </c>
      <c r="G43" s="2582" t="s">
        <v>943</v>
      </c>
      <c r="H43" s="309"/>
      <c r="I43" s="317"/>
      <c r="J43" s="1912"/>
      <c r="K43" s="1226" t="str">
        <f>C4</f>
        <v>比较法-住宅、综合</v>
      </c>
      <c r="L43" s="1227">
        <f ca="1">IF(L42="估价结果/万元",C19,C20)</f>
        <v>125021</v>
      </c>
      <c r="M43" s="1228">
        <f>C18</f>
        <v>0.5</v>
      </c>
      <c r="N43" s="1229">
        <f ca="1">IF(N42="测算结果/万元",G19,G20)</f>
        <v>124151</v>
      </c>
      <c r="O43" s="1230">
        <f ca="1">IF(O42="最终结果/万元",C32,C33)</f>
        <v>124151</v>
      </c>
      <c r="P43" s="1910"/>
      <c r="V43" s="1910"/>
    </row>
    <row r="44" spans="1:26" ht="30.75" thickBot="1">
      <c r="A44" s="3499" t="str">
        <f>IF(OR(项目基本情况!E8="抵押价格",项目基本情况!E8="已注销及未注销"),"3.抵押价格","——")</f>
        <v>3.抵押价格</v>
      </c>
      <c r="B44" s="3500"/>
      <c r="C44" s="262">
        <f ca="1">IF(A44="——","——",C42-C43)</f>
        <v>124151</v>
      </c>
      <c r="D44" s="315">
        <f ca="1">ROUND(C44*10000/'数据-汇总表'!E3,0)</f>
        <v>4496</v>
      </c>
      <c r="E44" s="315">
        <f ca="1">ROUND(C44*10000/'数据-汇总表'!D3,0)</f>
        <v>16547</v>
      </c>
      <c r="F44" s="316">
        <f ca="1">ROUND(C44/('数据-汇总表'!D3/666.67),0)</f>
        <v>1103</v>
      </c>
      <c r="G44" s="309"/>
      <c r="H44" s="309"/>
      <c r="I44" s="317"/>
      <c r="J44" s="1912"/>
      <c r="K44" s="1231" t="str">
        <f>D4</f>
        <v>剩余法-待开发</v>
      </c>
      <c r="L44" s="1232">
        <f ca="1">IF(L42="估价结果/万元",D19,D20)</f>
        <v>123281</v>
      </c>
      <c r="M44" s="1233">
        <f>D18</f>
        <v>0.5</v>
      </c>
      <c r="N44" s="1234"/>
      <c r="O44" s="1235"/>
      <c r="P44" s="1910"/>
      <c r="V44" s="1910"/>
    </row>
    <row r="45" spans="1:26" ht="15">
      <c r="A45" s="3504" t="str">
        <f>IF(项目基本情况!E8="已注销及未注销","4.抵押担保权已注销时的抵押价格",IF(项目基本情况!E8="已注销","3.抵押担保权已注销时的抵押价格","——"))</f>
        <v>——</v>
      </c>
      <c r="B45" s="3505"/>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501" t="str">
        <f>IF(项目基本情况!E9="抵押净值",IF(A45="——","4.抵押净值","5.抵押净值"),"——")</f>
        <v>——</v>
      </c>
      <c r="B46" s="3502"/>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62" t="s">
        <v>374</v>
      </c>
      <c r="B63" s="3463"/>
      <c r="C63" s="3464"/>
      <c r="D63" s="339">
        <f ca="1">ROUND(C42*F63,0)</f>
        <v>124151</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506" t="s">
        <v>378</v>
      </c>
      <c r="B64" s="3507"/>
      <c r="C64" s="3507"/>
      <c r="D64" s="3507"/>
      <c r="E64" s="3507"/>
      <c r="F64" s="3507"/>
      <c r="G64" s="3508"/>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503" t="s">
        <v>386</v>
      </c>
      <c r="B66" s="3469"/>
      <c r="C66" s="3469"/>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430" t="s">
        <v>385</v>
      </c>
      <c r="M66" s="3431"/>
      <c r="N66" s="2311"/>
      <c r="O66" s="2312"/>
      <c r="P66" s="2313"/>
      <c r="Q66" s="1910"/>
      <c r="R66" s="1910"/>
      <c r="S66" s="1910"/>
      <c r="T66" s="1910"/>
      <c r="U66" s="1910"/>
      <c r="V66" s="1910"/>
    </row>
    <row r="67" spans="1:22" ht="25.5" customHeight="1">
      <c r="A67" s="350" t="s">
        <v>389</v>
      </c>
      <c r="B67" s="3481" t="s">
        <v>390</v>
      </c>
      <c r="C67" s="3481"/>
      <c r="D67" s="351">
        <v>0</v>
      </c>
      <c r="E67" s="41" t="s">
        <v>391</v>
      </c>
      <c r="F67" s="62" t="s">
        <v>21</v>
      </c>
      <c r="G67" s="3465"/>
      <c r="H67" s="3005" t="s">
        <v>2968</v>
      </c>
      <c r="I67" s="3007"/>
      <c r="J67" s="1917"/>
      <c r="K67" s="1889">
        <v>2</v>
      </c>
      <c r="L67" s="3435" t="s">
        <v>388</v>
      </c>
      <c r="M67" s="3435"/>
      <c r="N67" s="1278">
        <f>'数据-取费表'!B2</f>
        <v>44077</v>
      </c>
      <c r="O67" s="1278"/>
      <c r="P67" s="1278"/>
      <c r="Q67" s="1910"/>
      <c r="R67" s="1910"/>
      <c r="S67" s="1910"/>
      <c r="T67" s="1910"/>
      <c r="U67" s="1910"/>
      <c r="V67" s="1910"/>
    </row>
    <row r="68" spans="1:22" ht="25.5" customHeight="1">
      <c r="A68" s="352"/>
      <c r="B68" s="3481" t="s">
        <v>393</v>
      </c>
      <c r="C68" s="3481"/>
      <c r="D68" s="353"/>
      <c r="E68" s="77"/>
      <c r="F68" s="354"/>
      <c r="G68" s="3466"/>
      <c r="H68" s="3006" t="s">
        <v>2969</v>
      </c>
      <c r="I68" s="3007"/>
      <c r="J68" s="1917"/>
      <c r="K68" s="1889">
        <v>3</v>
      </c>
      <c r="L68" s="3435" t="s">
        <v>392</v>
      </c>
      <c r="M68" s="3435"/>
      <c r="N68" s="1246">
        <f ca="1">C42</f>
        <v>124151</v>
      </c>
      <c r="O68" s="1246"/>
      <c r="P68" s="1246"/>
      <c r="Q68" s="1910"/>
      <c r="R68" s="1910"/>
      <c r="S68" s="1910"/>
      <c r="T68" s="1910"/>
      <c r="U68" s="1910"/>
      <c r="V68" s="1910"/>
    </row>
    <row r="69" spans="1:22" ht="23.45" customHeight="1">
      <c r="A69" s="355"/>
      <c r="B69" s="3481" t="s">
        <v>394</v>
      </c>
      <c r="C69" s="3481"/>
      <c r="D69" s="356"/>
      <c r="E69" s="73"/>
      <c r="F69" s="354"/>
      <c r="G69" s="3467"/>
      <c r="H69" s="3006" t="s">
        <v>2970</v>
      </c>
      <c r="I69" s="3007"/>
      <c r="J69" s="1917"/>
      <c r="K69" s="1247">
        <v>4</v>
      </c>
      <c r="L69" s="3436" t="s">
        <v>2862</v>
      </c>
      <c r="M69" s="3437"/>
      <c r="N69" s="1248">
        <f ca="1">C44</f>
        <v>124151</v>
      </c>
      <c r="O69" s="1248"/>
      <c r="P69" s="1248"/>
      <c r="Q69" s="1910"/>
      <c r="R69" s="1910"/>
      <c r="S69" s="1910"/>
      <c r="T69" s="1910"/>
      <c r="U69" s="1910"/>
      <c r="V69" s="1910"/>
    </row>
    <row r="70" spans="1:22" ht="24" customHeight="1">
      <c r="A70" s="357" t="s">
        <v>395</v>
      </c>
      <c r="B70" s="3481" t="s">
        <v>396</v>
      </c>
      <c r="C70" s="3481"/>
      <c r="D70" s="356">
        <f ca="1">ROUND(D63*'数据-取费表'!B41/(1+'数据-取费表'!C42),0)</f>
        <v>6621</v>
      </c>
      <c r="E70" s="17" t="s">
        <v>397</v>
      </c>
      <c r="F70" s="358">
        <f>'数据-取费表'!B41</f>
        <v>5.6000000000000001E-2</v>
      </c>
      <c r="G70" s="359"/>
      <c r="H70" s="309"/>
      <c r="I70" s="1245"/>
      <c r="J70" s="1917"/>
      <c r="K70" s="2764"/>
      <c r="L70" s="2765"/>
      <c r="M70" s="2765"/>
      <c r="N70" s="2766" t="s">
        <v>2866</v>
      </c>
      <c r="O70" s="2765"/>
      <c r="P70" s="2767"/>
      <c r="Q70" s="1910"/>
      <c r="R70" s="1910"/>
      <c r="S70" s="1910"/>
      <c r="T70" s="1910"/>
      <c r="U70" s="1910"/>
      <c r="V70" s="1910"/>
    </row>
    <row r="71" spans="1:22" ht="12" customHeight="1">
      <c r="A71" s="357" t="s">
        <v>403</v>
      </c>
      <c r="B71" s="3480" t="s">
        <v>3000</v>
      </c>
      <c r="C71" s="3497"/>
      <c r="D71" s="356">
        <f ca="1">ROUND(D63*'数据-取费表'!B41/(1+'数据-取费表'!C42),0)</f>
        <v>6621</v>
      </c>
      <c r="E71" s="17" t="s">
        <v>397</v>
      </c>
      <c r="F71" s="358">
        <f>'数据-取费表'!B41</f>
        <v>5.6000000000000001E-2</v>
      </c>
      <c r="G71" s="359"/>
      <c r="H71" s="309"/>
      <c r="I71" s="1245"/>
      <c r="J71" s="1917"/>
      <c r="K71" s="2763" t="s">
        <v>398</v>
      </c>
      <c r="L71" s="3438" t="s">
        <v>399</v>
      </c>
      <c r="M71" s="3438"/>
      <c r="N71" s="2763" t="s">
        <v>400</v>
      </c>
      <c r="O71" s="2763" t="s">
        <v>401</v>
      </c>
      <c r="P71" s="2763" t="s">
        <v>402</v>
      </c>
      <c r="Q71" s="1910"/>
      <c r="R71" s="1910"/>
      <c r="S71" s="1910"/>
      <c r="T71" s="1910"/>
      <c r="U71" s="1910"/>
      <c r="V71" s="1910"/>
    </row>
    <row r="72" spans="1:22" ht="12" customHeight="1">
      <c r="A72" s="357" t="s">
        <v>405</v>
      </c>
      <c r="B72" s="3480" t="s">
        <v>3001</v>
      </c>
      <c r="C72" s="3497"/>
      <c r="D72" s="356">
        <f ca="1">C86</f>
        <v>6621</v>
      </c>
      <c r="E72" s="73" t="s">
        <v>406</v>
      </c>
      <c r="F72" s="358">
        <f>'数据-取费表'!B41</f>
        <v>5.6000000000000001E-2</v>
      </c>
      <c r="G72" s="359"/>
      <c r="H72" s="1251"/>
      <c r="I72" s="1245"/>
      <c r="J72" s="1917"/>
      <c r="K72" s="1889">
        <v>1</v>
      </c>
      <c r="L72" s="3434" t="s">
        <v>404</v>
      </c>
      <c r="M72" s="3434"/>
      <c r="N72" s="1249" t="b">
        <f>D66</f>
        <v>0</v>
      </c>
      <c r="O72" s="1772" t="str">
        <f>E66</f>
        <v>销售额×税（费）率</v>
      </c>
      <c r="P72" s="1250">
        <f>F66</f>
        <v>5.6000000000000001E-2</v>
      </c>
      <c r="Q72" s="1910"/>
      <c r="R72" s="1910"/>
      <c r="S72" s="1910"/>
      <c r="T72" s="1910"/>
      <c r="U72" s="1910"/>
      <c r="V72" s="1910"/>
    </row>
    <row r="73" spans="1:22" ht="24" customHeight="1">
      <c r="A73" s="3468" t="s">
        <v>408</v>
      </c>
      <c r="B73" s="3469"/>
      <c r="C73" s="3469"/>
      <c r="D73" s="360">
        <f ca="1">IF(H73="个人住宅",0,ROUND(D63*I73,0))</f>
        <v>62</v>
      </c>
      <c r="E73" s="17" t="s">
        <v>409</v>
      </c>
      <c r="F73" s="358" t="str">
        <f>IF(H73="正常",I73,"免征")</f>
        <v>免征</v>
      </c>
      <c r="G73" s="359"/>
      <c r="H73" s="189"/>
      <c r="I73" s="358">
        <f>'数据-取费表'!B49</f>
        <v>5.0000000000000001E-4</v>
      </c>
      <c r="J73" s="1917"/>
      <c r="K73" s="1889">
        <v>2</v>
      </c>
      <c r="L73" s="3434" t="s">
        <v>407</v>
      </c>
      <c r="M73" s="3434"/>
      <c r="N73" s="1249">
        <f t="shared" ref="N73:P74" ca="1" si="1">D73</f>
        <v>62</v>
      </c>
      <c r="O73" s="1772" t="str">
        <f t="shared" si="1"/>
        <v>销售额×税（费）率</v>
      </c>
      <c r="P73" s="1250" t="str">
        <f t="shared" si="1"/>
        <v>免征</v>
      </c>
      <c r="Q73" s="1910"/>
      <c r="R73" s="1910"/>
      <c r="S73" s="1910"/>
      <c r="T73" s="1910"/>
      <c r="U73" s="1910"/>
      <c r="V73" s="1910"/>
    </row>
    <row r="74" spans="1:22" ht="24.75">
      <c r="A74" s="3468" t="s">
        <v>411</v>
      </c>
      <c r="B74" s="3469"/>
      <c r="C74" s="3469"/>
      <c r="D74" s="360">
        <f ca="1">IF(H74="个人住宅",D75,D76)</f>
        <v>70270</v>
      </c>
      <c r="E74" s="17" t="s">
        <v>412</v>
      </c>
      <c r="F74" s="358" t="str">
        <f>IF(H74="正常",F76,"免征")</f>
        <v>免征</v>
      </c>
      <c r="G74" s="970" t="s">
        <v>413</v>
      </c>
      <c r="H74" s="361"/>
      <c r="I74" s="42"/>
      <c r="J74" s="1917"/>
      <c r="K74" s="1889">
        <v>3</v>
      </c>
      <c r="L74" s="3434" t="s">
        <v>410</v>
      </c>
      <c r="M74" s="3434"/>
      <c r="N74" s="1249">
        <f t="shared" ca="1" si="1"/>
        <v>70270</v>
      </c>
      <c r="O74" s="1772" t="str">
        <f t="shared" si="1"/>
        <v>增值额×税（费）率</v>
      </c>
      <c r="P74" s="1252" t="str">
        <f t="shared" si="1"/>
        <v>免征</v>
      </c>
      <c r="Q74" s="1910"/>
      <c r="R74" s="1910"/>
      <c r="S74" s="1910"/>
      <c r="T74" s="1910"/>
      <c r="U74" s="1910"/>
      <c r="V74" s="1910"/>
    </row>
    <row r="75" spans="1:22" ht="12.75">
      <c r="A75" s="357" t="s">
        <v>414</v>
      </c>
      <c r="B75" s="3449" t="s">
        <v>415</v>
      </c>
      <c r="C75" s="3450"/>
      <c r="D75" s="362">
        <v>0</v>
      </c>
      <c r="E75" s="41" t="s">
        <v>416</v>
      </c>
      <c r="F75" s="363"/>
      <c r="G75" s="359"/>
      <c r="H75" s="42"/>
      <c r="I75" s="42"/>
      <c r="J75" s="1917"/>
      <c r="K75" s="2757">
        <f>IF(H77="非个人房产","",4)</f>
        <v>4</v>
      </c>
      <c r="L75" s="3434" t="str">
        <f>IF(H77="非个人房产","——","个人所得税")</f>
        <v>个人所得税</v>
      </c>
      <c r="M75" s="3434"/>
      <c r="N75" s="1253">
        <f>D77</f>
        <v>0</v>
      </c>
      <c r="O75" s="1785" t="str">
        <f>E77</f>
        <v>差额计税</v>
      </c>
      <c r="P75" s="1254">
        <f>F77</f>
        <v>0.01</v>
      </c>
      <c r="Q75" s="1910"/>
      <c r="R75" s="1910"/>
      <c r="S75" s="1910"/>
      <c r="T75" s="1910"/>
      <c r="U75" s="1910"/>
      <c r="V75" s="1910"/>
    </row>
    <row r="76" spans="1:22" ht="24.75">
      <c r="A76" s="357" t="s">
        <v>395</v>
      </c>
      <c r="B76" s="3449" t="s">
        <v>418</v>
      </c>
      <c r="C76" s="3491"/>
      <c r="D76" s="360">
        <f ca="1">IF(H76="转让取得",C99,C115)</f>
        <v>70270</v>
      </c>
      <c r="E76" s="17" t="s">
        <v>419</v>
      </c>
      <c r="F76" s="53" t="s">
        <v>21</v>
      </c>
      <c r="G76" s="359"/>
      <c r="H76" s="361"/>
      <c r="I76" s="42"/>
      <c r="J76" s="1917"/>
      <c r="K76" s="2757" t="str">
        <f>IF(项目基本情况!K6="上海银行",IF(K75="",4,K75+1),"")</f>
        <v/>
      </c>
      <c r="L76" s="3445" t="str">
        <f>IF(项目基本情况!K6="上海银行","其他处置费用","")</f>
        <v/>
      </c>
      <c r="M76" s="3446"/>
      <c r="N76" s="1249" t="str">
        <f>IF(项目基本情况!K6="上海银行",N89,"")</f>
        <v/>
      </c>
      <c r="O76" s="3447" t="str">
        <f>IF(项目基本情况!K6="上海银行","包含处置中涉及的律师、诉讼、拍卖、评估等费用","")</f>
        <v/>
      </c>
      <c r="P76" s="3448"/>
      <c r="Q76" s="1910"/>
      <c r="R76" s="1910"/>
      <c r="S76" s="1910"/>
      <c r="T76" s="1910"/>
      <c r="U76" s="1910"/>
      <c r="V76" s="1910"/>
    </row>
    <row r="77" spans="1:22" ht="24.75" thickBot="1">
      <c r="A77" s="3460" t="s">
        <v>421</v>
      </c>
      <c r="B77" s="3461"/>
      <c r="C77" s="3461"/>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2971</v>
      </c>
      <c r="J77" s="1917"/>
      <c r="K77" s="3456">
        <f>IF(AND(K75="",K76=""),4,IF(项目基本情况!K6="上海银行",K76+1,K75+1))</f>
        <v>5</v>
      </c>
      <c r="L77" s="3434" t="s">
        <v>2863</v>
      </c>
      <c r="M77" s="2762" t="s">
        <v>417</v>
      </c>
      <c r="N77" s="1255"/>
      <c r="O77" s="1256">
        <f ca="1">SUMIF(N72:N76,"&lt;9e307")</f>
        <v>70332</v>
      </c>
      <c r="P77" s="1257"/>
      <c r="Q77" s="2760">
        <f ca="1">O77/N69</f>
        <v>0.56650369308342263</v>
      </c>
      <c r="R77" s="1910"/>
      <c r="S77" s="1910"/>
      <c r="T77" s="1910"/>
      <c r="U77" s="1910"/>
      <c r="V77" s="1910"/>
    </row>
    <row r="78" spans="1:22" ht="12" customHeight="1">
      <c r="A78" s="1258"/>
      <c r="B78" s="309"/>
      <c r="C78" s="309"/>
      <c r="D78" s="309"/>
      <c r="E78" s="42"/>
      <c r="F78" s="42"/>
      <c r="G78" s="42"/>
      <c r="H78" s="990"/>
      <c r="I78" s="309"/>
      <c r="J78" s="1917"/>
      <c r="K78" s="3456"/>
      <c r="L78" s="3434"/>
      <c r="M78" s="2762" t="s">
        <v>420</v>
      </c>
      <c r="N78" s="1255"/>
      <c r="O78" s="1256" t="str">
        <f ca="1">NUMBERSTRING(INT(O77*10000),2)&amp;"元整"</f>
        <v>柒亿零叁佰叁拾贰万元整</v>
      </c>
      <c r="P78" s="1257"/>
      <c r="Q78" s="1910"/>
      <c r="R78" s="1910"/>
      <c r="S78" s="1910"/>
      <c r="T78" s="1910"/>
      <c r="U78" s="1910"/>
      <c r="V78" s="1910"/>
    </row>
    <row r="79" spans="1:22" ht="13.5" thickBot="1">
      <c r="A79" s="3511" t="s">
        <v>422</v>
      </c>
      <c r="B79" s="3511"/>
      <c r="C79" s="3511"/>
      <c r="D79" s="3511"/>
      <c r="E79" s="3511"/>
      <c r="F79" s="42"/>
      <c r="G79" s="42"/>
      <c r="H79" s="990"/>
      <c r="I79" s="309"/>
      <c r="J79" s="1917"/>
      <c r="K79" s="3432">
        <f>K77+1</f>
        <v>6</v>
      </c>
      <c r="L79" s="3434" t="s">
        <v>2864</v>
      </c>
      <c r="M79" s="2762" t="s">
        <v>417</v>
      </c>
      <c r="N79" s="1255"/>
      <c r="O79" s="1256">
        <f ca="1">N69-O77</f>
        <v>53819</v>
      </c>
      <c r="P79" s="1257"/>
      <c r="Q79" s="1910"/>
      <c r="R79" s="1910"/>
      <c r="S79" s="1910"/>
      <c r="T79" s="1910"/>
      <c r="U79" s="1910"/>
      <c r="V79" s="1910"/>
    </row>
    <row r="80" spans="1:22" ht="25.5">
      <c r="A80" s="3442" t="s">
        <v>423</v>
      </c>
      <c r="B80" s="3443"/>
      <c r="C80" s="981"/>
      <c r="D80" s="981" t="s">
        <v>424</v>
      </c>
      <c r="E80" s="364" t="s">
        <v>425</v>
      </c>
      <c r="F80" s="42"/>
      <c r="G80" s="42"/>
      <c r="H80" s="990"/>
      <c r="I80" s="309"/>
      <c r="J80" s="1910"/>
      <c r="K80" s="3433"/>
      <c r="L80" s="3434"/>
      <c r="M80" s="2762" t="s">
        <v>420</v>
      </c>
      <c r="N80" s="1255"/>
      <c r="O80" s="1256" t="str">
        <f ca="1">NUMBERSTRING(INT(O79*10000),2)&amp;"元整"</f>
        <v>伍亿叁仟捌佰壹拾玖万元整</v>
      </c>
      <c r="P80" s="1257"/>
      <c r="Q80" s="1910"/>
      <c r="R80" s="1910"/>
      <c r="S80" s="1910"/>
      <c r="T80" s="1910"/>
      <c r="U80" s="1910"/>
      <c r="V80" s="1910"/>
    </row>
    <row r="81" spans="1:26" ht="13.5" thickBot="1">
      <c r="A81" s="375" t="s">
        <v>1813</v>
      </c>
      <c r="B81" s="365" t="s">
        <v>426</v>
      </c>
      <c r="C81" s="366">
        <f ca="1">ROUND((C82+C83)/(1+'数据-取费表'!C42),0)</f>
        <v>118239</v>
      </c>
      <c r="D81" s="367"/>
      <c r="E81" s="368"/>
      <c r="F81" s="42"/>
      <c r="G81" s="42"/>
      <c r="H81" s="990"/>
      <c r="I81" s="309"/>
      <c r="J81" s="1910"/>
      <c r="K81" s="2757">
        <f>K79+1</f>
        <v>7</v>
      </c>
      <c r="L81" s="3454" t="s">
        <v>2865</v>
      </c>
      <c r="M81" s="3455"/>
      <c r="N81" s="1259"/>
      <c r="O81" s="1260">
        <f ca="1">ROUND(O79*10000/'数据-汇总表'!E3,0)</f>
        <v>1949</v>
      </c>
      <c r="P81" s="1261"/>
      <c r="Q81" s="1910"/>
      <c r="R81" s="1910"/>
      <c r="S81" s="1910"/>
      <c r="T81" s="1910"/>
      <c r="U81" s="1910"/>
      <c r="V81" s="1910"/>
    </row>
    <row r="82" spans="1:26" ht="13.5" thickTop="1">
      <c r="A82" s="369" t="s">
        <v>1814</v>
      </c>
      <c r="B82" s="370" t="s">
        <v>427</v>
      </c>
      <c r="C82" s="371">
        <f ca="1">D63</f>
        <v>124151</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1815</v>
      </c>
      <c r="B83" s="370" t="s">
        <v>428</v>
      </c>
      <c r="C83" s="374"/>
      <c r="D83" s="372"/>
      <c r="E83" s="373"/>
      <c r="F83" s="42"/>
      <c r="G83" s="42"/>
      <c r="H83" s="990"/>
      <c r="I83" s="309"/>
      <c r="J83" s="1910"/>
      <c r="K83" s="3444" t="s">
        <v>2853</v>
      </c>
      <c r="L83" s="2768" t="s">
        <v>2854</v>
      </c>
      <c r="M83" s="2758">
        <f ca="1">IF(N69&gt;10000,N69*0.5%,IF(AND(N69&gt;1000,N69&lt;=10000),N69*1%,IF(AND(N69&gt;100,N69&lt;=1000),N69*3%,IF(AND(N69&gt;10,N69&lt;=100),N69*5%,N69*8%))))</f>
        <v>620.755</v>
      </c>
      <c r="N83" s="53">
        <f ca="1">ROUND(M83,1)</f>
        <v>620.79999999999995</v>
      </c>
      <c r="O83" s="2761"/>
      <c r="P83" s="1910"/>
      <c r="Q83" s="1910"/>
      <c r="R83" s="1910"/>
      <c r="S83" s="1910"/>
      <c r="T83" s="1910"/>
      <c r="U83" s="1910"/>
      <c r="V83" s="1910"/>
    </row>
    <row r="84" spans="1:26" ht="12.75">
      <c r="A84" s="375" t="s">
        <v>1816</v>
      </c>
      <c r="B84" s="376" t="s">
        <v>429</v>
      </c>
      <c r="C84" s="377"/>
      <c r="D84" s="378" t="s">
        <v>19</v>
      </c>
      <c r="E84" s="2786" t="s">
        <v>2908</v>
      </c>
      <c r="F84" s="42"/>
      <c r="G84" s="42"/>
      <c r="H84" s="990"/>
      <c r="I84" s="309"/>
      <c r="J84" s="1910"/>
      <c r="K84" s="3444"/>
      <c r="L84" s="2768" t="s">
        <v>2855</v>
      </c>
      <c r="M84" s="2758">
        <f ca="1">IF(N69&gt;2000,N69*0.5%,IF(AND(N69&gt;1000,N69&lt;=2000),N69*0.6%,IF(AND(N69&gt;500,N69&lt;=1000),N69*0.7%,IF(AND(N69&gt;200,N69&lt;=500),N69*0.8%,IF(AND(N69&gt;100,N69&lt;=200),N69*0.9%,IF(AND(N69&gt;50,N69&lt;=100),N69*1%,IF(AND(N69&gt;20,N69&lt;=50),N69*1.5%,IF(AND(N69&gt;10,N69&lt;=20),N69*2%,IF(AND(N69&gt;1,N69&lt;=10),N69*2.5%)))))))))</f>
        <v>620.755</v>
      </c>
      <c r="N84" s="53">
        <f t="shared" ref="N84:N85" ca="1" si="2">ROUND(M84,1)</f>
        <v>620.79999999999995</v>
      </c>
      <c r="O84" s="1910" t="s">
        <v>2856</v>
      </c>
      <c r="P84" s="1910"/>
      <c r="Q84" s="1910"/>
      <c r="R84" s="1910"/>
      <c r="S84" s="1910"/>
      <c r="T84" s="1910"/>
      <c r="U84" s="1910"/>
      <c r="V84" s="1910"/>
    </row>
    <row r="85" spans="1:26" ht="12.75">
      <c r="A85" s="375" t="s">
        <v>1817</v>
      </c>
      <c r="B85" s="376" t="s">
        <v>430</v>
      </c>
      <c r="C85" s="379">
        <f ca="1">C81-C84</f>
        <v>118239</v>
      </c>
      <c r="D85" s="372" t="s">
        <v>19</v>
      </c>
      <c r="E85" s="373"/>
      <c r="F85" s="42"/>
      <c r="G85" s="42"/>
      <c r="H85" s="990"/>
      <c r="I85" s="309"/>
      <c r="J85" s="1910"/>
      <c r="K85" s="3444"/>
      <c r="L85" s="2768" t="s">
        <v>2857</v>
      </c>
      <c r="M85" s="2758">
        <f ca="1">IF(N69&gt;1000,N69*0.1%,IF(AND(N69&gt;500,N69&lt;=1000),N69*0.5%,IF(AND(N69&gt;50,N69&lt;=500),N69*1%,IF(AND(N69&gt;1,N69&lt;=50),N69*1.5%))))</f>
        <v>124.151</v>
      </c>
      <c r="N85" s="53">
        <f t="shared" ca="1" si="2"/>
        <v>124.2</v>
      </c>
      <c r="O85" s="1910" t="s">
        <v>2856</v>
      </c>
      <c r="P85" s="1910"/>
      <c r="Q85" s="1910"/>
      <c r="R85" s="1910"/>
      <c r="S85" s="1910"/>
      <c r="T85" s="1910"/>
      <c r="U85" s="1910"/>
      <c r="V85" s="1910"/>
    </row>
    <row r="86" spans="1:26" ht="13.5" thickBot="1">
      <c r="A86" s="380" t="s">
        <v>1818</v>
      </c>
      <c r="B86" s="381" t="s">
        <v>431</v>
      </c>
      <c r="C86" s="382">
        <f ca="1">IF(C85&lt;=0,0,ROUND(C85*D86,0))</f>
        <v>6621</v>
      </c>
      <c r="D86" s="383">
        <f>'数据-取费表'!B41</f>
        <v>5.6000000000000001E-2</v>
      </c>
      <c r="E86" s="384"/>
      <c r="F86" s="42"/>
      <c r="G86" s="42"/>
      <c r="H86" s="990"/>
      <c r="I86" s="309"/>
      <c r="J86" s="1910"/>
      <c r="K86" s="3444"/>
      <c r="L86" s="2768" t="s">
        <v>2858</v>
      </c>
      <c r="M86" s="2758">
        <f ca="1">N69*0.5%</f>
        <v>620.755</v>
      </c>
      <c r="N86" s="53">
        <f ca="1">IF(M86&gt;0.5,0.5,ROUND(M86,0))</f>
        <v>0.5</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44"/>
      <c r="L87" s="2768" t="s">
        <v>2860</v>
      </c>
      <c r="M87" s="2758">
        <f ca="1">IF(N69&gt;=10000,(8.25+(N69-10000)*0.01%),IF(AND(N69&gt;=8000,N69&lt;10000),(7.85+(N69-8000)*0.02%),IF(AND(N69&gt;=5000,N69&lt;8000),(6.65+(N69-5000)*0.04%),IF(AND(N69&gt;=2000,N69&lt;5000),(4.25+(PN69-2000)*0.08%),IF(AND(N69&gt;=1000,N69&lt;2000),(2.75+(N69-1000)*0.15%),IF(AND(N69&gt;=100,N69&lt;1000),(0.5+(N69-100)*0.25%),IF(AND(N69&gt;0,N69&lt;100),N69*0.5%)))))))</f>
        <v>19.665100000000002</v>
      </c>
      <c r="N87" s="53">
        <f ca="1">ROUND(M87*0.9,1)</f>
        <v>17.7</v>
      </c>
      <c r="O87" s="2761"/>
      <c r="P87" s="1910"/>
      <c r="Q87" s="1910"/>
      <c r="R87" s="1910"/>
      <c r="S87" s="1910"/>
      <c r="T87" s="1910"/>
      <c r="U87" s="1910"/>
      <c r="V87" s="1910"/>
      <c r="W87" s="290"/>
      <c r="X87" s="290"/>
      <c r="Y87" s="290"/>
      <c r="Z87" s="290"/>
    </row>
    <row r="88" spans="1:26" s="1267" customFormat="1" ht="15" thickBot="1">
      <c r="A88" s="3483" t="s">
        <v>432</v>
      </c>
      <c r="B88" s="3484"/>
      <c r="C88" s="3484"/>
      <c r="D88" s="3484"/>
      <c r="E88" s="3484"/>
      <c r="F88" s="3484"/>
      <c r="G88" s="3484"/>
      <c r="H88" s="3484"/>
      <c r="I88" s="1268"/>
      <c r="J88" s="1918"/>
      <c r="K88" s="3444"/>
      <c r="L88" s="2768" t="s">
        <v>2861</v>
      </c>
      <c r="M88" s="2758">
        <f ca="1">IF(N69&gt;10000,N69*0.5%,IF(AND(N69&gt;5000,N69&lt;=10000),N69*1%,IF(AND(N69&gt;1000,N69&lt;=5000),N69*2%,IF(AND(N69&gt;200,N69&lt;=1000),N69*3%,N69*5%))))</f>
        <v>620.755</v>
      </c>
      <c r="N88" s="53">
        <f ca="1">ROUND(M88,1)</f>
        <v>620.79999999999995</v>
      </c>
      <c r="O88" s="2761"/>
      <c r="P88" s="1915"/>
      <c r="Q88" s="1915"/>
      <c r="R88" s="1915"/>
      <c r="S88" s="1915"/>
      <c r="T88" s="1915"/>
      <c r="U88" s="1915"/>
      <c r="V88" s="1915"/>
      <c r="W88" s="1919"/>
      <c r="X88" s="1919"/>
      <c r="Y88" s="1919"/>
      <c r="Z88" s="1919"/>
    </row>
    <row r="89" spans="1:26" s="1267" customFormat="1" ht="14.25">
      <c r="A89" s="3442" t="s">
        <v>423</v>
      </c>
      <c r="B89" s="3443"/>
      <c r="C89" s="981"/>
      <c r="D89" s="981" t="s">
        <v>424</v>
      </c>
      <c r="E89" s="385" t="s">
        <v>433</v>
      </c>
      <c r="F89" s="386"/>
      <c r="G89" s="386"/>
      <c r="H89" s="387"/>
      <c r="I89" s="1269"/>
      <c r="J89" s="1920"/>
      <c r="K89" s="3444"/>
      <c r="L89" s="2768" t="s">
        <v>27</v>
      </c>
      <c r="M89" s="2759"/>
      <c r="N89" s="53">
        <f ca="1">ROUND(SUM(N83:N88),0)</f>
        <v>2005</v>
      </c>
      <c r="O89" s="2769">
        <f ca="1">N89/N69</f>
        <v>1.614968868555227E-2</v>
      </c>
      <c r="P89" s="1915"/>
      <c r="Q89" s="1915"/>
      <c r="R89" s="1915"/>
      <c r="S89" s="1915"/>
      <c r="T89" s="1915"/>
      <c r="U89" s="1915"/>
      <c r="V89" s="1915"/>
      <c r="W89" s="1919"/>
      <c r="X89" s="1919"/>
      <c r="Y89" s="1919"/>
      <c r="Z89" s="1919"/>
    </row>
    <row r="90" spans="1:26" s="1267" customFormat="1" ht="14.25">
      <c r="A90" s="375" t="s">
        <v>1813</v>
      </c>
      <c r="B90" s="376" t="s">
        <v>434</v>
      </c>
      <c r="C90" s="379">
        <f ca="1">ROUND(D63/(1+'数据-取费表'!C42),0)</f>
        <v>118239</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1819</v>
      </c>
      <c r="B91" s="346" t="s">
        <v>435</v>
      </c>
      <c r="C91" s="379">
        <f ca="1">C92+C96</f>
        <v>709</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480" t="s">
        <v>441</v>
      </c>
      <c r="F94" s="3481"/>
      <c r="G94" s="3481"/>
      <c r="H94" s="3482"/>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709</v>
      </c>
      <c r="D96" s="400">
        <f>'数据-取费表'!B43</f>
        <v>6.000000000000001E-3</v>
      </c>
      <c r="E96" s="3439" t="s">
        <v>2412</v>
      </c>
      <c r="F96" s="3440"/>
      <c r="G96" s="3440"/>
      <c r="H96" s="3441"/>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1825</v>
      </c>
      <c r="B97" s="376" t="s">
        <v>445</v>
      </c>
      <c r="C97" s="379">
        <f ca="1">C90-C91</f>
        <v>117530</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1826</v>
      </c>
      <c r="B98" s="376" t="s">
        <v>446</v>
      </c>
      <c r="C98" s="401">
        <f ca="1">IF(C97&lt;=0,0,C97/C91)</f>
        <v>165.76868829337096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1827</v>
      </c>
      <c r="B99" s="381" t="s">
        <v>447</v>
      </c>
      <c r="C99" s="402">
        <f ca="1">ROUND(IF(C97&lt;=0,0,IF(C98&gt;=200%,C97*60%-C91*35%,IF(C98&gt;=100%,C97*50%-C91*15%,IF(C98&gt;=50%,C97*40%-C91*5%,IF(C98&lt;50%,C97*30%,0))))),0)</f>
        <v>70270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83" t="s">
        <v>448</v>
      </c>
      <c r="B101" s="3484"/>
      <c r="C101" s="3484"/>
      <c r="D101" s="3484"/>
      <c r="E101" s="3484"/>
      <c r="F101" s="3484"/>
      <c r="G101" s="3484"/>
      <c r="H101" s="3484"/>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42" t="s">
        <v>423</v>
      </c>
      <c r="B102" s="3443"/>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1813</v>
      </c>
      <c r="B103" s="376" t="s">
        <v>434</v>
      </c>
      <c r="C103" s="379">
        <f ca="1">ROUND(D63/(1+'数据-取费表'!C42),0)</f>
        <v>118239</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1819</v>
      </c>
      <c r="B104" s="346" t="s">
        <v>435</v>
      </c>
      <c r="C104" s="379">
        <f ca="1">IF(H106="仅含出让金",C105+C108+C109+C110+C111+C112,C105+C109+C110+C111+C112)</f>
        <v>709</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1821</v>
      </c>
      <c r="B106" s="370" t="s">
        <v>450</v>
      </c>
      <c r="C106" s="410"/>
      <c r="D106" s="400"/>
      <c r="E106" s="411" t="s">
        <v>451</v>
      </c>
      <c r="F106" s="973"/>
      <c r="G106" s="412" t="s">
        <v>452</v>
      </c>
      <c r="H106" s="413"/>
      <c r="I106" s="11"/>
      <c r="J106" s="1915"/>
      <c r="K106" s="3243" t="s">
        <v>2993</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1822</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1824</v>
      </c>
      <c r="B108" s="370" t="s">
        <v>454</v>
      </c>
      <c r="C108" s="410"/>
      <c r="D108" s="400"/>
      <c r="E108" s="411" t="str">
        <f>IF(H106="-","土地取得成本中已包含该笔费用"," ")</f>
        <v xml:space="preserve"> </v>
      </c>
      <c r="F108" s="973"/>
      <c r="G108" s="3495" t="s">
        <v>2962</v>
      </c>
      <c r="H108" s="3496"/>
      <c r="I108" s="2858"/>
      <c r="J108" s="1915"/>
      <c r="K108" s="3243" t="s">
        <v>2994</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1828</v>
      </c>
      <c r="B109" s="370" t="s">
        <v>455</v>
      </c>
      <c r="C109" s="399">
        <f>IF(H109="——",IF(F1="现房",'剩余法-现房'!C18,0),I109)</f>
        <v>0</v>
      </c>
      <c r="D109" s="400"/>
      <c r="E109" s="3473" t="s">
        <v>456</v>
      </c>
      <c r="F109" s="3440"/>
      <c r="G109" s="3440"/>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1829</v>
      </c>
      <c r="B110" s="370" t="s">
        <v>457</v>
      </c>
      <c r="C110" s="399">
        <f>ROUND((C105+C108+C109)*D110,0)</f>
        <v>0</v>
      </c>
      <c r="D110" s="3274">
        <v>0</v>
      </c>
      <c r="E110" s="3473" t="s">
        <v>458</v>
      </c>
      <c r="F110" s="3440"/>
      <c r="G110" s="3440"/>
      <c r="H110" s="3441"/>
      <c r="I110" s="11"/>
      <c r="J110" s="1915"/>
      <c r="K110" s="3244" t="s">
        <v>2995</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1830</v>
      </c>
      <c r="B111" s="370" t="s">
        <v>444</v>
      </c>
      <c r="C111" s="399">
        <f ca="1">ROUND(D63*D111/(1+'数据-取费表'!C42),0)</f>
        <v>709</v>
      </c>
      <c r="D111" s="400">
        <f>'数据-取费表'!B43</f>
        <v>6.000000000000001E-3</v>
      </c>
      <c r="E111" s="3439" t="s">
        <v>2412</v>
      </c>
      <c r="F111" s="3440"/>
      <c r="G111" s="3440"/>
      <c r="H111" s="3441"/>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1831</v>
      </c>
      <c r="B112" s="370" t="s">
        <v>459</v>
      </c>
      <c r="C112" s="399">
        <f>ROUND(C108*D112,0)</f>
        <v>0</v>
      </c>
      <c r="D112" s="400">
        <v>0.2</v>
      </c>
      <c r="E112" s="3473" t="s">
        <v>2435</v>
      </c>
      <c r="F112" s="3440"/>
      <c r="G112" s="3440"/>
      <c r="H112" s="3441"/>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1825</v>
      </c>
      <c r="B113" s="376" t="s">
        <v>445</v>
      </c>
      <c r="C113" s="379">
        <f ca="1">ROUND(C103-C104,0)</f>
        <v>117530</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1826</v>
      </c>
      <c r="B114" s="376" t="s">
        <v>446</v>
      </c>
      <c r="C114" s="401">
        <f ca="1">IF(C113&lt;=0,0,C113/C104)</f>
        <v>165.76868829337096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1827</v>
      </c>
      <c r="B115" s="381" t="s">
        <v>447</v>
      </c>
      <c r="C115" s="402">
        <f ca="1">ROUND(IF(C113&lt;=0,0,IF(C114&gt;=200%,C113*60%-C104*35%,IF(C114&gt;=100%,C113*50%-C104*15%,IF(C114&gt;=50%,C113*40%-C104*5%,IF(C114&lt;50%,C113*30%,0))))),0)</f>
        <v>70270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4" sqref="E54"/>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7" t="s">
        <v>461</v>
      </c>
      <c r="B2" s="502">
        <f>F68</f>
        <v>125021</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1674</v>
      </c>
      <c r="B3" s="504">
        <f>ROUND(B2*10000/'数据-汇总表'!E3,0)</f>
        <v>4528</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5" t="s">
        <v>514</v>
      </c>
      <c r="B4" s="421">
        <f>IF(B48="单位面积地价",C50,ROUND(B2*10000/'数据-汇总表'!D3,0))</f>
        <v>16663</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1111</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34" t="s">
        <v>516</v>
      </c>
      <c r="D6" s="3535"/>
      <c r="E6" s="3534" t="s">
        <v>517</v>
      </c>
      <c r="F6" s="3535"/>
      <c r="G6" s="3534" t="s">
        <v>518</v>
      </c>
      <c r="H6" s="3535"/>
      <c r="I6" s="3534" t="s">
        <v>519</v>
      </c>
      <c r="J6" s="3535"/>
      <c r="K6" s="508" t="s">
        <v>520</v>
      </c>
      <c r="L6" s="2014"/>
      <c r="M6" s="2013"/>
      <c r="N6" s="2013"/>
      <c r="O6" s="2015"/>
      <c r="P6" s="3536" t="s">
        <v>521</v>
      </c>
      <c r="Q6" s="3537"/>
      <c r="R6" s="3522" t="s">
        <v>517</v>
      </c>
      <c r="S6" s="3523"/>
      <c r="T6" s="3522" t="s">
        <v>518</v>
      </c>
      <c r="U6" s="3523"/>
      <c r="V6" s="3542" t="s">
        <v>519</v>
      </c>
      <c r="W6" s="3542"/>
      <c r="X6" s="1500"/>
      <c r="Y6" s="3522" t="s">
        <v>521</v>
      </c>
      <c r="Z6" s="3523"/>
      <c r="AA6" s="3517" t="s">
        <v>517</v>
      </c>
      <c r="AB6" s="3518" t="s">
        <v>518</v>
      </c>
      <c r="AC6" s="3517" t="s">
        <v>519</v>
      </c>
    </row>
    <row r="7" spans="1:30" ht="31.5" customHeight="1">
      <c r="A7" s="509"/>
      <c r="B7" s="510"/>
      <c r="C7" s="3545" t="s">
        <v>2897</v>
      </c>
      <c r="D7" s="3546"/>
      <c r="E7" s="3545" t="str">
        <f>土地案例!A3</f>
        <v>贵阳市观山湖区宾阳大道与观山西路交叉口东南侧</v>
      </c>
      <c r="F7" s="3546"/>
      <c r="G7" s="3545" t="str">
        <f>土地案例!A8</f>
        <v>观山湖区观山西路北侧、诚信南路西侧</v>
      </c>
      <c r="H7" s="3546"/>
      <c r="I7" s="3545" t="str">
        <f>土地案例!A9</f>
        <v>观山湖区观山西路北侧、诚信南路西侧</v>
      </c>
      <c r="J7" s="3546"/>
      <c r="K7" s="508"/>
      <c r="L7" s="2014"/>
      <c r="M7" s="2013"/>
      <c r="N7" s="2013"/>
      <c r="O7" s="2015"/>
      <c r="P7" s="3538"/>
      <c r="Q7" s="3539"/>
      <c r="R7" s="3524"/>
      <c r="S7" s="3525"/>
      <c r="T7" s="3524"/>
      <c r="U7" s="3525"/>
      <c r="V7" s="3542"/>
      <c r="W7" s="3542"/>
      <c r="X7" s="1500"/>
      <c r="Y7" s="3524"/>
      <c r="Z7" s="3525"/>
      <c r="AA7" s="3518"/>
      <c r="AB7" s="3518"/>
      <c r="AC7" s="3518"/>
    </row>
    <row r="8" spans="1:30" ht="21" thickBot="1">
      <c r="A8" s="509"/>
      <c r="B8" s="510"/>
      <c r="C8" s="3547" t="s">
        <v>2901</v>
      </c>
      <c r="D8" s="3548"/>
      <c r="E8" s="3547" t="s">
        <v>2901</v>
      </c>
      <c r="F8" s="3548"/>
      <c r="G8" s="3543" t="s">
        <v>2901</v>
      </c>
      <c r="H8" s="3544"/>
      <c r="I8" s="3543" t="s">
        <v>2901</v>
      </c>
      <c r="J8" s="3544"/>
      <c r="K8" s="508" t="s">
        <v>522</v>
      </c>
      <c r="L8" s="2014"/>
      <c r="M8" s="2013"/>
      <c r="N8" s="2013"/>
      <c r="O8" s="2015"/>
      <c r="P8" s="3540"/>
      <c r="Q8" s="3541"/>
      <c r="R8" s="3524"/>
      <c r="S8" s="3525"/>
      <c r="T8" s="3526"/>
      <c r="U8" s="3527"/>
      <c r="V8" s="3542"/>
      <c r="W8" s="3542"/>
      <c r="X8" s="1500"/>
      <c r="Y8" s="3526"/>
      <c r="Z8" s="3527"/>
      <c r="AA8" s="3519"/>
      <c r="AB8" s="3519"/>
      <c r="AC8" s="3519"/>
    </row>
    <row r="9" spans="1:30" s="1202" customFormat="1" ht="21" thickBot="1">
      <c r="A9" s="2628"/>
      <c r="B9" s="2635" t="s">
        <v>523</v>
      </c>
      <c r="C9" s="2627">
        <f>'数据-取费表'!B2</f>
        <v>44077</v>
      </c>
      <c r="D9" s="514">
        <v>100</v>
      </c>
      <c r="E9" s="515" t="str">
        <f>土地案例!J3</f>
        <v>2020-07-17</v>
      </c>
      <c r="F9" s="516">
        <f>SUMIF(72:72,YEAR(E9)&amp;"-"&amp;INT((MONTH(E9)+2)/3),73:73)</f>
        <v>100</v>
      </c>
      <c r="G9" s="517" t="str">
        <f>土地案例!J8</f>
        <v>2018-08-31</v>
      </c>
      <c r="H9" s="514">
        <f>SUMIF(72:72,YEAR(G9)&amp;"-"&amp;INT((MONTH(G9)+2)/3),73:73)</f>
        <v>96</v>
      </c>
      <c r="I9" s="517" t="str">
        <f>土地案例!J9</f>
        <v>2018-08-31</v>
      </c>
      <c r="J9" s="514">
        <f>SUMIF(72:72,YEAR(I9)&amp;"-"&amp;INT((MONTH(I9)+2)/3),73:73)</f>
        <v>96</v>
      </c>
      <c r="K9" s="518"/>
      <c r="L9" s="2016"/>
      <c r="M9" s="2013"/>
      <c r="N9" s="2013"/>
      <c r="O9" s="2017"/>
      <c r="P9" s="3520" t="s">
        <v>524</v>
      </c>
      <c r="Q9" s="3529"/>
      <c r="R9" s="1501" t="s">
        <v>8</v>
      </c>
      <c r="S9" s="1502">
        <f t="shared" ref="S9:S17" si="0">F9</f>
        <v>100</v>
      </c>
      <c r="T9" s="1501" t="s">
        <v>8</v>
      </c>
      <c r="U9" s="1502">
        <f t="shared" ref="U9:U17" si="1">H9</f>
        <v>96</v>
      </c>
      <c r="V9" s="1501" t="s">
        <v>8</v>
      </c>
      <c r="W9" s="1502">
        <f t="shared" ref="W9:W17" si="2">J9</f>
        <v>96</v>
      </c>
      <c r="X9" s="1503"/>
      <c r="Y9" s="3520" t="s">
        <v>524</v>
      </c>
      <c r="Z9" s="3521"/>
      <c r="AA9" s="1504">
        <f>D9/F9</f>
        <v>1</v>
      </c>
      <c r="AB9" s="1504">
        <f>D9/H9</f>
        <v>1.0416666666666667</v>
      </c>
      <c r="AC9" s="1504">
        <f>D9/J9</f>
        <v>1.0416666666666667</v>
      </c>
    </row>
    <row r="10" spans="1:30" s="1202" customFormat="1" ht="21" thickBot="1">
      <c r="A10" s="2629"/>
      <c r="B10" s="2636" t="s">
        <v>525</v>
      </c>
      <c r="C10" s="845" t="s">
        <v>526</v>
      </c>
      <c r="D10" s="514">
        <v>100</v>
      </c>
      <c r="E10" s="519" t="s">
        <v>3052</v>
      </c>
      <c r="F10" s="516">
        <f>SUMIF(75:75,E10,76:76)-SUMIF(75:75,C10,76:76)+100</f>
        <v>100</v>
      </c>
      <c r="G10" s="519" t="s">
        <v>3052</v>
      </c>
      <c r="H10" s="514">
        <f>SUMIF(75:75,G10,76:76)-SUMIF(75:75,C10,76:76)+100</f>
        <v>100</v>
      </c>
      <c r="I10" s="519" t="s">
        <v>3052</v>
      </c>
      <c r="J10" s="514">
        <f>SUMIF(75:75,I10,76:76)-SUMIF(75:75,C10,76:76)+100</f>
        <v>100</v>
      </c>
      <c r="K10" s="518"/>
      <c r="L10" s="2016"/>
      <c r="M10" s="2013"/>
      <c r="N10" s="2013"/>
      <c r="O10" s="2017"/>
      <c r="P10" s="3520" t="s">
        <v>527</v>
      </c>
      <c r="Q10" s="3521"/>
      <c r="R10" s="1501" t="s">
        <v>8</v>
      </c>
      <c r="S10" s="1502">
        <f t="shared" si="0"/>
        <v>100</v>
      </c>
      <c r="T10" s="1501" t="s">
        <v>8</v>
      </c>
      <c r="U10" s="1502">
        <f t="shared" si="1"/>
        <v>100</v>
      </c>
      <c r="V10" s="1501" t="s">
        <v>8</v>
      </c>
      <c r="W10" s="1502">
        <f t="shared" si="2"/>
        <v>100</v>
      </c>
      <c r="X10" s="1503"/>
      <c r="Y10" s="3520" t="s">
        <v>527</v>
      </c>
      <c r="Z10" s="3521"/>
      <c r="AA10" s="1504">
        <f t="shared" ref="AA10:AA47" si="3">D10/F10</f>
        <v>1</v>
      </c>
      <c r="AB10" s="1504">
        <f t="shared" ref="AB10:AB47" si="4">D10/H10</f>
        <v>1</v>
      </c>
      <c r="AC10" s="1504">
        <f t="shared" ref="AC10:AC47" si="5">D10/J10</f>
        <v>1</v>
      </c>
    </row>
    <row r="11" spans="1:30" s="1202" customFormat="1" ht="20.25">
      <c r="A11" s="2630"/>
      <c r="B11" s="2637" t="s">
        <v>2736</v>
      </c>
      <c r="C11" s="2624" t="s">
        <v>3134</v>
      </c>
      <c r="D11" s="252">
        <v>100</v>
      </c>
      <c r="E11" s="2624" t="s">
        <v>3134</v>
      </c>
      <c r="F11" s="252">
        <f>SUMIF(77:77,E11,78:78)-SUMIF(77:77,C11,78:78)+100</f>
        <v>100</v>
      </c>
      <c r="G11" s="2624" t="s">
        <v>3134</v>
      </c>
      <c r="H11" s="252">
        <f>SUMIF(77:77,G11,78:78)-SUMIF(77:77,C11,78:78)+100</f>
        <v>100</v>
      </c>
      <c r="I11" s="2624" t="s">
        <v>3134</v>
      </c>
      <c r="J11" s="252">
        <f>SUMIF(77:77,I11,78:78)-SUMIF(77:77,C11,78:78)+100</f>
        <v>100</v>
      </c>
      <c r="K11" s="518"/>
      <c r="L11" s="2016"/>
      <c r="M11" s="2013"/>
      <c r="N11" s="2013"/>
      <c r="O11" s="2018"/>
      <c r="P11" s="3528" t="s">
        <v>529</v>
      </c>
      <c r="Q11" s="1133" t="str">
        <f t="shared" ref="Q11:Q17" si="6">B11</f>
        <v>用途</v>
      </c>
      <c r="R11" s="1501" t="s">
        <v>8</v>
      </c>
      <c r="S11" s="1502">
        <f t="shared" si="0"/>
        <v>100</v>
      </c>
      <c r="T11" s="1501" t="s">
        <v>8</v>
      </c>
      <c r="U11" s="1502">
        <f t="shared" si="1"/>
        <v>100</v>
      </c>
      <c r="V11" s="1501" t="s">
        <v>8</v>
      </c>
      <c r="W11" s="1502">
        <f t="shared" si="2"/>
        <v>100</v>
      </c>
      <c r="X11" s="1503"/>
      <c r="Y11" s="3479" t="s">
        <v>530</v>
      </c>
      <c r="Z11" s="1132" t="str">
        <f t="shared" ref="Z11:Z17" si="7">Q11</f>
        <v>用途</v>
      </c>
      <c r="AA11" s="1504">
        <f t="shared" si="3"/>
        <v>1</v>
      </c>
      <c r="AB11" s="1504">
        <f t="shared" si="4"/>
        <v>1</v>
      </c>
      <c r="AC11" s="1504">
        <f t="shared" si="5"/>
        <v>1</v>
      </c>
    </row>
    <row r="12" spans="1:30" s="1291" customFormat="1" ht="27">
      <c r="A12" s="2631"/>
      <c r="B12" s="2636" t="s">
        <v>2737</v>
      </c>
      <c r="C12" s="898"/>
      <c r="D12" s="253">
        <v>100</v>
      </c>
      <c r="E12" s="523"/>
      <c r="F12" s="253">
        <f>ROUND(100/'数据-取费表'!G16,0)</f>
        <v>105</v>
      </c>
      <c r="G12" s="524"/>
      <c r="H12" s="253">
        <f>ROUND(100/'数据-取费表'!G16,0)</f>
        <v>105</v>
      </c>
      <c r="I12" s="524"/>
      <c r="J12" s="253">
        <f>ROUND(100/'数据-取费表'!G16,0)</f>
        <v>105</v>
      </c>
      <c r="K12" s="525"/>
      <c r="L12" s="2019"/>
      <c r="M12" s="2013"/>
      <c r="N12" s="2013"/>
      <c r="O12" s="2020"/>
      <c r="P12" s="3528"/>
      <c r="Q12" s="1133" t="str">
        <f t="shared" si="6"/>
        <v>土地使用年限（年）</v>
      </c>
      <c r="R12" s="1501" t="s">
        <v>8</v>
      </c>
      <c r="S12" s="1502">
        <f t="shared" si="0"/>
        <v>105</v>
      </c>
      <c r="T12" s="1501" t="s">
        <v>8</v>
      </c>
      <c r="U12" s="1502">
        <f t="shared" si="1"/>
        <v>105</v>
      </c>
      <c r="V12" s="1501" t="s">
        <v>8</v>
      </c>
      <c r="W12" s="1502">
        <f t="shared" si="2"/>
        <v>105</v>
      </c>
      <c r="X12" s="1503"/>
      <c r="Y12" s="3479"/>
      <c r="Z12" s="1132" t="str">
        <f t="shared" si="7"/>
        <v>土地使用年限（年）</v>
      </c>
      <c r="AA12" s="1504">
        <f t="shared" si="3"/>
        <v>0.95238095238095233</v>
      </c>
      <c r="AB12" s="1504">
        <f t="shared" si="4"/>
        <v>0.95238095238095233</v>
      </c>
      <c r="AC12" s="1504">
        <f t="shared" si="5"/>
        <v>0.95238095238095233</v>
      </c>
    </row>
    <row r="13" spans="1:30" ht="20.25">
      <c r="A13" s="2632"/>
      <c r="B13" s="2636" t="s">
        <v>2738</v>
      </c>
      <c r="C13" s="528">
        <v>2.81</v>
      </c>
      <c r="D13" s="253">
        <v>100</v>
      </c>
      <c r="E13" s="527">
        <v>2.5</v>
      </c>
      <c r="F13" s="253">
        <f>LOOKUP(E13,82:82,83:83)-LOOKUP(C13,82:82,83:83)+100</f>
        <v>100</v>
      </c>
      <c r="G13" s="528">
        <v>2.5</v>
      </c>
      <c r="H13" s="253">
        <f>LOOKUP(G13,82:82,83:83)-LOOKUP(C13,82:82,83:83)+100</f>
        <v>100</v>
      </c>
      <c r="I13" s="527">
        <v>2.5</v>
      </c>
      <c r="J13" s="253">
        <f>LOOKUP(I13,82:82,83:83)-LOOKUP(C13,82:82,83:83)+100</f>
        <v>100</v>
      </c>
      <c r="K13" s="529">
        <v>2</v>
      </c>
      <c r="L13" s="2021"/>
      <c r="M13" s="2013"/>
      <c r="N13" s="2013"/>
      <c r="O13" s="2022"/>
      <c r="P13" s="3528"/>
      <c r="Q13" s="1133" t="str">
        <f t="shared" si="6"/>
        <v>容积率</v>
      </c>
      <c r="R13" s="1501" t="s">
        <v>8</v>
      </c>
      <c r="S13" s="1502">
        <f t="shared" si="0"/>
        <v>100</v>
      </c>
      <c r="T13" s="1501" t="s">
        <v>8</v>
      </c>
      <c r="U13" s="1502">
        <f t="shared" si="1"/>
        <v>100</v>
      </c>
      <c r="V13" s="1501" t="s">
        <v>8</v>
      </c>
      <c r="W13" s="1502">
        <f t="shared" si="2"/>
        <v>100</v>
      </c>
      <c r="X13" s="1503"/>
      <c r="Y13" s="3479"/>
      <c r="Z13" s="1132" t="str">
        <f t="shared" si="7"/>
        <v>容积率</v>
      </c>
      <c r="AA13" s="1504">
        <f t="shared" si="3"/>
        <v>1</v>
      </c>
      <c r="AB13" s="1504">
        <f t="shared" si="4"/>
        <v>1</v>
      </c>
      <c r="AC13" s="1504">
        <f t="shared" si="5"/>
        <v>1</v>
      </c>
    </row>
    <row r="14" spans="1:30" s="1202" customFormat="1" ht="20.25">
      <c r="A14" s="2629"/>
      <c r="B14" s="2638" t="s">
        <v>2739</v>
      </c>
      <c r="C14" s="2625"/>
      <c r="D14" s="532">
        <v>100</v>
      </c>
      <c r="E14" s="1324"/>
      <c r="F14" s="253">
        <f>SUMIF(84:84,E14,85:85)-SUMIF(84:84,C14,85:85)+100</f>
        <v>100</v>
      </c>
      <c r="G14" s="524"/>
      <c r="H14" s="253">
        <f>SUMIF(84:84,G14,85:85)-SUMIF(84:84,C14,85:85)+100</f>
        <v>100</v>
      </c>
      <c r="I14" s="523"/>
      <c r="J14" s="253">
        <f>SUMIF(84:84,I14,85:85)-SUMIF(84:84,C14,85:85)+100</f>
        <v>100</v>
      </c>
      <c r="K14" s="525"/>
      <c r="L14" s="2016"/>
      <c r="M14" s="2013"/>
      <c r="N14" s="2013"/>
      <c r="O14" s="2018"/>
      <c r="P14" s="3528"/>
      <c r="Q14" s="1133" t="str">
        <f t="shared" si="6"/>
        <v>配建</v>
      </c>
      <c r="R14" s="1501" t="s">
        <v>8</v>
      </c>
      <c r="S14" s="1502">
        <f t="shared" si="0"/>
        <v>100</v>
      </c>
      <c r="T14" s="1501" t="s">
        <v>8</v>
      </c>
      <c r="U14" s="1502">
        <f t="shared" si="1"/>
        <v>100</v>
      </c>
      <c r="V14" s="1501" t="s">
        <v>8</v>
      </c>
      <c r="W14" s="1502">
        <f t="shared" si="2"/>
        <v>100</v>
      </c>
      <c r="X14" s="1503"/>
      <c r="Y14" s="3479"/>
      <c r="Z14" s="1132" t="str">
        <f t="shared" si="7"/>
        <v>配建</v>
      </c>
      <c r="AA14" s="1504">
        <f>D14/F14</f>
        <v>1</v>
      </c>
      <c r="AB14" s="1504">
        <f>D14/H14</f>
        <v>1</v>
      </c>
      <c r="AC14" s="1504">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28"/>
      <c r="Q15" s="1133">
        <f t="shared" si="6"/>
        <v>111</v>
      </c>
      <c r="R15" s="1501" t="s">
        <v>8</v>
      </c>
      <c r="S15" s="1502">
        <f t="shared" si="0"/>
        <v>100</v>
      </c>
      <c r="T15" s="1501" t="s">
        <v>8</v>
      </c>
      <c r="U15" s="1502">
        <f t="shared" si="1"/>
        <v>100</v>
      </c>
      <c r="V15" s="1501" t="s">
        <v>8</v>
      </c>
      <c r="W15" s="1502">
        <f t="shared" si="2"/>
        <v>100</v>
      </c>
      <c r="X15" s="1503"/>
      <c r="Y15" s="3479"/>
      <c r="Z15" s="1132">
        <f t="shared" si="7"/>
        <v>111</v>
      </c>
      <c r="AA15" s="1504">
        <f>D15/F15</f>
        <v>1</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28"/>
      <c r="Q16" s="1133">
        <f t="shared" si="6"/>
        <v>111</v>
      </c>
      <c r="R16" s="1501" t="s">
        <v>8</v>
      </c>
      <c r="S16" s="1502">
        <f t="shared" si="0"/>
        <v>100</v>
      </c>
      <c r="T16" s="1501" t="s">
        <v>8</v>
      </c>
      <c r="U16" s="1502">
        <f t="shared" si="1"/>
        <v>100</v>
      </c>
      <c r="V16" s="1501" t="s">
        <v>8</v>
      </c>
      <c r="W16" s="1502">
        <f t="shared" si="2"/>
        <v>100</v>
      </c>
      <c r="X16" s="1503"/>
      <c r="Y16" s="3479"/>
      <c r="Z16" s="1132">
        <f t="shared" si="7"/>
        <v>111</v>
      </c>
      <c r="AA16" s="1504">
        <f>D16/F16</f>
        <v>1</v>
      </c>
      <c r="AB16" s="1504">
        <f>D16/H16</f>
        <v>1</v>
      </c>
      <c r="AC16" s="1504">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98</v>
      </c>
      <c r="G17" s="544"/>
      <c r="H17" s="543">
        <f>SUMIF(90:90,G18,91:91)-SUMIF(90:90,C18,91:91)+100</f>
        <v>100</v>
      </c>
      <c r="I17" s="546"/>
      <c r="J17" s="543">
        <f>SUMIF(90:90,I18,91:91)-SUMIF(90:90,C18,91:91)+100</f>
        <v>100</v>
      </c>
      <c r="K17" s="3318">
        <v>2</v>
      </c>
      <c r="L17" s="2023"/>
      <c r="M17" s="2013"/>
      <c r="N17" s="2013"/>
      <c r="O17" s="2022"/>
      <c r="P17" s="3530" t="s">
        <v>534</v>
      </c>
      <c r="Q17" s="1505" t="str">
        <f t="shared" si="6"/>
        <v>居住社区成熟度</v>
      </c>
      <c r="R17" s="1506" t="s">
        <v>8</v>
      </c>
      <c r="S17" s="1507">
        <f t="shared" si="0"/>
        <v>98</v>
      </c>
      <c r="T17" s="1506" t="s">
        <v>8</v>
      </c>
      <c r="U17" s="1507">
        <f t="shared" si="1"/>
        <v>100</v>
      </c>
      <c r="V17" s="1506" t="s">
        <v>8</v>
      </c>
      <c r="W17" s="1507">
        <f t="shared" si="2"/>
        <v>100</v>
      </c>
      <c r="X17" s="1500"/>
      <c r="Y17" s="3530" t="s">
        <v>534</v>
      </c>
      <c r="Z17" s="1508" t="str">
        <f t="shared" si="7"/>
        <v>居住社区成熟度</v>
      </c>
      <c r="AA17" s="1509">
        <f t="shared" si="3"/>
        <v>1.0204081632653061</v>
      </c>
      <c r="AB17" s="1509">
        <f t="shared" si="4"/>
        <v>1</v>
      </c>
      <c r="AC17" s="1509">
        <f t="shared" si="5"/>
        <v>1</v>
      </c>
    </row>
    <row r="18" spans="1:29" ht="20.25">
      <c r="A18" s="526"/>
      <c r="B18" s="547"/>
      <c r="C18" s="548" t="s">
        <v>3143</v>
      </c>
      <c r="D18" s="551"/>
      <c r="E18" s="552" t="s">
        <v>3145</v>
      </c>
      <c r="F18" s="549"/>
      <c r="G18" s="550" t="s">
        <v>3143</v>
      </c>
      <c r="H18" s="553"/>
      <c r="I18" s="552" t="s">
        <v>3143</v>
      </c>
      <c r="J18" s="549"/>
      <c r="K18" s="525"/>
      <c r="L18" s="2023"/>
      <c r="M18" s="2013"/>
      <c r="N18" s="2013"/>
      <c r="O18" s="2022"/>
      <c r="P18" s="3531"/>
      <c r="Q18" s="1505"/>
      <c r="R18" s="1506"/>
      <c r="S18" s="1507"/>
      <c r="T18" s="1506"/>
      <c r="U18" s="1507"/>
      <c r="V18" s="1506"/>
      <c r="W18" s="1507"/>
      <c r="X18" s="1500"/>
      <c r="Y18" s="3531"/>
      <c r="Z18" s="1508"/>
      <c r="AA18" s="1509">
        <v>1</v>
      </c>
      <c r="AB18" s="1509">
        <v>1</v>
      </c>
      <c r="AC18" s="1509">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98</v>
      </c>
      <c r="G19" s="556"/>
      <c r="H19" s="559">
        <f>SUMIF(92:92,G20,93:93)-SUMIF(92:92,C20,93:93)+100</f>
        <v>100</v>
      </c>
      <c r="I19" s="558"/>
      <c r="J19" s="559">
        <f>SUMIF(92:92,I20,93:93)-SUMIF(92:92,C20,93:93)+100</f>
        <v>100</v>
      </c>
      <c r="K19" s="529">
        <v>2</v>
      </c>
      <c r="L19" s="2023"/>
      <c r="M19" s="2013"/>
      <c r="N19" s="2013"/>
      <c r="O19" s="2022"/>
      <c r="P19" s="3531"/>
      <c r="Q19" s="1505" t="str">
        <f>B19</f>
        <v>商业繁华度</v>
      </c>
      <c r="R19" s="1506" t="s">
        <v>8</v>
      </c>
      <c r="S19" s="1507">
        <f>F19</f>
        <v>98</v>
      </c>
      <c r="T19" s="1506" t="s">
        <v>8</v>
      </c>
      <c r="U19" s="1507">
        <f>H19</f>
        <v>100</v>
      </c>
      <c r="V19" s="1506" t="s">
        <v>8</v>
      </c>
      <c r="W19" s="1507">
        <f>J19</f>
        <v>100</v>
      </c>
      <c r="X19" s="1500"/>
      <c r="Y19" s="3531"/>
      <c r="Z19" s="1508" t="str">
        <f>Q19</f>
        <v>商业繁华度</v>
      </c>
      <c r="AA19" s="1509">
        <f t="shared" si="3"/>
        <v>1.0204081632653061</v>
      </c>
      <c r="AB19" s="1509">
        <f t="shared" si="4"/>
        <v>1</v>
      </c>
      <c r="AC19" s="1509">
        <f t="shared" si="5"/>
        <v>1</v>
      </c>
    </row>
    <row r="20" spans="1:29" ht="20.25">
      <c r="A20" s="526"/>
      <c r="B20" s="560"/>
      <c r="C20" s="561" t="s">
        <v>3143</v>
      </c>
      <c r="D20" s="557"/>
      <c r="E20" s="563" t="s">
        <v>3145</v>
      </c>
      <c r="F20" s="553"/>
      <c r="G20" s="562" t="s">
        <v>3143</v>
      </c>
      <c r="H20" s="549"/>
      <c r="I20" s="563" t="s">
        <v>3143</v>
      </c>
      <c r="J20" s="549"/>
      <c r="K20" s="525"/>
      <c r="L20" s="2023"/>
      <c r="M20" s="2013"/>
      <c r="N20" s="2013"/>
      <c r="O20" s="2022"/>
      <c r="P20" s="3531"/>
      <c r="Q20" s="1505"/>
      <c r="R20" s="1506"/>
      <c r="S20" s="1507"/>
      <c r="T20" s="1506"/>
      <c r="U20" s="1507"/>
      <c r="V20" s="1506"/>
      <c r="W20" s="1507"/>
      <c r="X20" s="1500"/>
      <c r="Y20" s="3531"/>
      <c r="Z20" s="1508"/>
      <c r="AA20" s="1509">
        <v>1</v>
      </c>
      <c r="AB20" s="1509">
        <v>1</v>
      </c>
      <c r="AC20" s="1509">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31"/>
      <c r="Q21" s="1505" t="str">
        <f>B21</f>
        <v>办公集聚程度</v>
      </c>
      <c r="R21" s="1506" t="s">
        <v>8</v>
      </c>
      <c r="S21" s="1507">
        <f>F21</f>
        <v>100</v>
      </c>
      <c r="T21" s="1506" t="s">
        <v>8</v>
      </c>
      <c r="U21" s="1507">
        <f>H21</f>
        <v>100</v>
      </c>
      <c r="V21" s="1506" t="s">
        <v>8</v>
      </c>
      <c r="W21" s="1507">
        <f>J21</f>
        <v>100</v>
      </c>
      <c r="X21" s="1500"/>
      <c r="Y21" s="3531"/>
      <c r="Z21" s="1508" t="str">
        <f>Q21</f>
        <v>办公集聚程度</v>
      </c>
      <c r="AA21" s="1509">
        <f t="shared" si="3"/>
        <v>1</v>
      </c>
      <c r="AB21" s="1509">
        <f t="shared" si="4"/>
        <v>1</v>
      </c>
      <c r="AC21" s="1509">
        <f t="shared" si="5"/>
        <v>1</v>
      </c>
    </row>
    <row r="22" spans="1:29" ht="20.25">
      <c r="A22" s="526"/>
      <c r="B22" s="560"/>
      <c r="C22" s="548"/>
      <c r="D22" s="551"/>
      <c r="E22" s="552"/>
      <c r="F22" s="549"/>
      <c r="G22" s="550"/>
      <c r="H22" s="549"/>
      <c r="I22" s="552"/>
      <c r="J22" s="549"/>
      <c r="K22" s="525"/>
      <c r="L22" s="2023"/>
      <c r="M22" s="2013"/>
      <c r="N22" s="2013"/>
      <c r="O22" s="2022"/>
      <c r="P22" s="3531"/>
      <c r="Q22" s="1505"/>
      <c r="R22" s="1506"/>
      <c r="S22" s="1507"/>
      <c r="T22" s="1506"/>
      <c r="U22" s="1507"/>
      <c r="V22" s="1506"/>
      <c r="W22" s="1507"/>
      <c r="X22" s="1500"/>
      <c r="Y22" s="3531"/>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023"/>
      <c r="M23" s="2013"/>
      <c r="N23" s="2013"/>
      <c r="O23" s="2022"/>
      <c r="P23" s="3531"/>
      <c r="Q23" s="1505" t="str">
        <f>B23</f>
        <v>交通便捷度</v>
      </c>
      <c r="R23" s="1506" t="s">
        <v>8</v>
      </c>
      <c r="S23" s="1507">
        <f>F23</f>
        <v>100</v>
      </c>
      <c r="T23" s="1506" t="s">
        <v>8</v>
      </c>
      <c r="U23" s="1507">
        <f>H23</f>
        <v>102</v>
      </c>
      <c r="V23" s="1506" t="s">
        <v>8</v>
      </c>
      <c r="W23" s="1507">
        <f>J23</f>
        <v>102</v>
      </c>
      <c r="X23" s="1500"/>
      <c r="Y23" s="3531"/>
      <c r="Z23" s="1508" t="str">
        <f>Q23</f>
        <v>交通便捷度</v>
      </c>
      <c r="AA23" s="1509">
        <f t="shared" si="3"/>
        <v>1</v>
      </c>
      <c r="AB23" s="1509">
        <f t="shared" si="4"/>
        <v>0.98039215686274506</v>
      </c>
      <c r="AC23" s="1509">
        <f t="shared" si="5"/>
        <v>0.98039215686274506</v>
      </c>
    </row>
    <row r="24" spans="1:29" ht="20.25">
      <c r="A24" s="526"/>
      <c r="B24" s="572"/>
      <c r="C24" s="548" t="s">
        <v>3143</v>
      </c>
      <c r="D24" s="551"/>
      <c r="E24" s="552" t="s">
        <v>3143</v>
      </c>
      <c r="F24" s="549"/>
      <c r="G24" s="550" t="s">
        <v>3144</v>
      </c>
      <c r="H24" s="549"/>
      <c r="I24" s="552" t="s">
        <v>3144</v>
      </c>
      <c r="J24" s="549"/>
      <c r="K24" s="525"/>
      <c r="L24" s="2023"/>
      <c r="M24" s="2013"/>
      <c r="N24" s="2013"/>
      <c r="O24" s="2022"/>
      <c r="P24" s="3531"/>
      <c r="Q24" s="1505"/>
      <c r="R24" s="1506"/>
      <c r="S24" s="1507"/>
      <c r="T24" s="1506"/>
      <c r="U24" s="1507"/>
      <c r="V24" s="1506"/>
      <c r="W24" s="1507"/>
      <c r="X24" s="1500"/>
      <c r="Y24" s="3531"/>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31"/>
      <c r="Q25" s="1505" t="str">
        <f t="shared" ref="Q25:Q39" si="8">B25</f>
        <v>区域土地利用方向</v>
      </c>
      <c r="R25" s="1506" t="s">
        <v>8</v>
      </c>
      <c r="S25" s="1507">
        <f>F25</f>
        <v>100</v>
      </c>
      <c r="T25" s="1506" t="s">
        <v>8</v>
      </c>
      <c r="U25" s="1507">
        <f>H25</f>
        <v>100</v>
      </c>
      <c r="V25" s="1506" t="s">
        <v>8</v>
      </c>
      <c r="W25" s="1507">
        <f>J25</f>
        <v>100</v>
      </c>
      <c r="X25" s="1500"/>
      <c r="Y25" s="3531"/>
      <c r="Z25" s="1508" t="str">
        <f>Q25</f>
        <v>区域土地利用方向</v>
      </c>
      <c r="AA25" s="1509">
        <f t="shared" si="3"/>
        <v>1</v>
      </c>
      <c r="AB25" s="1509">
        <f t="shared" si="4"/>
        <v>1</v>
      </c>
      <c r="AC25" s="1509">
        <f t="shared" si="5"/>
        <v>1</v>
      </c>
    </row>
    <row r="26" spans="1:29" ht="20.25">
      <c r="A26" s="509"/>
      <c r="B26" s="993"/>
      <c r="C26" s="548"/>
      <c r="D26" s="551"/>
      <c r="E26" s="552"/>
      <c r="F26" s="549"/>
      <c r="G26" s="550"/>
      <c r="H26" s="549"/>
      <c r="I26" s="552"/>
      <c r="J26" s="549"/>
      <c r="K26" s="525"/>
      <c r="L26" s="2023"/>
      <c r="M26" s="2013"/>
      <c r="N26" s="2013"/>
      <c r="O26" s="2022"/>
      <c r="P26" s="3531"/>
      <c r="Q26" s="1505"/>
      <c r="R26" s="1506"/>
      <c r="S26" s="1507"/>
      <c r="T26" s="1506"/>
      <c r="U26" s="1507"/>
      <c r="V26" s="1506"/>
      <c r="W26" s="1507"/>
      <c r="X26" s="1500"/>
      <c r="Y26" s="3531"/>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3"/>
      <c r="M27" s="2013"/>
      <c r="N27" s="2013"/>
      <c r="O27" s="2022"/>
      <c r="P27" s="3531"/>
      <c r="Q27" s="1505" t="str">
        <f t="shared" si="8"/>
        <v>自然及人文环境状况</v>
      </c>
      <c r="R27" s="1506" t="s">
        <v>8</v>
      </c>
      <c r="S27" s="1507">
        <f>F27</f>
        <v>100</v>
      </c>
      <c r="T27" s="1506" t="s">
        <v>8</v>
      </c>
      <c r="U27" s="1507">
        <f>H27</f>
        <v>100</v>
      </c>
      <c r="V27" s="1506" t="s">
        <v>8</v>
      </c>
      <c r="W27" s="1507">
        <f>J27</f>
        <v>100</v>
      </c>
      <c r="X27" s="1500"/>
      <c r="Y27" s="3531"/>
      <c r="Z27" s="1508" t="str">
        <f>Q27</f>
        <v>自然及人文环境状况</v>
      </c>
      <c r="AA27" s="1509">
        <f t="shared" si="3"/>
        <v>1</v>
      </c>
      <c r="AB27" s="1509">
        <f t="shared" si="4"/>
        <v>1</v>
      </c>
      <c r="AC27" s="1509">
        <f t="shared" si="5"/>
        <v>1</v>
      </c>
    </row>
    <row r="28" spans="1:29" ht="20.25">
      <c r="A28" s="509"/>
      <c r="B28" s="560"/>
      <c r="C28" s="548" t="s">
        <v>3144</v>
      </c>
      <c r="D28" s="551"/>
      <c r="E28" s="570" t="s">
        <v>3144</v>
      </c>
      <c r="F28" s="549"/>
      <c r="G28" s="548" t="s">
        <v>3144</v>
      </c>
      <c r="H28" s="549"/>
      <c r="I28" s="570" t="s">
        <v>3144</v>
      </c>
      <c r="J28" s="549"/>
      <c r="K28" s="525"/>
      <c r="L28" s="2023"/>
      <c r="M28" s="2013"/>
      <c r="N28" s="2013"/>
      <c r="O28" s="2022"/>
      <c r="P28" s="3531"/>
      <c r="Q28" s="1505"/>
      <c r="R28" s="1506"/>
      <c r="S28" s="1507"/>
      <c r="T28" s="1506"/>
      <c r="U28" s="1507"/>
      <c r="V28" s="1506"/>
      <c r="W28" s="1507"/>
      <c r="X28" s="1500"/>
      <c r="Y28" s="3531"/>
      <c r="Z28" s="1508"/>
      <c r="AA28" s="1509">
        <v>1</v>
      </c>
      <c r="AB28" s="1509">
        <v>1</v>
      </c>
      <c r="AC28" s="1509">
        <v>1</v>
      </c>
    </row>
    <row r="29" spans="1:29" s="1202" customFormat="1" ht="42.75">
      <c r="A29" s="571"/>
      <c r="B29" s="2434" t="s">
        <v>2529</v>
      </c>
      <c r="C29" s="567" t="str">
        <f>估价对象房地状况!C21</f>
        <v>估价对象所在区域公共配套设施齐备情况</v>
      </c>
      <c r="D29" s="557">
        <v>100</v>
      </c>
      <c r="E29" s="558"/>
      <c r="F29" s="553">
        <f>SUMIF(102:102,E30,103:103)-SUMIF(102:102,C30,103:103)+100</f>
        <v>98</v>
      </c>
      <c r="G29" s="556"/>
      <c r="H29" s="553">
        <f>SUMIF(102:102,G30,103:103)-SUMIF(102:102,C30,103:103)+100</f>
        <v>100</v>
      </c>
      <c r="I29" s="558"/>
      <c r="J29" s="553">
        <f>SUMIF(102:102,I30,103:103)-SUMIF(102:102,C30,103:103)+100</f>
        <v>100</v>
      </c>
      <c r="K29" s="3318">
        <v>2</v>
      </c>
      <c r="L29" s="2016"/>
      <c r="M29" s="2013"/>
      <c r="N29" s="2013"/>
      <c r="O29" s="2018"/>
      <c r="P29" s="3531"/>
      <c r="Q29" s="1133" t="str">
        <f t="shared" si="8"/>
        <v>公共配套设施</v>
      </c>
      <c r="R29" s="1501" t="s">
        <v>8</v>
      </c>
      <c r="S29" s="1502">
        <f>F29</f>
        <v>98</v>
      </c>
      <c r="T29" s="1501" t="s">
        <v>8</v>
      </c>
      <c r="U29" s="1502">
        <f>H29</f>
        <v>100</v>
      </c>
      <c r="V29" s="1501" t="s">
        <v>8</v>
      </c>
      <c r="W29" s="1502">
        <f>J29</f>
        <v>100</v>
      </c>
      <c r="X29" s="1503"/>
      <c r="Y29" s="3531"/>
      <c r="Z29" s="1132" t="str">
        <f>Q29</f>
        <v>公共配套设施</v>
      </c>
      <c r="AA29" s="1509">
        <f>D29/F29</f>
        <v>1.0204081632653061</v>
      </c>
      <c r="AB29" s="1509">
        <f>D29/H29</f>
        <v>1</v>
      </c>
      <c r="AC29" s="1509">
        <f>D29/J29</f>
        <v>1</v>
      </c>
    </row>
    <row r="30" spans="1:29" s="1202" customFormat="1" ht="20.25">
      <c r="A30" s="571"/>
      <c r="B30" s="560"/>
      <c r="C30" s="573" t="s">
        <v>3143</v>
      </c>
      <c r="D30" s="551"/>
      <c r="E30" s="570" t="s">
        <v>3145</v>
      </c>
      <c r="F30" s="549"/>
      <c r="G30" s="3299" t="s">
        <v>3143</v>
      </c>
      <c r="H30" s="549"/>
      <c r="I30" s="3300" t="s">
        <v>3143</v>
      </c>
      <c r="J30" s="549"/>
      <c r="K30" s="525"/>
      <c r="L30" s="2016"/>
      <c r="M30" s="2013"/>
      <c r="N30" s="2013"/>
      <c r="O30" s="2018"/>
      <c r="P30" s="3531"/>
      <c r="Q30" s="1133"/>
      <c r="R30" s="1501"/>
      <c r="S30" s="1502"/>
      <c r="T30" s="1501"/>
      <c r="U30" s="1502"/>
      <c r="V30" s="1501"/>
      <c r="W30" s="1502"/>
      <c r="X30" s="1503"/>
      <c r="Y30" s="3531"/>
      <c r="Z30" s="1132"/>
      <c r="AA30" s="1509">
        <v>1</v>
      </c>
      <c r="AB30" s="1509">
        <v>1</v>
      </c>
      <c r="AC30" s="1509">
        <v>1</v>
      </c>
    </row>
    <row r="31" spans="1:29" s="1202"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6"/>
      <c r="M31" s="2013"/>
      <c r="N31" s="2013"/>
      <c r="O31" s="2018"/>
      <c r="P31" s="3531"/>
      <c r="Q31" s="2427" t="str">
        <f t="shared" ref="Q31" si="9">B31</f>
        <v>基础设施水平</v>
      </c>
      <c r="R31" s="1501" t="s">
        <v>8</v>
      </c>
      <c r="S31" s="1502">
        <f>F31</f>
        <v>100</v>
      </c>
      <c r="T31" s="1501" t="s">
        <v>8</v>
      </c>
      <c r="U31" s="1502">
        <f>H31</f>
        <v>100</v>
      </c>
      <c r="V31" s="1501" t="s">
        <v>8</v>
      </c>
      <c r="W31" s="1502">
        <f>J31</f>
        <v>100</v>
      </c>
      <c r="X31" s="1503"/>
      <c r="Y31" s="3531"/>
      <c r="Z31" s="2426" t="str">
        <f>Q31</f>
        <v>基础设施水平</v>
      </c>
      <c r="AA31" s="1509">
        <f>D31/F31</f>
        <v>1</v>
      </c>
      <c r="AB31" s="1509">
        <f>D31/H31</f>
        <v>1</v>
      </c>
      <c r="AC31" s="1509">
        <f>D31/J31</f>
        <v>1</v>
      </c>
    </row>
    <row r="32" spans="1:29" s="1202" customFormat="1" ht="20.25">
      <c r="A32" s="571"/>
      <c r="B32" s="560"/>
      <c r="C32" s="573" t="s">
        <v>3152</v>
      </c>
      <c r="D32" s="551"/>
      <c r="E32" s="573" t="s">
        <v>3152</v>
      </c>
      <c r="F32" s="549"/>
      <c r="G32" s="573" t="s">
        <v>3152</v>
      </c>
      <c r="H32" s="549"/>
      <c r="I32" s="573" t="s">
        <v>3152</v>
      </c>
      <c r="J32" s="549"/>
      <c r="K32" s="525"/>
      <c r="L32" s="2016"/>
      <c r="M32" s="2013"/>
      <c r="N32" s="2013"/>
      <c r="O32" s="2018"/>
      <c r="P32" s="3531"/>
      <c r="Q32" s="2427"/>
      <c r="R32" s="1501"/>
      <c r="S32" s="1502"/>
      <c r="T32" s="1501"/>
      <c r="U32" s="1502"/>
      <c r="V32" s="1501"/>
      <c r="W32" s="1502"/>
      <c r="X32" s="1503"/>
      <c r="Y32" s="3531"/>
      <c r="Z32" s="2426"/>
      <c r="AA32" s="1509">
        <v>1</v>
      </c>
      <c r="AB32" s="1509">
        <v>1</v>
      </c>
      <c r="AC32" s="1509">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31"/>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31"/>
      <c r="Z33" s="1508" t="str">
        <f t="shared" ref="Z33:Z47" si="13">Q33</f>
        <v>临街状况</v>
      </c>
      <c r="AA33" s="1509">
        <f t="shared" si="3"/>
        <v>1</v>
      </c>
      <c r="AB33" s="1509">
        <f t="shared" si="4"/>
        <v>1</v>
      </c>
      <c r="AC33" s="1509">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31"/>
      <c r="Q34" s="1505" t="str">
        <f t="shared" si="8"/>
        <v>毗邻道路的类型与等级</v>
      </c>
      <c r="R34" s="1506" t="s">
        <v>8</v>
      </c>
      <c r="S34" s="1507">
        <f t="shared" si="10"/>
        <v>100</v>
      </c>
      <c r="T34" s="1506" t="s">
        <v>8</v>
      </c>
      <c r="U34" s="1507">
        <f t="shared" si="11"/>
        <v>100</v>
      </c>
      <c r="V34" s="1506" t="s">
        <v>8</v>
      </c>
      <c r="W34" s="1507">
        <f t="shared" si="12"/>
        <v>100</v>
      </c>
      <c r="X34" s="1500"/>
      <c r="Y34" s="3531"/>
      <c r="Z34" s="1508" t="str">
        <f t="shared" si="13"/>
        <v>毗邻道路的类型与等级</v>
      </c>
      <c r="AA34" s="1509">
        <f t="shared" si="3"/>
        <v>1</v>
      </c>
      <c r="AB34" s="1509">
        <f t="shared" si="4"/>
        <v>1</v>
      </c>
      <c r="AC34" s="1509">
        <f t="shared" si="5"/>
        <v>1</v>
      </c>
    </row>
    <row r="35" spans="1:29" ht="20.25">
      <c r="A35" s="526"/>
      <c r="B35" s="560"/>
      <c r="C35" s="548"/>
      <c r="D35" s="551"/>
      <c r="E35" s="570"/>
      <c r="F35" s="549"/>
      <c r="G35" s="548"/>
      <c r="H35" s="549"/>
      <c r="I35" s="570"/>
      <c r="J35" s="549"/>
      <c r="K35" s="575"/>
      <c r="L35" s="2023"/>
      <c r="M35" s="2013"/>
      <c r="N35" s="2013"/>
      <c r="O35" s="2022"/>
      <c r="P35" s="3531"/>
      <c r="Q35" s="1505"/>
      <c r="R35" s="1506"/>
      <c r="S35" s="1507"/>
      <c r="T35" s="1506"/>
      <c r="U35" s="1507"/>
      <c r="V35" s="1506"/>
      <c r="W35" s="1507"/>
      <c r="X35" s="1500"/>
      <c r="Y35" s="3531"/>
      <c r="Z35" s="1508"/>
      <c r="AA35" s="1509">
        <v>1</v>
      </c>
      <c r="AB35" s="1509">
        <v>1</v>
      </c>
      <c r="AC35" s="1509">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31"/>
      <c r="Q36" s="1505" t="str">
        <f t="shared" si="8"/>
        <v>土地级别</v>
      </c>
      <c r="R36" s="1506" t="s">
        <v>8</v>
      </c>
      <c r="S36" s="1507">
        <f t="shared" si="10"/>
        <v>100</v>
      </c>
      <c r="T36" s="1506" t="s">
        <v>8</v>
      </c>
      <c r="U36" s="1507">
        <f t="shared" si="11"/>
        <v>100</v>
      </c>
      <c r="V36" s="1506" t="s">
        <v>8</v>
      </c>
      <c r="W36" s="1507">
        <f t="shared" si="12"/>
        <v>100</v>
      </c>
      <c r="X36" s="1500"/>
      <c r="Y36" s="3531"/>
      <c r="Z36" s="1508" t="str">
        <f t="shared" si="13"/>
        <v>土地级别</v>
      </c>
      <c r="AA36" s="1509">
        <f t="shared" si="3"/>
        <v>1</v>
      </c>
      <c r="AB36" s="1509">
        <f t="shared" si="4"/>
        <v>1</v>
      </c>
      <c r="AC36" s="1509">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31"/>
      <c r="Q37" s="1505">
        <f t="shared" si="8"/>
        <v>111</v>
      </c>
      <c r="R37" s="1506" t="s">
        <v>8</v>
      </c>
      <c r="S37" s="1507">
        <f t="shared" si="10"/>
        <v>100</v>
      </c>
      <c r="T37" s="1506" t="s">
        <v>8</v>
      </c>
      <c r="U37" s="1507">
        <f t="shared" si="11"/>
        <v>100</v>
      </c>
      <c r="V37" s="1506" t="s">
        <v>8</v>
      </c>
      <c r="W37" s="1507">
        <f t="shared" si="12"/>
        <v>100</v>
      </c>
      <c r="X37" s="1500"/>
      <c r="Y37" s="3531"/>
      <c r="Z37" s="1508">
        <f t="shared" si="13"/>
        <v>111</v>
      </c>
      <c r="AA37" s="1509">
        <f t="shared" si="3"/>
        <v>1</v>
      </c>
      <c r="AB37" s="1509">
        <f t="shared" si="4"/>
        <v>1</v>
      </c>
      <c r="AC37" s="1509">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32" t="s">
        <v>544</v>
      </c>
      <c r="Q38" s="1505">
        <f t="shared" si="8"/>
        <v>111</v>
      </c>
      <c r="R38" s="1506" t="s">
        <v>8</v>
      </c>
      <c r="S38" s="1507">
        <f t="shared" si="10"/>
        <v>100</v>
      </c>
      <c r="T38" s="1506" t="s">
        <v>8</v>
      </c>
      <c r="U38" s="1507">
        <f t="shared" si="11"/>
        <v>100</v>
      </c>
      <c r="V38" s="1506" t="s">
        <v>8</v>
      </c>
      <c r="W38" s="1507">
        <f t="shared" si="12"/>
        <v>100</v>
      </c>
      <c r="X38" s="1500"/>
      <c r="Y38" s="3533" t="s">
        <v>544</v>
      </c>
      <c r="Z38" s="1508">
        <f t="shared" si="13"/>
        <v>111</v>
      </c>
      <c r="AA38" s="1509">
        <f t="shared" si="3"/>
        <v>1</v>
      </c>
      <c r="AB38" s="1509">
        <f t="shared" si="4"/>
        <v>1</v>
      </c>
      <c r="AC38" s="1509">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33"/>
      <c r="Q39" s="1505">
        <f t="shared" si="8"/>
        <v>111</v>
      </c>
      <c r="R39" s="1510" t="s">
        <v>8</v>
      </c>
      <c r="S39" s="1511">
        <f t="shared" si="10"/>
        <v>100</v>
      </c>
      <c r="T39" s="1510" t="s">
        <v>8</v>
      </c>
      <c r="U39" s="1511">
        <f t="shared" si="11"/>
        <v>100</v>
      </c>
      <c r="V39" s="1510" t="s">
        <v>8</v>
      </c>
      <c r="W39" s="1511">
        <f t="shared" si="12"/>
        <v>100</v>
      </c>
      <c r="X39" s="1512"/>
      <c r="Y39" s="3533"/>
      <c r="Z39" s="1513">
        <f t="shared" si="13"/>
        <v>111</v>
      </c>
      <c r="AA39" s="1509">
        <f t="shared" si="3"/>
        <v>1</v>
      </c>
      <c r="AB39" s="1509">
        <f t="shared" si="4"/>
        <v>1</v>
      </c>
      <c r="AC39" s="1509">
        <f t="shared" si="5"/>
        <v>1</v>
      </c>
    </row>
    <row r="40" spans="1:29" ht="20.25">
      <c r="A40" s="2623" t="s">
        <v>2735</v>
      </c>
      <c r="B40" s="589" t="s">
        <v>546</v>
      </c>
      <c r="C40" s="590">
        <f>'数据-基础表'!A3</f>
        <v>75029.52</v>
      </c>
      <c r="D40" s="591">
        <v>100</v>
      </c>
      <c r="E40" s="590">
        <f>土地案例!$D$3</f>
        <v>45799.4</v>
      </c>
      <c r="F40" s="591">
        <f>LOOKUP(E40,119:119,120:120)-LOOKUP(C40,119:119,120:120)+100</f>
        <v>99</v>
      </c>
      <c r="G40" s="590">
        <f>土地案例!$D$8</f>
        <v>19617.7</v>
      </c>
      <c r="H40" s="591">
        <f>LOOKUP(G40,119:119,120:120)-LOOKUP(C40,119:119,120:120)+100</f>
        <v>97</v>
      </c>
      <c r="I40" s="592">
        <f>土地案例!$D$9</f>
        <v>132095.5</v>
      </c>
      <c r="J40" s="591">
        <f>LOOKUP(I40,119:119,120:120)-LOOKUP(C40,119:119,120:120)+100</f>
        <v>102</v>
      </c>
      <c r="K40" s="575"/>
      <c r="L40" s="2023"/>
      <c r="M40" s="2013"/>
      <c r="N40" s="2013"/>
      <c r="O40" s="2022"/>
      <c r="P40" s="3533"/>
      <c r="Q40" s="1505" t="str">
        <f>B40</f>
        <v>宗地面积</v>
      </c>
      <c r="R40" s="1506" t="s">
        <v>8</v>
      </c>
      <c r="S40" s="1507">
        <f t="shared" si="10"/>
        <v>99</v>
      </c>
      <c r="T40" s="1506" t="s">
        <v>8</v>
      </c>
      <c r="U40" s="1507">
        <f t="shared" si="11"/>
        <v>97</v>
      </c>
      <c r="V40" s="1506" t="s">
        <v>8</v>
      </c>
      <c r="W40" s="1507">
        <f t="shared" si="12"/>
        <v>102</v>
      </c>
      <c r="X40" s="1500"/>
      <c r="Y40" s="3533"/>
      <c r="Z40" s="1508" t="str">
        <f t="shared" si="13"/>
        <v>宗地面积</v>
      </c>
      <c r="AA40" s="1509">
        <f t="shared" si="3"/>
        <v>1.0101010101010102</v>
      </c>
      <c r="AB40" s="1509">
        <f t="shared" si="4"/>
        <v>1.0309278350515463</v>
      </c>
      <c r="AC40" s="1509">
        <f t="shared" si="5"/>
        <v>0.98039215686274506</v>
      </c>
    </row>
    <row r="41" spans="1:29" ht="20.25">
      <c r="A41" s="588"/>
      <c r="B41" s="521" t="s">
        <v>547</v>
      </c>
      <c r="C41" s="593" t="s">
        <v>3140</v>
      </c>
      <c r="D41" s="534">
        <v>100</v>
      </c>
      <c r="E41" s="593" t="s">
        <v>3138</v>
      </c>
      <c r="F41" s="534">
        <f>SUMIF(121:121,E41,122:122)-SUMIF(121:121,C41,122:122)+100</f>
        <v>101</v>
      </c>
      <c r="G41" s="593" t="s">
        <v>3138</v>
      </c>
      <c r="H41" s="534">
        <f>SUMIF(121:121,G41,122:122)-SUMIF(121:121,C41,122:122)+100</f>
        <v>101</v>
      </c>
      <c r="I41" s="593" t="s">
        <v>3138</v>
      </c>
      <c r="J41" s="534">
        <f>SUMIF(121:121,I41,122:122)-SUMIF(121:121,C41,122:122)+100</f>
        <v>101</v>
      </c>
      <c r="K41" s="578">
        <v>1</v>
      </c>
      <c r="L41" s="2023"/>
      <c r="M41" s="2013"/>
      <c r="N41" s="2013"/>
      <c r="O41" s="2022"/>
      <c r="P41" s="3533"/>
      <c r="Q41" s="1505" t="str">
        <f t="shared" ref="Q41:Q47" si="14">B41</f>
        <v>宗地形状</v>
      </c>
      <c r="R41" s="1506" t="s">
        <v>8</v>
      </c>
      <c r="S41" s="1507">
        <f t="shared" si="10"/>
        <v>101</v>
      </c>
      <c r="T41" s="1506" t="s">
        <v>8</v>
      </c>
      <c r="U41" s="1507">
        <f t="shared" si="11"/>
        <v>101</v>
      </c>
      <c r="V41" s="1506" t="s">
        <v>8</v>
      </c>
      <c r="W41" s="1507">
        <f t="shared" si="12"/>
        <v>101</v>
      </c>
      <c r="X41" s="1500"/>
      <c r="Y41" s="3533"/>
      <c r="Z41" s="1508" t="str">
        <f t="shared" si="13"/>
        <v>宗地形状</v>
      </c>
      <c r="AA41" s="1509">
        <f t="shared" si="3"/>
        <v>0.99009900990099009</v>
      </c>
      <c r="AB41" s="1509">
        <f t="shared" si="4"/>
        <v>0.99009900990099009</v>
      </c>
      <c r="AC41" s="1509">
        <f t="shared" si="5"/>
        <v>0.99009900990099009</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33"/>
      <c r="Q42" s="1505" t="str">
        <f t="shared" si="14"/>
        <v>临街宽度及深度</v>
      </c>
      <c r="R42" s="1506" t="s">
        <v>8</v>
      </c>
      <c r="S42" s="1507">
        <f t="shared" si="10"/>
        <v>100</v>
      </c>
      <c r="T42" s="1506" t="s">
        <v>8</v>
      </c>
      <c r="U42" s="1507">
        <f t="shared" si="11"/>
        <v>100</v>
      </c>
      <c r="V42" s="1506" t="s">
        <v>8</v>
      </c>
      <c r="W42" s="1507">
        <f t="shared" si="12"/>
        <v>100</v>
      </c>
      <c r="X42" s="1500"/>
      <c r="Y42" s="3533"/>
      <c r="Z42" s="1508" t="str">
        <f t="shared" si="13"/>
        <v>临街宽度及深度</v>
      </c>
      <c r="AA42" s="1509">
        <f t="shared" si="3"/>
        <v>1</v>
      </c>
      <c r="AB42" s="1509">
        <f t="shared" si="4"/>
        <v>1</v>
      </c>
      <c r="AC42" s="1509">
        <f t="shared" si="5"/>
        <v>1</v>
      </c>
    </row>
    <row r="43" spans="1:29" s="1202" customFormat="1" ht="20.25">
      <c r="A43" s="594"/>
      <c r="B43" s="1808" t="s">
        <v>2408</v>
      </c>
      <c r="C43" s="3319" t="s">
        <v>3152</v>
      </c>
      <c r="D43" s="253">
        <v>100</v>
      </c>
      <c r="E43" s="3319" t="s">
        <v>3156</v>
      </c>
      <c r="F43" s="534">
        <f>SUMIF(125:125,E43,126:126)-SUMIF(125:125,C43,126:126)+100</f>
        <v>97</v>
      </c>
      <c r="G43" s="3319" t="s">
        <v>3156</v>
      </c>
      <c r="H43" s="534">
        <f>SUMIF(125:125,G43,126:126)-SUMIF(125:125,C43,126:126)+100</f>
        <v>97</v>
      </c>
      <c r="I43" s="3319" t="s">
        <v>3156</v>
      </c>
      <c r="J43" s="534">
        <f>SUMIF(125:125,I43,126:126)-SUMIF(125:125,C43,126:126)+100</f>
        <v>97</v>
      </c>
      <c r="K43" s="578">
        <v>1</v>
      </c>
      <c r="L43" s="2016"/>
      <c r="M43" s="2013"/>
      <c r="N43" s="2013"/>
      <c r="O43" s="2018"/>
      <c r="P43" s="3533"/>
      <c r="Q43" s="1505" t="str">
        <f t="shared" si="14"/>
        <v>宗地开发程度</v>
      </c>
      <c r="R43" s="1501" t="s">
        <v>8</v>
      </c>
      <c r="S43" s="1502">
        <f t="shared" si="10"/>
        <v>97</v>
      </c>
      <c r="T43" s="1501" t="s">
        <v>8</v>
      </c>
      <c r="U43" s="1502">
        <f t="shared" si="11"/>
        <v>97</v>
      </c>
      <c r="V43" s="1501" t="s">
        <v>8</v>
      </c>
      <c r="W43" s="1502">
        <f t="shared" si="12"/>
        <v>97</v>
      </c>
      <c r="X43" s="1503"/>
      <c r="Y43" s="3533"/>
      <c r="Z43" s="1132" t="str">
        <f t="shared" si="13"/>
        <v>宗地开发程度</v>
      </c>
      <c r="AA43" s="1504">
        <f t="shared" si="3"/>
        <v>1.0309278350515463</v>
      </c>
      <c r="AB43" s="1504">
        <f t="shared" si="4"/>
        <v>1.0309278350515463</v>
      </c>
      <c r="AC43" s="1504">
        <f t="shared" si="5"/>
        <v>1.0309278350515463</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33" t="s">
        <v>544</v>
      </c>
      <c r="Q44" s="1505" t="str">
        <f t="shared" si="14"/>
        <v>工程地质条件</v>
      </c>
      <c r="R44" s="1506" t="s">
        <v>8</v>
      </c>
      <c r="S44" s="1507">
        <f t="shared" si="10"/>
        <v>100</v>
      </c>
      <c r="T44" s="1506" t="s">
        <v>8</v>
      </c>
      <c r="U44" s="1507">
        <f t="shared" si="11"/>
        <v>100</v>
      </c>
      <c r="V44" s="1506" t="s">
        <v>8</v>
      </c>
      <c r="W44" s="1507">
        <f t="shared" si="12"/>
        <v>100</v>
      </c>
      <c r="X44" s="1500"/>
      <c r="Y44" s="3533" t="s">
        <v>544</v>
      </c>
      <c r="Z44" s="1508" t="str">
        <f t="shared" si="13"/>
        <v>工程地质条件</v>
      </c>
      <c r="AA44" s="1509">
        <f t="shared" si="3"/>
        <v>1</v>
      </c>
      <c r="AB44" s="1509">
        <f t="shared" si="4"/>
        <v>1</v>
      </c>
      <c r="AC44" s="1509">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33"/>
      <c r="Q45" s="1505">
        <f t="shared" si="14"/>
        <v>111</v>
      </c>
      <c r="R45" s="1506" t="s">
        <v>8</v>
      </c>
      <c r="S45" s="1507">
        <f t="shared" si="10"/>
        <v>100</v>
      </c>
      <c r="T45" s="1506" t="s">
        <v>8</v>
      </c>
      <c r="U45" s="1507">
        <f t="shared" si="11"/>
        <v>100</v>
      </c>
      <c r="V45" s="1506" t="s">
        <v>8</v>
      </c>
      <c r="W45" s="1507">
        <f t="shared" si="12"/>
        <v>100</v>
      </c>
      <c r="X45" s="1500"/>
      <c r="Y45" s="3533"/>
      <c r="Z45" s="1508">
        <f t="shared" si="13"/>
        <v>111</v>
      </c>
      <c r="AA45" s="1509">
        <f t="shared" si="3"/>
        <v>1</v>
      </c>
      <c r="AB45" s="1509">
        <f t="shared" si="4"/>
        <v>1</v>
      </c>
      <c r="AC45" s="1509">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33"/>
      <c r="Q46" s="1505">
        <f t="shared" si="14"/>
        <v>111</v>
      </c>
      <c r="R46" s="1506" t="s">
        <v>8</v>
      </c>
      <c r="S46" s="1507">
        <f t="shared" si="10"/>
        <v>100</v>
      </c>
      <c r="T46" s="1506" t="s">
        <v>8</v>
      </c>
      <c r="U46" s="1507">
        <f t="shared" si="11"/>
        <v>100</v>
      </c>
      <c r="V46" s="1506" t="s">
        <v>8</v>
      </c>
      <c r="W46" s="1507">
        <f t="shared" si="12"/>
        <v>100</v>
      </c>
      <c r="X46" s="1500"/>
      <c r="Y46" s="3533"/>
      <c r="Z46" s="1508">
        <f t="shared" si="13"/>
        <v>111</v>
      </c>
      <c r="AA46" s="1509">
        <f t="shared" si="3"/>
        <v>1</v>
      </c>
      <c r="AB46" s="1509">
        <f t="shared" si="4"/>
        <v>1</v>
      </c>
      <c r="AC46" s="1509">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33"/>
      <c r="Q47" s="1505">
        <f t="shared" si="14"/>
        <v>111</v>
      </c>
      <c r="R47" s="1510" t="s">
        <v>8</v>
      </c>
      <c r="S47" s="1511">
        <f t="shared" si="10"/>
        <v>100</v>
      </c>
      <c r="T47" s="1510" t="s">
        <v>8</v>
      </c>
      <c r="U47" s="1511">
        <f t="shared" si="11"/>
        <v>100</v>
      </c>
      <c r="V47" s="1510" t="s">
        <v>8</v>
      </c>
      <c r="W47" s="1511">
        <f t="shared" si="12"/>
        <v>100</v>
      </c>
      <c r="X47" s="1512"/>
      <c r="Y47" s="3533"/>
      <c r="Z47" s="1513">
        <f t="shared" si="13"/>
        <v>111</v>
      </c>
      <c r="AA47" s="1509">
        <f t="shared" si="3"/>
        <v>1</v>
      </c>
      <c r="AB47" s="1509">
        <f t="shared" si="4"/>
        <v>1</v>
      </c>
      <c r="AC47" s="1509">
        <f t="shared" si="5"/>
        <v>1</v>
      </c>
    </row>
    <row r="48" spans="1:29" ht="20.25">
      <c r="A48" s="601" t="s">
        <v>550</v>
      </c>
      <c r="B48" s="602" t="s">
        <v>3058</v>
      </c>
      <c r="C48" s="603" t="s">
        <v>1</v>
      </c>
      <c r="D48" s="604"/>
      <c r="E48" s="605">
        <v>5640</v>
      </c>
      <c r="F48" s="606"/>
      <c r="G48" s="607">
        <v>6000</v>
      </c>
      <c r="H48" s="608"/>
      <c r="I48" s="605">
        <v>6000</v>
      </c>
      <c r="J48" s="608"/>
      <c r="K48" s="1293"/>
      <c r="L48" s="2025"/>
      <c r="M48" s="2013"/>
      <c r="N48" s="2013"/>
      <c r="O48" s="2026"/>
      <c r="P48" s="3528" t="str">
        <f>A48</f>
        <v>成交单价</v>
      </c>
      <c r="Q48" s="3528"/>
      <c r="R48" s="3542">
        <f>E48</f>
        <v>5640</v>
      </c>
      <c r="S48" s="3542"/>
      <c r="T48" s="3542">
        <f>G48</f>
        <v>6000</v>
      </c>
      <c r="U48" s="3542"/>
      <c r="V48" s="3542">
        <f>I48</f>
        <v>6000</v>
      </c>
      <c r="W48" s="3542"/>
      <c r="X48" s="1495"/>
      <c r="Y48" s="1514"/>
      <c r="Z48" s="1495"/>
      <c r="AA48" s="1495"/>
      <c r="AB48" s="1495"/>
      <c r="AC48" s="1495"/>
    </row>
    <row r="49" spans="1:29" ht="21" thickBot="1">
      <c r="A49" s="609" t="s">
        <v>2673</v>
      </c>
      <c r="B49" s="610"/>
      <c r="C49" s="611">
        <f>R50</f>
        <v>5955</v>
      </c>
      <c r="D49" s="3013" t="s">
        <v>2972</v>
      </c>
      <c r="E49" s="611">
        <f>R49</f>
        <v>5884</v>
      </c>
      <c r="F49" s="3014"/>
      <c r="G49" s="612">
        <f>T49</f>
        <v>6141</v>
      </c>
      <c r="H49" s="3014"/>
      <c r="I49" s="611">
        <f>V49</f>
        <v>5840</v>
      </c>
      <c r="J49" s="3014"/>
      <c r="K49" s="3015">
        <f>F49+H49+J49</f>
        <v>0</v>
      </c>
      <c r="L49" s="2025"/>
      <c r="M49" s="2013"/>
      <c r="N49" s="2013"/>
      <c r="O49" s="2026"/>
      <c r="P49" s="3528" t="str">
        <f>A49</f>
        <v>比较价格（元/平方米）</v>
      </c>
      <c r="Q49" s="3528"/>
      <c r="R49" s="3552">
        <f>ROUND(PRODUCT(R48,AA9:AA47),0)</f>
        <v>5884</v>
      </c>
      <c r="S49" s="3552"/>
      <c r="T49" s="3552">
        <f>ROUND(PRODUCT(T48,AB9:AB47),0)</f>
        <v>6141</v>
      </c>
      <c r="U49" s="3552"/>
      <c r="V49" s="3552">
        <f>ROUND(PRODUCT(V48,AC9:AC47),0)</f>
        <v>5840</v>
      </c>
      <c r="W49" s="3552"/>
      <c r="X49" s="1495"/>
      <c r="Y49" s="1495"/>
      <c r="Z49" s="1495"/>
      <c r="AA49" s="1495"/>
      <c r="AB49" s="1495"/>
      <c r="AC49" s="1495"/>
    </row>
    <row r="50" spans="1:29" ht="21" thickBot="1">
      <c r="A50" s="613" t="s">
        <v>2903</v>
      </c>
      <c r="B50" s="614"/>
      <c r="C50" s="615">
        <f>R50</f>
        <v>5955</v>
      </c>
      <c r="D50" s="615"/>
      <c r="E50" s="615"/>
      <c r="F50" s="615"/>
      <c r="G50" s="615"/>
      <c r="H50" s="615"/>
      <c r="I50" s="615"/>
      <c r="J50" s="615"/>
      <c r="K50" s="1294"/>
      <c r="L50" s="2025"/>
      <c r="M50" s="2013"/>
      <c r="N50" s="2013"/>
      <c r="O50" s="2026"/>
      <c r="P50" s="3549" t="str">
        <f>A50</f>
        <v>估价对象XX用房的比较价格（楼面单价，元/平方米）</v>
      </c>
      <c r="Q50" s="3550"/>
      <c r="R50" s="3551">
        <f>ROUND(IF(D49="简单平均",AVERAGE(R49:W49),R49*F49+T49*H49+V49*J49),0)</f>
        <v>5955</v>
      </c>
      <c r="S50" s="3551"/>
      <c r="T50" s="3551"/>
      <c r="U50" s="3551"/>
      <c r="V50" s="3551"/>
      <c r="W50" s="3551"/>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f>IF(E48&lt;E49,E49/E48-1,E48/E49-1)</f>
        <v>4.3262411347517737E-2</v>
      </c>
      <c r="F53" s="619" t="str">
        <f>IF(OR(E53&gt;=0.3,E53&lt;=-0.3),"超过30%","")</f>
        <v/>
      </c>
      <c r="G53" s="618">
        <f>IF(G48&lt;G49,G49/G48-1,G48/G49-1)</f>
        <v>2.3500000000000076E-2</v>
      </c>
      <c r="H53" s="619" t="str">
        <f>IF(OR(G53&gt;=0.3,G53&lt;=-0.3),"超过30%","")</f>
        <v/>
      </c>
      <c r="I53" s="618">
        <f>IF(I48&lt;I49,I49/I48-1,I48/I49-1)</f>
        <v>2.7397260273972712E-2</v>
      </c>
      <c r="J53" s="619" t="str">
        <f>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f>IF(E49&lt;G49,G49/E49-1,E49/G49-1)</f>
        <v>4.3677770224337165E-2</v>
      </c>
      <c r="F54" s="619" t="str">
        <f>IF(OR(E54&gt;=0.2,E54&lt;=-0.2),"超过20%","")</f>
        <v/>
      </c>
      <c r="G54" s="618">
        <f>IF(G49&lt;I49,I49/G49-1,G49/I49-1)</f>
        <v>5.1541095890411004E-2</v>
      </c>
      <c r="H54" s="619" t="str">
        <f>IF(OR(G54&gt;=0.2,G54&lt;=-0.2),"超过20%","")</f>
        <v/>
      </c>
      <c r="I54" s="618">
        <f>IF(I49&lt;E49,E49/I49-1,I49/E49-1)</f>
        <v>7.5342465753425181E-3</v>
      </c>
      <c r="J54" s="619" t="str">
        <f>IF(OR(I54&gt;=0.2,I54&lt;=-0.2),"超过20%","")</f>
        <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f>IF(E48&lt;G48,G48/E48-1,E48/G48-1)</f>
        <v>6.3829787234042534E-2</v>
      </c>
      <c r="F55" s="619" t="str">
        <f>IF(OR(E55&gt;=0.3,E55&lt;=-0.3),"超过30%","")</f>
        <v/>
      </c>
      <c r="G55" s="618">
        <f>IF(G48&lt;I48,I48/G48-1,G48/I48-1)</f>
        <v>0</v>
      </c>
      <c r="H55" s="619" t="str">
        <f>IF(OR(G55&gt;=0.3,G55&lt;=-0.3),"超过30%","")</f>
        <v/>
      </c>
      <c r="I55" s="618">
        <f>IF(I48&lt;E48,E48/I48-1,I48/E48-1)</f>
        <v>6.3829787234042534E-2</v>
      </c>
      <c r="J55" s="619"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1714</v>
      </c>
      <c r="D57" s="2106" t="s">
        <v>2280</v>
      </c>
      <c r="E57" s="623" t="s">
        <v>556</v>
      </c>
      <c r="F57" s="624" t="s">
        <v>557</v>
      </c>
      <c r="G57" s="3512" t="s">
        <v>2268</v>
      </c>
      <c r="H57" s="3513"/>
      <c r="I57" s="1492" t="s">
        <v>1712</v>
      </c>
      <c r="J57" s="1492">
        <f>项目基本情况!F41</f>
        <v>0</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5955</v>
      </c>
      <c r="C58" s="627">
        <v>1</v>
      </c>
      <c r="D58" s="2107">
        <v>1</v>
      </c>
      <c r="E58" s="627">
        <f>'数据-汇总表'!E8+'数据-汇总表'!E9</f>
        <v>209942.94</v>
      </c>
      <c r="F58" s="628">
        <f t="shared" ref="F58:F67" si="15">ROUND(B58*E58/10000,0)</f>
        <v>125021</v>
      </c>
      <c r="G58" s="3514"/>
      <c r="H58" s="3515"/>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516" t="s">
        <v>2269</v>
      </c>
      <c r="H59" s="1861">
        <f>项目基本情况!B43</f>
        <v>0</v>
      </c>
      <c r="I59" s="1493">
        <f>SUMIF(修正!$A$45:$A$56,H59,修正!B45:B56)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516"/>
      <c r="H60" s="1861">
        <f>项目基本情况!B43</f>
        <v>0</v>
      </c>
      <c r="I60" s="1493">
        <f>SUMIF(修正!$A$45:$A$56,H60,修正!C45:C56)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516"/>
      <c r="H61" s="1861">
        <f>项目基本情况!B43</f>
        <v>0</v>
      </c>
      <c r="I61" s="1493">
        <f>SUMIF(修正!$A$45:$A$56,H61,修正!D45:D56)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516"/>
      <c r="H62" s="1861">
        <f>项目基本情况!B43</f>
        <v>0</v>
      </c>
      <c r="I62" s="1493">
        <f>SUMIF(修正!$A$45:$A$56,H62,修正!E45:E56)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2315</v>
      </c>
      <c r="B63" s="630">
        <f t="shared" si="17"/>
        <v>0</v>
      </c>
      <c r="C63" s="372">
        <f t="shared" si="16"/>
        <v>0</v>
      </c>
      <c r="D63" s="2108">
        <v>0.25</v>
      </c>
      <c r="E63" s="633">
        <f>'数据-汇总表'!E11</f>
        <v>0</v>
      </c>
      <c r="F63" s="628">
        <f t="shared" si="15"/>
        <v>0</v>
      </c>
      <c r="G63" s="1858" t="s">
        <v>2270</v>
      </c>
      <c r="H63" s="1861">
        <f>项目基本情况!C43</f>
        <v>0</v>
      </c>
      <c r="I63" s="1493">
        <f>SUMIF(修正!$A$45:$A$56,H63,修正!F45:F56)</f>
        <v>0</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1668</v>
      </c>
      <c r="H64" s="1857">
        <f>IF(G64="商业",项目基本情况!B43,IF(G64="办公",项目基本情况!C43,IF(G64="住宅",项目基本情况!D43,项目基本情况!E43)))</f>
        <v>0</v>
      </c>
      <c r="I64" s="1493">
        <f>SUMIF(修正!$A$45:$A$56,H64,修正!G45:G56)</f>
        <v>0</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64678.93</v>
      </c>
      <c r="F65" s="628">
        <f t="shared" si="15"/>
        <v>0</v>
      </c>
      <c r="G65" s="1859" t="s">
        <v>914</v>
      </c>
      <c r="H65" s="1857">
        <f>IF(G65="商业",项目基本情况!B43,IF(G65="办公",项目基本情况!C43,IF(G65="住宅",项目基本情况!D43,项目基本情况!E43)))</f>
        <v>0</v>
      </c>
      <c r="I65" s="1493">
        <f>SUMIF(修正!$A$45:$A$56,H65,修正!H45:H56)</f>
        <v>0</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2269</v>
      </c>
      <c r="H66" s="1861">
        <f>项目基本情况!B43</f>
        <v>0</v>
      </c>
      <c r="I66" s="1493">
        <f>SUMIF(修正!$A$45:$A$56,H66,修正!H45:H56)</f>
        <v>0</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2270</v>
      </c>
      <c r="H67" s="1862">
        <f>项目基本情况!C43</f>
        <v>0</v>
      </c>
      <c r="I67" s="1493">
        <f>SUMIF(修正!$A$45:$A$56,H67,修正!H45:H56)</f>
        <v>0</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2281</v>
      </c>
      <c r="E68" s="635">
        <f>IF(B48="楼面地价",SUM(E58:E67),'数据-汇总表'!D3)</f>
        <v>274621.87</v>
      </c>
      <c r="F68" s="636">
        <f>IF(B48="楼面地价",SUM(F58:F67),ROUND(C50*E68/10000,0))</f>
        <v>125021</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2020-9-1</v>
      </c>
      <c r="D70" s="2515">
        <f>EDATE(C70,-3)</f>
        <v>43983</v>
      </c>
      <c r="E70" s="2515">
        <f t="shared" ref="E70:N70" si="18">EDATE(D70,-3)</f>
        <v>43891</v>
      </c>
      <c r="F70" s="2515">
        <f t="shared" si="18"/>
        <v>43800</v>
      </c>
      <c r="G70" s="2515">
        <f t="shared" si="18"/>
        <v>43709</v>
      </c>
      <c r="H70" s="2515">
        <f t="shared" si="18"/>
        <v>43617</v>
      </c>
      <c r="I70" s="2515">
        <f t="shared" si="18"/>
        <v>43525</v>
      </c>
      <c r="J70" s="2515">
        <f t="shared" si="18"/>
        <v>43435</v>
      </c>
      <c r="K70" s="2515">
        <f t="shared" si="18"/>
        <v>43344</v>
      </c>
      <c r="L70" s="2515">
        <f t="shared" si="18"/>
        <v>43252</v>
      </c>
      <c r="M70" s="2515">
        <f t="shared" si="18"/>
        <v>43160</v>
      </c>
      <c r="N70" s="2515">
        <f t="shared" si="18"/>
        <v>43070</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2020-3</v>
      </c>
      <c r="D72" s="2517" t="str">
        <f>YEAR(D70)&amp;"-"&amp;ROUNDUP(MONTH(D70)/3,0)</f>
        <v>2020-2</v>
      </c>
      <c r="E72" s="2517" t="str">
        <f t="shared" ref="E72:N72" si="19">YEAR(E70)&amp;"-"&amp;ROUNDUP(MONTH(E70)/3,0)</f>
        <v>2020-1</v>
      </c>
      <c r="F72" s="2517" t="str">
        <f t="shared" si="19"/>
        <v>2019-4</v>
      </c>
      <c r="G72" s="2517" t="str">
        <f t="shared" si="19"/>
        <v>2019-3</v>
      </c>
      <c r="H72" s="2517" t="str">
        <f t="shared" si="19"/>
        <v>2019-2</v>
      </c>
      <c r="I72" s="2517" t="str">
        <f t="shared" si="19"/>
        <v>2019-1</v>
      </c>
      <c r="J72" s="2517" t="str">
        <f t="shared" si="19"/>
        <v>2018-4</v>
      </c>
      <c r="K72" s="2517" t="str">
        <f t="shared" si="19"/>
        <v>2018-3</v>
      </c>
      <c r="L72" s="2517" t="str">
        <f t="shared" si="19"/>
        <v>2018-2</v>
      </c>
      <c r="M72" s="2517" t="str">
        <f t="shared" si="19"/>
        <v>2018-1</v>
      </c>
      <c r="N72" s="2517" t="str">
        <f t="shared" si="19"/>
        <v>2017-4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北京市平均增长率1.79%</v>
      </c>
      <c r="C73" s="882">
        <v>100</v>
      </c>
      <c r="D73" s="3295">
        <f>C73-$C$74</f>
        <v>99.5</v>
      </c>
      <c r="E73" s="3295">
        <f t="shared" ref="E73:N73" si="20">D73-$C$74</f>
        <v>99</v>
      </c>
      <c r="F73" s="3295">
        <f t="shared" si="20"/>
        <v>98.5</v>
      </c>
      <c r="G73" s="3295">
        <f t="shared" si="20"/>
        <v>98</v>
      </c>
      <c r="H73" s="3295">
        <f t="shared" si="20"/>
        <v>97.5</v>
      </c>
      <c r="I73" s="3295">
        <f t="shared" si="20"/>
        <v>97</v>
      </c>
      <c r="J73" s="3295">
        <f t="shared" si="20"/>
        <v>96.5</v>
      </c>
      <c r="K73" s="3295">
        <f t="shared" si="20"/>
        <v>96</v>
      </c>
      <c r="L73" s="3295">
        <f t="shared" si="20"/>
        <v>95.5</v>
      </c>
      <c r="M73" s="3295">
        <f t="shared" si="20"/>
        <v>95</v>
      </c>
      <c r="N73" s="3295">
        <f t="shared" si="20"/>
        <v>94.5</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v>0.5</v>
      </c>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281" t="s">
        <v>3135</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v>
      </c>
      <c r="J81" s="674" t="str">
        <f t="shared" si="21"/>
        <v>（含）-</v>
      </c>
      <c r="K81" s="674" t="str">
        <f t="shared" si="21"/>
        <v>（含）-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0.5</v>
      </c>
      <c r="E82" s="535">
        <v>1</v>
      </c>
      <c r="F82" s="535">
        <v>1.5</v>
      </c>
      <c r="G82" s="535">
        <v>2</v>
      </c>
      <c r="H82" s="535">
        <v>2.5</v>
      </c>
      <c r="I82" s="535">
        <v>3</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5"/>
      <c r="E84" s="1326"/>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98</v>
      </c>
      <c r="E91" s="671">
        <f>D91-$K17</f>
        <v>96</v>
      </c>
      <c r="F91" s="671">
        <f>E91-$K17</f>
        <v>94</v>
      </c>
      <c r="G91" s="671">
        <f>F91-$K17</f>
        <v>92</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98</v>
      </c>
      <c r="E93" s="671">
        <f>D93-$K19</f>
        <v>96</v>
      </c>
      <c r="F93" s="671">
        <f>E93-$K19</f>
        <v>94</v>
      </c>
      <c r="G93" s="671">
        <f>F93-$K19</f>
        <v>92</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98</v>
      </c>
      <c r="E97" s="671">
        <f>D97-$K23</f>
        <v>96</v>
      </c>
      <c r="F97" s="671">
        <f>E97-$K23</f>
        <v>94</v>
      </c>
      <c r="G97" s="671">
        <f>F97-$K23</f>
        <v>92</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100000(含)-150000</v>
      </c>
      <c r="I118" s="696" t="str">
        <f t="shared" si="26"/>
        <v>150000(含)-</v>
      </c>
      <c r="J118" s="2779" t="str">
        <f t="shared" si="26"/>
        <v>(含)-</v>
      </c>
      <c r="K118" s="2779" t="str">
        <f t="shared" si="26"/>
        <v>(含)-</v>
      </c>
      <c r="L118" s="2780" t="str">
        <f t="shared" si="26"/>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v>20000</v>
      </c>
      <c r="E119" s="722">
        <v>40000</v>
      </c>
      <c r="F119" s="722">
        <v>60000</v>
      </c>
      <c r="G119" s="722">
        <v>80000</v>
      </c>
      <c r="H119" s="722">
        <v>100000</v>
      </c>
      <c r="I119" s="722">
        <v>150000</v>
      </c>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v>101</v>
      </c>
      <c r="E120" s="718">
        <v>102</v>
      </c>
      <c r="F120" s="718">
        <v>103</v>
      </c>
      <c r="G120" s="718">
        <v>104</v>
      </c>
      <c r="H120" s="718">
        <v>105</v>
      </c>
      <c r="I120" s="718">
        <v>106</v>
      </c>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298" t="s">
        <v>3137</v>
      </c>
      <c r="D121" s="3298" t="s">
        <v>3139</v>
      </c>
      <c r="E121" s="3298" t="s">
        <v>3141</v>
      </c>
      <c r="F121" s="3298" t="s">
        <v>3142</v>
      </c>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5" t="s">
        <v>3153</v>
      </c>
      <c r="D125" s="1325" t="s">
        <v>3154</v>
      </c>
      <c r="E125" s="1325" t="s">
        <v>3155</v>
      </c>
      <c r="F125" s="1325" t="s">
        <v>3157</v>
      </c>
      <c r="G125" s="1325"/>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6" priority="17" stopIfTrue="1" operator="containsText" text="超过">
      <formula>NOT(ISERROR(SEARCH("超过",F53)))</formula>
    </cfRule>
  </conditionalFormatting>
  <conditionalFormatting sqref="J55">
    <cfRule type="containsText" dxfId="165" priority="16" stopIfTrue="1" operator="containsText" text="超过">
      <formula>NOT(ISERROR(SEARCH("超过",J55)))</formula>
    </cfRule>
  </conditionalFormatting>
  <conditionalFormatting sqref="H55">
    <cfRule type="containsText" dxfId="164" priority="15" stopIfTrue="1" operator="containsText" text="超过">
      <formula>NOT(ISERROR(SEARCH("超过",H55)))</formula>
    </cfRule>
  </conditionalFormatting>
  <conditionalFormatting sqref="F55">
    <cfRule type="containsText" dxfId="163" priority="14" stopIfTrue="1" operator="containsText" text="超过">
      <formula>NOT(ISERROR(SEARCH("超过",F55)))</formula>
    </cfRule>
  </conditionalFormatting>
  <conditionalFormatting sqref="F54 H54 J54">
    <cfRule type="containsText" dxfId="162" priority="13" stopIfTrue="1" operator="containsText" text="超过">
      <formula>NOT(ISERROR(SEARCH("超过",F54)))</formula>
    </cfRule>
  </conditionalFormatting>
  <conditionalFormatting sqref="E53">
    <cfRule type="expression" dxfId="161" priority="12" stopIfTrue="1">
      <formula>$F$53="超过30%"</formula>
    </cfRule>
  </conditionalFormatting>
  <conditionalFormatting sqref="G55">
    <cfRule type="expression" dxfId="160" priority="11" stopIfTrue="1">
      <formula>$H$55="超过30%"</formula>
    </cfRule>
  </conditionalFormatting>
  <conditionalFormatting sqref="E54">
    <cfRule type="expression" dxfId="159" priority="10" stopIfTrue="1">
      <formula>$F$54="超过20%"</formula>
    </cfRule>
  </conditionalFormatting>
  <conditionalFormatting sqref="E55">
    <cfRule type="expression" dxfId="158" priority="9" stopIfTrue="1">
      <formula>$F$55="超过30%"</formula>
    </cfRule>
  </conditionalFormatting>
  <conditionalFormatting sqref="G53">
    <cfRule type="expression" dxfId="157" priority="8" stopIfTrue="1">
      <formula>$H$55+$H$53="超过30%"</formula>
    </cfRule>
  </conditionalFormatting>
  <conditionalFormatting sqref="G54">
    <cfRule type="expression" dxfId="156" priority="7" stopIfTrue="1">
      <formula>$H$54="超过20%"</formula>
    </cfRule>
  </conditionalFormatting>
  <conditionalFormatting sqref="I53">
    <cfRule type="expression" dxfId="155" priority="6" stopIfTrue="1">
      <formula>$J$53="超过30%"</formula>
    </cfRule>
  </conditionalFormatting>
  <conditionalFormatting sqref="I54">
    <cfRule type="expression" dxfId="154" priority="5" stopIfTrue="1">
      <formula>$J$54="超过20%"</formula>
    </cfRule>
  </conditionalFormatting>
  <conditionalFormatting sqref="I55">
    <cfRule type="expression" dxfId="153" priority="4" stopIfTrue="1">
      <formula>$J$55="超过30%"</formula>
    </cfRule>
  </conditionalFormatting>
  <conditionalFormatting sqref="F49">
    <cfRule type="expression" dxfId="152" priority="3">
      <formula>$D$49="简单平均"</formula>
    </cfRule>
  </conditionalFormatting>
  <conditionalFormatting sqref="H49">
    <cfRule type="expression" dxfId="151" priority="2">
      <formula>$D$49="简单平均"</formula>
    </cfRule>
  </conditionalFormatting>
  <conditionalFormatting sqref="J49">
    <cfRule type="expression" dxfId="150"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321" t="str">
        <f>项目基本情况!B1</f>
        <v>出让国有建设用地使用权抵押价格预评估</v>
      </c>
      <c r="C37" s="3321"/>
      <c r="D37" s="3321"/>
      <c r="E37" s="3321"/>
      <c r="F37" s="3321"/>
      <c r="G37" s="3321"/>
      <c r="H37" s="3321"/>
      <c r="I37" s="3321"/>
    </row>
    <row r="38" spans="1:9">
      <c r="A38" s="1583"/>
      <c r="B38" s="1583"/>
    </row>
    <row r="39" spans="1:9">
      <c r="A39" s="1581" t="s">
        <v>1891</v>
      </c>
      <c r="B39" s="1581" t="s">
        <v>2034</v>
      </c>
    </row>
    <row r="40" spans="1:9">
      <c r="A40" s="1581"/>
      <c r="B40" s="1581">
        <f>项目基本情况!B5</f>
        <v>0</v>
      </c>
    </row>
    <row r="41" spans="1:9">
      <c r="A41" s="1581"/>
      <c r="B41" s="1581"/>
    </row>
    <row r="42" spans="1:9">
      <c r="A42" s="1581" t="s">
        <v>1891</v>
      </c>
      <c r="B42" s="1581" t="s">
        <v>2035</v>
      </c>
    </row>
    <row r="43" spans="1:9">
      <c r="A43" s="1581"/>
      <c r="B43" s="1581" t="s">
        <v>1893</v>
      </c>
    </row>
    <row r="44" spans="1:9">
      <c r="A44" s="1581"/>
      <c r="B44" s="1581"/>
    </row>
    <row r="45" spans="1:9">
      <c r="A45" s="1581" t="s">
        <v>1891</v>
      </c>
      <c r="B45" s="1581" t="s">
        <v>2033</v>
      </c>
    </row>
    <row r="46" spans="1:9" s="1581" customFormat="1" ht="12.75">
      <c r="B46" s="1581" t="str">
        <f>项目基本情况!K4</f>
        <v>土地估价师、土地估价师</v>
      </c>
    </row>
    <row r="47" spans="1:9">
      <c r="A47" s="1581"/>
      <c r="B47" s="1581"/>
    </row>
    <row r="48" spans="1:9">
      <c r="A48" s="1581" t="s">
        <v>1891</v>
      </c>
      <c r="B48" s="1581" t="s">
        <v>2036</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6"/>
  <sheetViews>
    <sheetView workbookViewId="0">
      <selection activeCell="J11" sqref="J11"/>
    </sheetView>
  </sheetViews>
  <sheetFormatPr defaultRowHeight="12.75"/>
  <cols>
    <col min="1" max="1" width="44.5" style="3296" customWidth="1"/>
    <col min="2" max="2" width="6.25" style="3296" customWidth="1"/>
    <col min="3" max="5" width="13.875" style="3296" customWidth="1"/>
    <col min="6" max="6" width="10.25" style="3296" customWidth="1"/>
    <col min="7" max="7" width="7.875" style="3296" customWidth="1"/>
    <col min="8" max="8" width="39.625" style="3296" customWidth="1"/>
    <col min="9" max="10" width="9" style="3296" customWidth="1"/>
    <col min="11" max="12" width="10.625" style="3296" customWidth="1"/>
    <col min="13" max="13" width="14.375" style="3296" customWidth="1"/>
    <col min="14" max="14" width="6.25" style="3296" customWidth="1"/>
    <col min="15" max="15" width="34.375" style="3296" customWidth="1"/>
    <col min="16" max="16" width="7.875" style="3296" customWidth="1"/>
    <col min="17" max="256" width="9" style="3296"/>
    <col min="257" max="257" width="44.5" style="3296" customWidth="1"/>
    <col min="258" max="258" width="6.25" style="3296" customWidth="1"/>
    <col min="259" max="261" width="13.875" style="3296" customWidth="1"/>
    <col min="262" max="262" width="19.875" style="3296" customWidth="1"/>
    <col min="263" max="263" width="7.875" style="3296" customWidth="1"/>
    <col min="264" max="264" width="44.875" style="3296" customWidth="1"/>
    <col min="265" max="266" width="9" style="3296" customWidth="1"/>
    <col min="267" max="268" width="10.625" style="3296" customWidth="1"/>
    <col min="269" max="269" width="14.375" style="3296" customWidth="1"/>
    <col min="270" max="270" width="6.25" style="3296" customWidth="1"/>
    <col min="271" max="271" width="34.375" style="3296" customWidth="1"/>
    <col min="272" max="272" width="7.875" style="3296" customWidth="1"/>
    <col min="273" max="512" width="9" style="3296"/>
    <col min="513" max="513" width="44.5" style="3296" customWidth="1"/>
    <col min="514" max="514" width="6.25" style="3296" customWidth="1"/>
    <col min="515" max="517" width="13.875" style="3296" customWidth="1"/>
    <col min="518" max="518" width="19.875" style="3296" customWidth="1"/>
    <col min="519" max="519" width="7.875" style="3296" customWidth="1"/>
    <col min="520" max="520" width="44.875" style="3296" customWidth="1"/>
    <col min="521" max="522" width="9" style="3296" customWidth="1"/>
    <col min="523" max="524" width="10.625" style="3296" customWidth="1"/>
    <col min="525" max="525" width="14.375" style="3296" customWidth="1"/>
    <col min="526" max="526" width="6.25" style="3296" customWidth="1"/>
    <col min="527" max="527" width="34.375" style="3296" customWidth="1"/>
    <col min="528" max="528" width="7.875" style="3296" customWidth="1"/>
    <col min="529" max="768" width="9" style="3296"/>
    <col min="769" max="769" width="44.5" style="3296" customWidth="1"/>
    <col min="770" max="770" width="6.25" style="3296" customWidth="1"/>
    <col min="771" max="773" width="13.875" style="3296" customWidth="1"/>
    <col min="774" max="774" width="19.875" style="3296" customWidth="1"/>
    <col min="775" max="775" width="7.875" style="3296" customWidth="1"/>
    <col min="776" max="776" width="44.875" style="3296" customWidth="1"/>
    <col min="777" max="778" width="9" style="3296" customWidth="1"/>
    <col min="779" max="780" width="10.625" style="3296" customWidth="1"/>
    <col min="781" max="781" width="14.375" style="3296" customWidth="1"/>
    <col min="782" max="782" width="6.25" style="3296" customWidth="1"/>
    <col min="783" max="783" width="34.375" style="3296" customWidth="1"/>
    <col min="784" max="784" width="7.875" style="3296" customWidth="1"/>
    <col min="785" max="1024" width="9" style="3296"/>
    <col min="1025" max="1025" width="44.5" style="3296" customWidth="1"/>
    <col min="1026" max="1026" width="6.25" style="3296" customWidth="1"/>
    <col min="1027" max="1029" width="13.875" style="3296" customWidth="1"/>
    <col min="1030" max="1030" width="19.875" style="3296" customWidth="1"/>
    <col min="1031" max="1031" width="7.875" style="3296" customWidth="1"/>
    <col min="1032" max="1032" width="44.875" style="3296" customWidth="1"/>
    <col min="1033" max="1034" width="9" style="3296" customWidth="1"/>
    <col min="1035" max="1036" width="10.625" style="3296" customWidth="1"/>
    <col min="1037" max="1037" width="14.375" style="3296" customWidth="1"/>
    <col min="1038" max="1038" width="6.25" style="3296" customWidth="1"/>
    <col min="1039" max="1039" width="34.375" style="3296" customWidth="1"/>
    <col min="1040" max="1040" width="7.875" style="3296" customWidth="1"/>
    <col min="1041" max="1280" width="9" style="3296"/>
    <col min="1281" max="1281" width="44.5" style="3296" customWidth="1"/>
    <col min="1282" max="1282" width="6.25" style="3296" customWidth="1"/>
    <col min="1283" max="1285" width="13.875" style="3296" customWidth="1"/>
    <col min="1286" max="1286" width="19.875" style="3296" customWidth="1"/>
    <col min="1287" max="1287" width="7.875" style="3296" customWidth="1"/>
    <col min="1288" max="1288" width="44.875" style="3296" customWidth="1"/>
    <col min="1289" max="1290" width="9" style="3296" customWidth="1"/>
    <col min="1291" max="1292" width="10.625" style="3296" customWidth="1"/>
    <col min="1293" max="1293" width="14.375" style="3296" customWidth="1"/>
    <col min="1294" max="1294" width="6.25" style="3296" customWidth="1"/>
    <col min="1295" max="1295" width="34.375" style="3296" customWidth="1"/>
    <col min="1296" max="1296" width="7.875" style="3296" customWidth="1"/>
    <col min="1297" max="1536" width="9" style="3296"/>
    <col min="1537" max="1537" width="44.5" style="3296" customWidth="1"/>
    <col min="1538" max="1538" width="6.25" style="3296" customWidth="1"/>
    <col min="1539" max="1541" width="13.875" style="3296" customWidth="1"/>
    <col min="1542" max="1542" width="19.875" style="3296" customWidth="1"/>
    <col min="1543" max="1543" width="7.875" style="3296" customWidth="1"/>
    <col min="1544" max="1544" width="44.875" style="3296" customWidth="1"/>
    <col min="1545" max="1546" width="9" style="3296" customWidth="1"/>
    <col min="1547" max="1548" width="10.625" style="3296" customWidth="1"/>
    <col min="1549" max="1549" width="14.375" style="3296" customWidth="1"/>
    <col min="1550" max="1550" width="6.25" style="3296" customWidth="1"/>
    <col min="1551" max="1551" width="34.375" style="3296" customWidth="1"/>
    <col min="1552" max="1552" width="7.875" style="3296" customWidth="1"/>
    <col min="1553" max="1792" width="9" style="3296"/>
    <col min="1793" max="1793" width="44.5" style="3296" customWidth="1"/>
    <col min="1794" max="1794" width="6.25" style="3296" customWidth="1"/>
    <col min="1795" max="1797" width="13.875" style="3296" customWidth="1"/>
    <col min="1798" max="1798" width="19.875" style="3296" customWidth="1"/>
    <col min="1799" max="1799" width="7.875" style="3296" customWidth="1"/>
    <col min="1800" max="1800" width="44.875" style="3296" customWidth="1"/>
    <col min="1801" max="1802" width="9" style="3296" customWidth="1"/>
    <col min="1803" max="1804" width="10.625" style="3296" customWidth="1"/>
    <col min="1805" max="1805" width="14.375" style="3296" customWidth="1"/>
    <col min="1806" max="1806" width="6.25" style="3296" customWidth="1"/>
    <col min="1807" max="1807" width="34.375" style="3296" customWidth="1"/>
    <col min="1808" max="1808" width="7.875" style="3296" customWidth="1"/>
    <col min="1809" max="2048" width="9" style="3296"/>
    <col min="2049" max="2049" width="44.5" style="3296" customWidth="1"/>
    <col min="2050" max="2050" width="6.25" style="3296" customWidth="1"/>
    <col min="2051" max="2053" width="13.875" style="3296" customWidth="1"/>
    <col min="2054" max="2054" width="19.875" style="3296" customWidth="1"/>
    <col min="2055" max="2055" width="7.875" style="3296" customWidth="1"/>
    <col min="2056" max="2056" width="44.875" style="3296" customWidth="1"/>
    <col min="2057" max="2058" width="9" style="3296" customWidth="1"/>
    <col min="2059" max="2060" width="10.625" style="3296" customWidth="1"/>
    <col min="2061" max="2061" width="14.375" style="3296" customWidth="1"/>
    <col min="2062" max="2062" width="6.25" style="3296" customWidth="1"/>
    <col min="2063" max="2063" width="34.375" style="3296" customWidth="1"/>
    <col min="2064" max="2064" width="7.875" style="3296" customWidth="1"/>
    <col min="2065" max="2304" width="9" style="3296"/>
    <col min="2305" max="2305" width="44.5" style="3296" customWidth="1"/>
    <col min="2306" max="2306" width="6.25" style="3296" customWidth="1"/>
    <col min="2307" max="2309" width="13.875" style="3296" customWidth="1"/>
    <col min="2310" max="2310" width="19.875" style="3296" customWidth="1"/>
    <col min="2311" max="2311" width="7.875" style="3296" customWidth="1"/>
    <col min="2312" max="2312" width="44.875" style="3296" customWidth="1"/>
    <col min="2313" max="2314" width="9" style="3296" customWidth="1"/>
    <col min="2315" max="2316" width="10.625" style="3296" customWidth="1"/>
    <col min="2317" max="2317" width="14.375" style="3296" customWidth="1"/>
    <col min="2318" max="2318" width="6.25" style="3296" customWidth="1"/>
    <col min="2319" max="2319" width="34.375" style="3296" customWidth="1"/>
    <col min="2320" max="2320" width="7.875" style="3296" customWidth="1"/>
    <col min="2321" max="2560" width="9" style="3296"/>
    <col min="2561" max="2561" width="44.5" style="3296" customWidth="1"/>
    <col min="2562" max="2562" width="6.25" style="3296" customWidth="1"/>
    <col min="2563" max="2565" width="13.875" style="3296" customWidth="1"/>
    <col min="2566" max="2566" width="19.875" style="3296" customWidth="1"/>
    <col min="2567" max="2567" width="7.875" style="3296" customWidth="1"/>
    <col min="2568" max="2568" width="44.875" style="3296" customWidth="1"/>
    <col min="2569" max="2570" width="9" style="3296" customWidth="1"/>
    <col min="2571" max="2572" width="10.625" style="3296" customWidth="1"/>
    <col min="2573" max="2573" width="14.375" style="3296" customWidth="1"/>
    <col min="2574" max="2574" width="6.25" style="3296" customWidth="1"/>
    <col min="2575" max="2575" width="34.375" style="3296" customWidth="1"/>
    <col min="2576" max="2576" width="7.875" style="3296" customWidth="1"/>
    <col min="2577" max="2816" width="9" style="3296"/>
    <col min="2817" max="2817" width="44.5" style="3296" customWidth="1"/>
    <col min="2818" max="2818" width="6.25" style="3296" customWidth="1"/>
    <col min="2819" max="2821" width="13.875" style="3296" customWidth="1"/>
    <col min="2822" max="2822" width="19.875" style="3296" customWidth="1"/>
    <col min="2823" max="2823" width="7.875" style="3296" customWidth="1"/>
    <col min="2824" max="2824" width="44.875" style="3296" customWidth="1"/>
    <col min="2825" max="2826" width="9" style="3296" customWidth="1"/>
    <col min="2827" max="2828" width="10.625" style="3296" customWidth="1"/>
    <col min="2829" max="2829" width="14.375" style="3296" customWidth="1"/>
    <col min="2830" max="2830" width="6.25" style="3296" customWidth="1"/>
    <col min="2831" max="2831" width="34.375" style="3296" customWidth="1"/>
    <col min="2832" max="2832" width="7.875" style="3296" customWidth="1"/>
    <col min="2833" max="3072" width="9" style="3296"/>
    <col min="3073" max="3073" width="44.5" style="3296" customWidth="1"/>
    <col min="3074" max="3074" width="6.25" style="3296" customWidth="1"/>
    <col min="3075" max="3077" width="13.875" style="3296" customWidth="1"/>
    <col min="3078" max="3078" width="19.875" style="3296" customWidth="1"/>
    <col min="3079" max="3079" width="7.875" style="3296" customWidth="1"/>
    <col min="3080" max="3080" width="44.875" style="3296" customWidth="1"/>
    <col min="3081" max="3082" width="9" style="3296" customWidth="1"/>
    <col min="3083" max="3084" width="10.625" style="3296" customWidth="1"/>
    <col min="3085" max="3085" width="14.375" style="3296" customWidth="1"/>
    <col min="3086" max="3086" width="6.25" style="3296" customWidth="1"/>
    <col min="3087" max="3087" width="34.375" style="3296" customWidth="1"/>
    <col min="3088" max="3088" width="7.875" style="3296" customWidth="1"/>
    <col min="3089" max="3328" width="9" style="3296"/>
    <col min="3329" max="3329" width="44.5" style="3296" customWidth="1"/>
    <col min="3330" max="3330" width="6.25" style="3296" customWidth="1"/>
    <col min="3331" max="3333" width="13.875" style="3296" customWidth="1"/>
    <col min="3334" max="3334" width="19.875" style="3296" customWidth="1"/>
    <col min="3335" max="3335" width="7.875" style="3296" customWidth="1"/>
    <col min="3336" max="3336" width="44.875" style="3296" customWidth="1"/>
    <col min="3337" max="3338" width="9" style="3296" customWidth="1"/>
    <col min="3339" max="3340" width="10.625" style="3296" customWidth="1"/>
    <col min="3341" max="3341" width="14.375" style="3296" customWidth="1"/>
    <col min="3342" max="3342" width="6.25" style="3296" customWidth="1"/>
    <col min="3343" max="3343" width="34.375" style="3296" customWidth="1"/>
    <col min="3344" max="3344" width="7.875" style="3296" customWidth="1"/>
    <col min="3345" max="3584" width="9" style="3296"/>
    <col min="3585" max="3585" width="44.5" style="3296" customWidth="1"/>
    <col min="3586" max="3586" width="6.25" style="3296" customWidth="1"/>
    <col min="3587" max="3589" width="13.875" style="3296" customWidth="1"/>
    <col min="3590" max="3590" width="19.875" style="3296" customWidth="1"/>
    <col min="3591" max="3591" width="7.875" style="3296" customWidth="1"/>
    <col min="3592" max="3592" width="44.875" style="3296" customWidth="1"/>
    <col min="3593" max="3594" width="9" style="3296" customWidth="1"/>
    <col min="3595" max="3596" width="10.625" style="3296" customWidth="1"/>
    <col min="3597" max="3597" width="14.375" style="3296" customWidth="1"/>
    <col min="3598" max="3598" width="6.25" style="3296" customWidth="1"/>
    <col min="3599" max="3599" width="34.375" style="3296" customWidth="1"/>
    <col min="3600" max="3600" width="7.875" style="3296" customWidth="1"/>
    <col min="3601" max="3840" width="9" style="3296"/>
    <col min="3841" max="3841" width="44.5" style="3296" customWidth="1"/>
    <col min="3842" max="3842" width="6.25" style="3296" customWidth="1"/>
    <col min="3843" max="3845" width="13.875" style="3296" customWidth="1"/>
    <col min="3846" max="3846" width="19.875" style="3296" customWidth="1"/>
    <col min="3847" max="3847" width="7.875" style="3296" customWidth="1"/>
    <col min="3848" max="3848" width="44.875" style="3296" customWidth="1"/>
    <col min="3849" max="3850" width="9" style="3296" customWidth="1"/>
    <col min="3851" max="3852" width="10.625" style="3296" customWidth="1"/>
    <col min="3853" max="3853" width="14.375" style="3296" customWidth="1"/>
    <col min="3854" max="3854" width="6.25" style="3296" customWidth="1"/>
    <col min="3855" max="3855" width="34.375" style="3296" customWidth="1"/>
    <col min="3856" max="3856" width="7.875" style="3296" customWidth="1"/>
    <col min="3857" max="4096" width="9" style="3296"/>
    <col min="4097" max="4097" width="44.5" style="3296" customWidth="1"/>
    <col min="4098" max="4098" width="6.25" style="3296" customWidth="1"/>
    <col min="4099" max="4101" width="13.875" style="3296" customWidth="1"/>
    <col min="4102" max="4102" width="19.875" style="3296" customWidth="1"/>
    <col min="4103" max="4103" width="7.875" style="3296" customWidth="1"/>
    <col min="4104" max="4104" width="44.875" style="3296" customWidth="1"/>
    <col min="4105" max="4106" width="9" style="3296" customWidth="1"/>
    <col min="4107" max="4108" width="10.625" style="3296" customWidth="1"/>
    <col min="4109" max="4109" width="14.375" style="3296" customWidth="1"/>
    <col min="4110" max="4110" width="6.25" style="3296" customWidth="1"/>
    <col min="4111" max="4111" width="34.375" style="3296" customWidth="1"/>
    <col min="4112" max="4112" width="7.875" style="3296" customWidth="1"/>
    <col min="4113" max="4352" width="9" style="3296"/>
    <col min="4353" max="4353" width="44.5" style="3296" customWidth="1"/>
    <col min="4354" max="4354" width="6.25" style="3296" customWidth="1"/>
    <col min="4355" max="4357" width="13.875" style="3296" customWidth="1"/>
    <col min="4358" max="4358" width="19.875" style="3296" customWidth="1"/>
    <col min="4359" max="4359" width="7.875" style="3296" customWidth="1"/>
    <col min="4360" max="4360" width="44.875" style="3296" customWidth="1"/>
    <col min="4361" max="4362" width="9" style="3296" customWidth="1"/>
    <col min="4363" max="4364" width="10.625" style="3296" customWidth="1"/>
    <col min="4365" max="4365" width="14.375" style="3296" customWidth="1"/>
    <col min="4366" max="4366" width="6.25" style="3296" customWidth="1"/>
    <col min="4367" max="4367" width="34.375" style="3296" customWidth="1"/>
    <col min="4368" max="4368" width="7.875" style="3296" customWidth="1"/>
    <col min="4369" max="4608" width="9" style="3296"/>
    <col min="4609" max="4609" width="44.5" style="3296" customWidth="1"/>
    <col min="4610" max="4610" width="6.25" style="3296" customWidth="1"/>
    <col min="4611" max="4613" width="13.875" style="3296" customWidth="1"/>
    <col min="4614" max="4614" width="19.875" style="3296" customWidth="1"/>
    <col min="4615" max="4615" width="7.875" style="3296" customWidth="1"/>
    <col min="4616" max="4616" width="44.875" style="3296" customWidth="1"/>
    <col min="4617" max="4618" width="9" style="3296" customWidth="1"/>
    <col min="4619" max="4620" width="10.625" style="3296" customWidth="1"/>
    <col min="4621" max="4621" width="14.375" style="3296" customWidth="1"/>
    <col min="4622" max="4622" width="6.25" style="3296" customWidth="1"/>
    <col min="4623" max="4623" width="34.375" style="3296" customWidth="1"/>
    <col min="4624" max="4624" width="7.875" style="3296" customWidth="1"/>
    <col min="4625" max="4864" width="9" style="3296"/>
    <col min="4865" max="4865" width="44.5" style="3296" customWidth="1"/>
    <col min="4866" max="4866" width="6.25" style="3296" customWidth="1"/>
    <col min="4867" max="4869" width="13.875" style="3296" customWidth="1"/>
    <col min="4870" max="4870" width="19.875" style="3296" customWidth="1"/>
    <col min="4871" max="4871" width="7.875" style="3296" customWidth="1"/>
    <col min="4872" max="4872" width="44.875" style="3296" customWidth="1"/>
    <col min="4873" max="4874" width="9" style="3296" customWidth="1"/>
    <col min="4875" max="4876" width="10.625" style="3296" customWidth="1"/>
    <col min="4877" max="4877" width="14.375" style="3296" customWidth="1"/>
    <col min="4878" max="4878" width="6.25" style="3296" customWidth="1"/>
    <col min="4879" max="4879" width="34.375" style="3296" customWidth="1"/>
    <col min="4880" max="4880" width="7.875" style="3296" customWidth="1"/>
    <col min="4881" max="5120" width="9" style="3296"/>
    <col min="5121" max="5121" width="44.5" style="3296" customWidth="1"/>
    <col min="5122" max="5122" width="6.25" style="3296" customWidth="1"/>
    <col min="5123" max="5125" width="13.875" style="3296" customWidth="1"/>
    <col min="5126" max="5126" width="19.875" style="3296" customWidth="1"/>
    <col min="5127" max="5127" width="7.875" style="3296" customWidth="1"/>
    <col min="5128" max="5128" width="44.875" style="3296" customWidth="1"/>
    <col min="5129" max="5130" width="9" style="3296" customWidth="1"/>
    <col min="5131" max="5132" width="10.625" style="3296" customWidth="1"/>
    <col min="5133" max="5133" width="14.375" style="3296" customWidth="1"/>
    <col min="5134" max="5134" width="6.25" style="3296" customWidth="1"/>
    <col min="5135" max="5135" width="34.375" style="3296" customWidth="1"/>
    <col min="5136" max="5136" width="7.875" style="3296" customWidth="1"/>
    <col min="5137" max="5376" width="9" style="3296"/>
    <col min="5377" max="5377" width="44.5" style="3296" customWidth="1"/>
    <col min="5378" max="5378" width="6.25" style="3296" customWidth="1"/>
    <col min="5379" max="5381" width="13.875" style="3296" customWidth="1"/>
    <col min="5382" max="5382" width="19.875" style="3296" customWidth="1"/>
    <col min="5383" max="5383" width="7.875" style="3296" customWidth="1"/>
    <col min="5384" max="5384" width="44.875" style="3296" customWidth="1"/>
    <col min="5385" max="5386" width="9" style="3296" customWidth="1"/>
    <col min="5387" max="5388" width="10.625" style="3296" customWidth="1"/>
    <col min="5389" max="5389" width="14.375" style="3296" customWidth="1"/>
    <col min="5390" max="5390" width="6.25" style="3296" customWidth="1"/>
    <col min="5391" max="5391" width="34.375" style="3296" customWidth="1"/>
    <col min="5392" max="5392" width="7.875" style="3296" customWidth="1"/>
    <col min="5393" max="5632" width="9" style="3296"/>
    <col min="5633" max="5633" width="44.5" style="3296" customWidth="1"/>
    <col min="5634" max="5634" width="6.25" style="3296" customWidth="1"/>
    <col min="5635" max="5637" width="13.875" style="3296" customWidth="1"/>
    <col min="5638" max="5638" width="19.875" style="3296" customWidth="1"/>
    <col min="5639" max="5639" width="7.875" style="3296" customWidth="1"/>
    <col min="5640" max="5640" width="44.875" style="3296" customWidth="1"/>
    <col min="5641" max="5642" width="9" style="3296" customWidth="1"/>
    <col min="5643" max="5644" width="10.625" style="3296" customWidth="1"/>
    <col min="5645" max="5645" width="14.375" style="3296" customWidth="1"/>
    <col min="5646" max="5646" width="6.25" style="3296" customWidth="1"/>
    <col min="5647" max="5647" width="34.375" style="3296" customWidth="1"/>
    <col min="5648" max="5648" width="7.875" style="3296" customWidth="1"/>
    <col min="5649" max="5888" width="9" style="3296"/>
    <col min="5889" max="5889" width="44.5" style="3296" customWidth="1"/>
    <col min="5890" max="5890" width="6.25" style="3296" customWidth="1"/>
    <col min="5891" max="5893" width="13.875" style="3296" customWidth="1"/>
    <col min="5894" max="5894" width="19.875" style="3296" customWidth="1"/>
    <col min="5895" max="5895" width="7.875" style="3296" customWidth="1"/>
    <col min="5896" max="5896" width="44.875" style="3296" customWidth="1"/>
    <col min="5897" max="5898" width="9" style="3296" customWidth="1"/>
    <col min="5899" max="5900" width="10.625" style="3296" customWidth="1"/>
    <col min="5901" max="5901" width="14.375" style="3296" customWidth="1"/>
    <col min="5902" max="5902" width="6.25" style="3296" customWidth="1"/>
    <col min="5903" max="5903" width="34.375" style="3296" customWidth="1"/>
    <col min="5904" max="5904" width="7.875" style="3296" customWidth="1"/>
    <col min="5905" max="6144" width="9" style="3296"/>
    <col min="6145" max="6145" width="44.5" style="3296" customWidth="1"/>
    <col min="6146" max="6146" width="6.25" style="3296" customWidth="1"/>
    <col min="6147" max="6149" width="13.875" style="3296" customWidth="1"/>
    <col min="6150" max="6150" width="19.875" style="3296" customWidth="1"/>
    <col min="6151" max="6151" width="7.875" style="3296" customWidth="1"/>
    <col min="6152" max="6152" width="44.875" style="3296" customWidth="1"/>
    <col min="6153" max="6154" width="9" style="3296" customWidth="1"/>
    <col min="6155" max="6156" width="10.625" style="3296" customWidth="1"/>
    <col min="6157" max="6157" width="14.375" style="3296" customWidth="1"/>
    <col min="6158" max="6158" width="6.25" style="3296" customWidth="1"/>
    <col min="6159" max="6159" width="34.375" style="3296" customWidth="1"/>
    <col min="6160" max="6160" width="7.875" style="3296" customWidth="1"/>
    <col min="6161" max="6400" width="9" style="3296"/>
    <col min="6401" max="6401" width="44.5" style="3296" customWidth="1"/>
    <col min="6402" max="6402" width="6.25" style="3296" customWidth="1"/>
    <col min="6403" max="6405" width="13.875" style="3296" customWidth="1"/>
    <col min="6406" max="6406" width="19.875" style="3296" customWidth="1"/>
    <col min="6407" max="6407" width="7.875" style="3296" customWidth="1"/>
    <col min="6408" max="6408" width="44.875" style="3296" customWidth="1"/>
    <col min="6409" max="6410" width="9" style="3296" customWidth="1"/>
    <col min="6411" max="6412" width="10.625" style="3296" customWidth="1"/>
    <col min="6413" max="6413" width="14.375" style="3296" customWidth="1"/>
    <col min="6414" max="6414" width="6.25" style="3296" customWidth="1"/>
    <col min="6415" max="6415" width="34.375" style="3296" customWidth="1"/>
    <col min="6416" max="6416" width="7.875" style="3296" customWidth="1"/>
    <col min="6417" max="6656" width="9" style="3296"/>
    <col min="6657" max="6657" width="44.5" style="3296" customWidth="1"/>
    <col min="6658" max="6658" width="6.25" style="3296" customWidth="1"/>
    <col min="6659" max="6661" width="13.875" style="3296" customWidth="1"/>
    <col min="6662" max="6662" width="19.875" style="3296" customWidth="1"/>
    <col min="6663" max="6663" width="7.875" style="3296" customWidth="1"/>
    <col min="6664" max="6664" width="44.875" style="3296" customWidth="1"/>
    <col min="6665" max="6666" width="9" style="3296" customWidth="1"/>
    <col min="6667" max="6668" width="10.625" style="3296" customWidth="1"/>
    <col min="6669" max="6669" width="14.375" style="3296" customWidth="1"/>
    <col min="6670" max="6670" width="6.25" style="3296" customWidth="1"/>
    <col min="6671" max="6671" width="34.375" style="3296" customWidth="1"/>
    <col min="6672" max="6672" width="7.875" style="3296" customWidth="1"/>
    <col min="6673" max="6912" width="9" style="3296"/>
    <col min="6913" max="6913" width="44.5" style="3296" customWidth="1"/>
    <col min="6914" max="6914" width="6.25" style="3296" customWidth="1"/>
    <col min="6915" max="6917" width="13.875" style="3296" customWidth="1"/>
    <col min="6918" max="6918" width="19.875" style="3296" customWidth="1"/>
    <col min="6919" max="6919" width="7.875" style="3296" customWidth="1"/>
    <col min="6920" max="6920" width="44.875" style="3296" customWidth="1"/>
    <col min="6921" max="6922" width="9" style="3296" customWidth="1"/>
    <col min="6923" max="6924" width="10.625" style="3296" customWidth="1"/>
    <col min="6925" max="6925" width="14.375" style="3296" customWidth="1"/>
    <col min="6926" max="6926" width="6.25" style="3296" customWidth="1"/>
    <col min="6927" max="6927" width="34.375" style="3296" customWidth="1"/>
    <col min="6928" max="6928" width="7.875" style="3296" customWidth="1"/>
    <col min="6929" max="7168" width="9" style="3296"/>
    <col min="7169" max="7169" width="44.5" style="3296" customWidth="1"/>
    <col min="7170" max="7170" width="6.25" style="3296" customWidth="1"/>
    <col min="7171" max="7173" width="13.875" style="3296" customWidth="1"/>
    <col min="7174" max="7174" width="19.875" style="3296" customWidth="1"/>
    <col min="7175" max="7175" width="7.875" style="3296" customWidth="1"/>
    <col min="7176" max="7176" width="44.875" style="3296" customWidth="1"/>
    <col min="7177" max="7178" width="9" style="3296" customWidth="1"/>
    <col min="7179" max="7180" width="10.625" style="3296" customWidth="1"/>
    <col min="7181" max="7181" width="14.375" style="3296" customWidth="1"/>
    <col min="7182" max="7182" width="6.25" style="3296" customWidth="1"/>
    <col min="7183" max="7183" width="34.375" style="3296" customWidth="1"/>
    <col min="7184" max="7184" width="7.875" style="3296" customWidth="1"/>
    <col min="7185" max="7424" width="9" style="3296"/>
    <col min="7425" max="7425" width="44.5" style="3296" customWidth="1"/>
    <col min="7426" max="7426" width="6.25" style="3296" customWidth="1"/>
    <col min="7427" max="7429" width="13.875" style="3296" customWidth="1"/>
    <col min="7430" max="7430" width="19.875" style="3296" customWidth="1"/>
    <col min="7431" max="7431" width="7.875" style="3296" customWidth="1"/>
    <col min="7432" max="7432" width="44.875" style="3296" customWidth="1"/>
    <col min="7433" max="7434" width="9" style="3296" customWidth="1"/>
    <col min="7435" max="7436" width="10.625" style="3296" customWidth="1"/>
    <col min="7437" max="7437" width="14.375" style="3296" customWidth="1"/>
    <col min="7438" max="7438" width="6.25" style="3296" customWidth="1"/>
    <col min="7439" max="7439" width="34.375" style="3296" customWidth="1"/>
    <col min="7440" max="7440" width="7.875" style="3296" customWidth="1"/>
    <col min="7441" max="7680" width="9" style="3296"/>
    <col min="7681" max="7681" width="44.5" style="3296" customWidth="1"/>
    <col min="7682" max="7682" width="6.25" style="3296" customWidth="1"/>
    <col min="7683" max="7685" width="13.875" style="3296" customWidth="1"/>
    <col min="7686" max="7686" width="19.875" style="3296" customWidth="1"/>
    <col min="7687" max="7687" width="7.875" style="3296" customWidth="1"/>
    <col min="7688" max="7688" width="44.875" style="3296" customWidth="1"/>
    <col min="7689" max="7690" width="9" style="3296" customWidth="1"/>
    <col min="7691" max="7692" width="10.625" style="3296" customWidth="1"/>
    <col min="7693" max="7693" width="14.375" style="3296" customWidth="1"/>
    <col min="7694" max="7694" width="6.25" style="3296" customWidth="1"/>
    <col min="7695" max="7695" width="34.375" style="3296" customWidth="1"/>
    <col min="7696" max="7696" width="7.875" style="3296" customWidth="1"/>
    <col min="7697" max="7936" width="9" style="3296"/>
    <col min="7937" max="7937" width="44.5" style="3296" customWidth="1"/>
    <col min="7938" max="7938" width="6.25" style="3296" customWidth="1"/>
    <col min="7939" max="7941" width="13.875" style="3296" customWidth="1"/>
    <col min="7942" max="7942" width="19.875" style="3296" customWidth="1"/>
    <col min="7943" max="7943" width="7.875" style="3296" customWidth="1"/>
    <col min="7944" max="7944" width="44.875" style="3296" customWidth="1"/>
    <col min="7945" max="7946" width="9" style="3296" customWidth="1"/>
    <col min="7947" max="7948" width="10.625" style="3296" customWidth="1"/>
    <col min="7949" max="7949" width="14.375" style="3296" customWidth="1"/>
    <col min="7950" max="7950" width="6.25" style="3296" customWidth="1"/>
    <col min="7951" max="7951" width="34.375" style="3296" customWidth="1"/>
    <col min="7952" max="7952" width="7.875" style="3296" customWidth="1"/>
    <col min="7953" max="8192" width="9" style="3296"/>
    <col min="8193" max="8193" width="44.5" style="3296" customWidth="1"/>
    <col min="8194" max="8194" width="6.25" style="3296" customWidth="1"/>
    <col min="8195" max="8197" width="13.875" style="3296" customWidth="1"/>
    <col min="8198" max="8198" width="19.875" style="3296" customWidth="1"/>
    <col min="8199" max="8199" width="7.875" style="3296" customWidth="1"/>
    <col min="8200" max="8200" width="44.875" style="3296" customWidth="1"/>
    <col min="8201" max="8202" width="9" style="3296" customWidth="1"/>
    <col min="8203" max="8204" width="10.625" style="3296" customWidth="1"/>
    <col min="8205" max="8205" width="14.375" style="3296" customWidth="1"/>
    <col min="8206" max="8206" width="6.25" style="3296" customWidth="1"/>
    <col min="8207" max="8207" width="34.375" style="3296" customWidth="1"/>
    <col min="8208" max="8208" width="7.875" style="3296" customWidth="1"/>
    <col min="8209" max="8448" width="9" style="3296"/>
    <col min="8449" max="8449" width="44.5" style="3296" customWidth="1"/>
    <col min="8450" max="8450" width="6.25" style="3296" customWidth="1"/>
    <col min="8451" max="8453" width="13.875" style="3296" customWidth="1"/>
    <col min="8454" max="8454" width="19.875" style="3296" customWidth="1"/>
    <col min="8455" max="8455" width="7.875" style="3296" customWidth="1"/>
    <col min="8456" max="8456" width="44.875" style="3296" customWidth="1"/>
    <col min="8457" max="8458" width="9" style="3296" customWidth="1"/>
    <col min="8459" max="8460" width="10.625" style="3296" customWidth="1"/>
    <col min="8461" max="8461" width="14.375" style="3296" customWidth="1"/>
    <col min="8462" max="8462" width="6.25" style="3296" customWidth="1"/>
    <col min="8463" max="8463" width="34.375" style="3296" customWidth="1"/>
    <col min="8464" max="8464" width="7.875" style="3296" customWidth="1"/>
    <col min="8465" max="8704" width="9" style="3296"/>
    <col min="8705" max="8705" width="44.5" style="3296" customWidth="1"/>
    <col min="8706" max="8706" width="6.25" style="3296" customWidth="1"/>
    <col min="8707" max="8709" width="13.875" style="3296" customWidth="1"/>
    <col min="8710" max="8710" width="19.875" style="3296" customWidth="1"/>
    <col min="8711" max="8711" width="7.875" style="3296" customWidth="1"/>
    <col min="8712" max="8712" width="44.875" style="3296" customWidth="1"/>
    <col min="8713" max="8714" width="9" style="3296" customWidth="1"/>
    <col min="8715" max="8716" width="10.625" style="3296" customWidth="1"/>
    <col min="8717" max="8717" width="14.375" style="3296" customWidth="1"/>
    <col min="8718" max="8718" width="6.25" style="3296" customWidth="1"/>
    <col min="8719" max="8719" width="34.375" style="3296" customWidth="1"/>
    <col min="8720" max="8720" width="7.875" style="3296" customWidth="1"/>
    <col min="8721" max="8960" width="9" style="3296"/>
    <col min="8961" max="8961" width="44.5" style="3296" customWidth="1"/>
    <col min="8962" max="8962" width="6.25" style="3296" customWidth="1"/>
    <col min="8963" max="8965" width="13.875" style="3296" customWidth="1"/>
    <col min="8966" max="8966" width="19.875" style="3296" customWidth="1"/>
    <col min="8967" max="8967" width="7.875" style="3296" customWidth="1"/>
    <col min="8968" max="8968" width="44.875" style="3296" customWidth="1"/>
    <col min="8969" max="8970" width="9" style="3296" customWidth="1"/>
    <col min="8971" max="8972" width="10.625" style="3296" customWidth="1"/>
    <col min="8973" max="8973" width="14.375" style="3296" customWidth="1"/>
    <col min="8974" max="8974" width="6.25" style="3296" customWidth="1"/>
    <col min="8975" max="8975" width="34.375" style="3296" customWidth="1"/>
    <col min="8976" max="8976" width="7.875" style="3296" customWidth="1"/>
    <col min="8977" max="9216" width="9" style="3296"/>
    <col min="9217" max="9217" width="44.5" style="3296" customWidth="1"/>
    <col min="9218" max="9218" width="6.25" style="3296" customWidth="1"/>
    <col min="9219" max="9221" width="13.875" style="3296" customWidth="1"/>
    <col min="9222" max="9222" width="19.875" style="3296" customWidth="1"/>
    <col min="9223" max="9223" width="7.875" style="3296" customWidth="1"/>
    <col min="9224" max="9224" width="44.875" style="3296" customWidth="1"/>
    <col min="9225" max="9226" width="9" style="3296" customWidth="1"/>
    <col min="9227" max="9228" width="10.625" style="3296" customWidth="1"/>
    <col min="9229" max="9229" width="14.375" style="3296" customWidth="1"/>
    <col min="9230" max="9230" width="6.25" style="3296" customWidth="1"/>
    <col min="9231" max="9231" width="34.375" style="3296" customWidth="1"/>
    <col min="9232" max="9232" width="7.875" style="3296" customWidth="1"/>
    <col min="9233" max="9472" width="9" style="3296"/>
    <col min="9473" max="9473" width="44.5" style="3296" customWidth="1"/>
    <col min="9474" max="9474" width="6.25" style="3296" customWidth="1"/>
    <col min="9475" max="9477" width="13.875" style="3296" customWidth="1"/>
    <col min="9478" max="9478" width="19.875" style="3296" customWidth="1"/>
    <col min="9479" max="9479" width="7.875" style="3296" customWidth="1"/>
    <col min="9480" max="9480" width="44.875" style="3296" customWidth="1"/>
    <col min="9481" max="9482" width="9" style="3296" customWidth="1"/>
    <col min="9483" max="9484" width="10.625" style="3296" customWidth="1"/>
    <col min="9485" max="9485" width="14.375" style="3296" customWidth="1"/>
    <col min="9486" max="9486" width="6.25" style="3296" customWidth="1"/>
    <col min="9487" max="9487" width="34.375" style="3296" customWidth="1"/>
    <col min="9488" max="9488" width="7.875" style="3296" customWidth="1"/>
    <col min="9489" max="9728" width="9" style="3296"/>
    <col min="9729" max="9729" width="44.5" style="3296" customWidth="1"/>
    <col min="9730" max="9730" width="6.25" style="3296" customWidth="1"/>
    <col min="9731" max="9733" width="13.875" style="3296" customWidth="1"/>
    <col min="9734" max="9734" width="19.875" style="3296" customWidth="1"/>
    <col min="9735" max="9735" width="7.875" style="3296" customWidth="1"/>
    <col min="9736" max="9736" width="44.875" style="3296" customWidth="1"/>
    <col min="9737" max="9738" width="9" style="3296" customWidth="1"/>
    <col min="9739" max="9740" width="10.625" style="3296" customWidth="1"/>
    <col min="9741" max="9741" width="14.375" style="3296" customWidth="1"/>
    <col min="9742" max="9742" width="6.25" style="3296" customWidth="1"/>
    <col min="9743" max="9743" width="34.375" style="3296" customWidth="1"/>
    <col min="9744" max="9744" width="7.875" style="3296" customWidth="1"/>
    <col min="9745" max="9984" width="9" style="3296"/>
    <col min="9985" max="9985" width="44.5" style="3296" customWidth="1"/>
    <col min="9986" max="9986" width="6.25" style="3296" customWidth="1"/>
    <col min="9987" max="9989" width="13.875" style="3296" customWidth="1"/>
    <col min="9990" max="9990" width="19.875" style="3296" customWidth="1"/>
    <col min="9991" max="9991" width="7.875" style="3296" customWidth="1"/>
    <col min="9992" max="9992" width="44.875" style="3296" customWidth="1"/>
    <col min="9993" max="9994" width="9" style="3296" customWidth="1"/>
    <col min="9995" max="9996" width="10.625" style="3296" customWidth="1"/>
    <col min="9997" max="9997" width="14.375" style="3296" customWidth="1"/>
    <col min="9998" max="9998" width="6.25" style="3296" customWidth="1"/>
    <col min="9999" max="9999" width="34.375" style="3296" customWidth="1"/>
    <col min="10000" max="10000" width="7.875" style="3296" customWidth="1"/>
    <col min="10001" max="10240" width="9" style="3296"/>
    <col min="10241" max="10241" width="44.5" style="3296" customWidth="1"/>
    <col min="10242" max="10242" width="6.25" style="3296" customWidth="1"/>
    <col min="10243" max="10245" width="13.875" style="3296" customWidth="1"/>
    <col min="10246" max="10246" width="19.875" style="3296" customWidth="1"/>
    <col min="10247" max="10247" width="7.875" style="3296" customWidth="1"/>
    <col min="10248" max="10248" width="44.875" style="3296" customWidth="1"/>
    <col min="10249" max="10250" width="9" style="3296" customWidth="1"/>
    <col min="10251" max="10252" width="10.625" style="3296" customWidth="1"/>
    <col min="10253" max="10253" width="14.375" style="3296" customWidth="1"/>
    <col min="10254" max="10254" width="6.25" style="3296" customWidth="1"/>
    <col min="10255" max="10255" width="34.375" style="3296" customWidth="1"/>
    <col min="10256" max="10256" width="7.875" style="3296" customWidth="1"/>
    <col min="10257" max="10496" width="9" style="3296"/>
    <col min="10497" max="10497" width="44.5" style="3296" customWidth="1"/>
    <col min="10498" max="10498" width="6.25" style="3296" customWidth="1"/>
    <col min="10499" max="10501" width="13.875" style="3296" customWidth="1"/>
    <col min="10502" max="10502" width="19.875" style="3296" customWidth="1"/>
    <col min="10503" max="10503" width="7.875" style="3296" customWidth="1"/>
    <col min="10504" max="10504" width="44.875" style="3296" customWidth="1"/>
    <col min="10505" max="10506" width="9" style="3296" customWidth="1"/>
    <col min="10507" max="10508" width="10.625" style="3296" customWidth="1"/>
    <col min="10509" max="10509" width="14.375" style="3296" customWidth="1"/>
    <col min="10510" max="10510" width="6.25" style="3296" customWidth="1"/>
    <col min="10511" max="10511" width="34.375" style="3296" customWidth="1"/>
    <col min="10512" max="10512" width="7.875" style="3296" customWidth="1"/>
    <col min="10513" max="10752" width="9" style="3296"/>
    <col min="10753" max="10753" width="44.5" style="3296" customWidth="1"/>
    <col min="10754" max="10754" width="6.25" style="3296" customWidth="1"/>
    <col min="10755" max="10757" width="13.875" style="3296" customWidth="1"/>
    <col min="10758" max="10758" width="19.875" style="3296" customWidth="1"/>
    <col min="10759" max="10759" width="7.875" style="3296" customWidth="1"/>
    <col min="10760" max="10760" width="44.875" style="3296" customWidth="1"/>
    <col min="10761" max="10762" width="9" style="3296" customWidth="1"/>
    <col min="10763" max="10764" width="10.625" style="3296" customWidth="1"/>
    <col min="10765" max="10765" width="14.375" style="3296" customWidth="1"/>
    <col min="10766" max="10766" width="6.25" style="3296" customWidth="1"/>
    <col min="10767" max="10767" width="34.375" style="3296" customWidth="1"/>
    <col min="10768" max="10768" width="7.875" style="3296" customWidth="1"/>
    <col min="10769" max="11008" width="9" style="3296"/>
    <col min="11009" max="11009" width="44.5" style="3296" customWidth="1"/>
    <col min="11010" max="11010" width="6.25" style="3296" customWidth="1"/>
    <col min="11011" max="11013" width="13.875" style="3296" customWidth="1"/>
    <col min="11014" max="11014" width="19.875" style="3296" customWidth="1"/>
    <col min="11015" max="11015" width="7.875" style="3296" customWidth="1"/>
    <col min="11016" max="11016" width="44.875" style="3296" customWidth="1"/>
    <col min="11017" max="11018" width="9" style="3296" customWidth="1"/>
    <col min="11019" max="11020" width="10.625" style="3296" customWidth="1"/>
    <col min="11021" max="11021" width="14.375" style="3296" customWidth="1"/>
    <col min="11022" max="11022" width="6.25" style="3296" customWidth="1"/>
    <col min="11023" max="11023" width="34.375" style="3296" customWidth="1"/>
    <col min="11024" max="11024" width="7.875" style="3296" customWidth="1"/>
    <col min="11025" max="11264" width="9" style="3296"/>
    <col min="11265" max="11265" width="44.5" style="3296" customWidth="1"/>
    <col min="11266" max="11266" width="6.25" style="3296" customWidth="1"/>
    <col min="11267" max="11269" width="13.875" style="3296" customWidth="1"/>
    <col min="11270" max="11270" width="19.875" style="3296" customWidth="1"/>
    <col min="11271" max="11271" width="7.875" style="3296" customWidth="1"/>
    <col min="11272" max="11272" width="44.875" style="3296" customWidth="1"/>
    <col min="11273" max="11274" width="9" style="3296" customWidth="1"/>
    <col min="11275" max="11276" width="10.625" style="3296" customWidth="1"/>
    <col min="11277" max="11277" width="14.375" style="3296" customWidth="1"/>
    <col min="11278" max="11278" width="6.25" style="3296" customWidth="1"/>
    <col min="11279" max="11279" width="34.375" style="3296" customWidth="1"/>
    <col min="11280" max="11280" width="7.875" style="3296" customWidth="1"/>
    <col min="11281" max="11520" width="9" style="3296"/>
    <col min="11521" max="11521" width="44.5" style="3296" customWidth="1"/>
    <col min="11522" max="11522" width="6.25" style="3296" customWidth="1"/>
    <col min="11523" max="11525" width="13.875" style="3296" customWidth="1"/>
    <col min="11526" max="11526" width="19.875" style="3296" customWidth="1"/>
    <col min="11527" max="11527" width="7.875" style="3296" customWidth="1"/>
    <col min="11528" max="11528" width="44.875" style="3296" customWidth="1"/>
    <col min="11529" max="11530" width="9" style="3296" customWidth="1"/>
    <col min="11531" max="11532" width="10.625" style="3296" customWidth="1"/>
    <col min="11533" max="11533" width="14.375" style="3296" customWidth="1"/>
    <col min="11534" max="11534" width="6.25" style="3296" customWidth="1"/>
    <col min="11535" max="11535" width="34.375" style="3296" customWidth="1"/>
    <col min="11536" max="11536" width="7.875" style="3296" customWidth="1"/>
    <col min="11537" max="11776" width="9" style="3296"/>
    <col min="11777" max="11777" width="44.5" style="3296" customWidth="1"/>
    <col min="11778" max="11778" width="6.25" style="3296" customWidth="1"/>
    <col min="11779" max="11781" width="13.875" style="3296" customWidth="1"/>
    <col min="11782" max="11782" width="19.875" style="3296" customWidth="1"/>
    <col min="11783" max="11783" width="7.875" style="3296" customWidth="1"/>
    <col min="11784" max="11784" width="44.875" style="3296" customWidth="1"/>
    <col min="11785" max="11786" width="9" style="3296" customWidth="1"/>
    <col min="11787" max="11788" width="10.625" style="3296" customWidth="1"/>
    <col min="11789" max="11789" width="14.375" style="3296" customWidth="1"/>
    <col min="11790" max="11790" width="6.25" style="3296" customWidth="1"/>
    <col min="11791" max="11791" width="34.375" style="3296" customWidth="1"/>
    <col min="11792" max="11792" width="7.875" style="3296" customWidth="1"/>
    <col min="11793" max="12032" width="9" style="3296"/>
    <col min="12033" max="12033" width="44.5" style="3296" customWidth="1"/>
    <col min="12034" max="12034" width="6.25" style="3296" customWidth="1"/>
    <col min="12035" max="12037" width="13.875" style="3296" customWidth="1"/>
    <col min="12038" max="12038" width="19.875" style="3296" customWidth="1"/>
    <col min="12039" max="12039" width="7.875" style="3296" customWidth="1"/>
    <col min="12040" max="12040" width="44.875" style="3296" customWidth="1"/>
    <col min="12041" max="12042" width="9" style="3296" customWidth="1"/>
    <col min="12043" max="12044" width="10.625" style="3296" customWidth="1"/>
    <col min="12045" max="12045" width="14.375" style="3296" customWidth="1"/>
    <col min="12046" max="12046" width="6.25" style="3296" customWidth="1"/>
    <col min="12047" max="12047" width="34.375" style="3296" customWidth="1"/>
    <col min="12048" max="12048" width="7.875" style="3296" customWidth="1"/>
    <col min="12049" max="12288" width="9" style="3296"/>
    <col min="12289" max="12289" width="44.5" style="3296" customWidth="1"/>
    <col min="12290" max="12290" width="6.25" style="3296" customWidth="1"/>
    <col min="12291" max="12293" width="13.875" style="3296" customWidth="1"/>
    <col min="12294" max="12294" width="19.875" style="3296" customWidth="1"/>
    <col min="12295" max="12295" width="7.875" style="3296" customWidth="1"/>
    <col min="12296" max="12296" width="44.875" style="3296" customWidth="1"/>
    <col min="12297" max="12298" width="9" style="3296" customWidth="1"/>
    <col min="12299" max="12300" width="10.625" style="3296" customWidth="1"/>
    <col min="12301" max="12301" width="14.375" style="3296" customWidth="1"/>
    <col min="12302" max="12302" width="6.25" style="3296" customWidth="1"/>
    <col min="12303" max="12303" width="34.375" style="3296" customWidth="1"/>
    <col min="12304" max="12304" width="7.875" style="3296" customWidth="1"/>
    <col min="12305" max="12544" width="9" style="3296"/>
    <col min="12545" max="12545" width="44.5" style="3296" customWidth="1"/>
    <col min="12546" max="12546" width="6.25" style="3296" customWidth="1"/>
    <col min="12547" max="12549" width="13.875" style="3296" customWidth="1"/>
    <col min="12550" max="12550" width="19.875" style="3296" customWidth="1"/>
    <col min="12551" max="12551" width="7.875" style="3296" customWidth="1"/>
    <col min="12552" max="12552" width="44.875" style="3296" customWidth="1"/>
    <col min="12553" max="12554" width="9" style="3296" customWidth="1"/>
    <col min="12555" max="12556" width="10.625" style="3296" customWidth="1"/>
    <col min="12557" max="12557" width="14.375" style="3296" customWidth="1"/>
    <col min="12558" max="12558" width="6.25" style="3296" customWidth="1"/>
    <col min="12559" max="12559" width="34.375" style="3296" customWidth="1"/>
    <col min="12560" max="12560" width="7.875" style="3296" customWidth="1"/>
    <col min="12561" max="12800" width="9" style="3296"/>
    <col min="12801" max="12801" width="44.5" style="3296" customWidth="1"/>
    <col min="12802" max="12802" width="6.25" style="3296" customWidth="1"/>
    <col min="12803" max="12805" width="13.875" style="3296" customWidth="1"/>
    <col min="12806" max="12806" width="19.875" style="3296" customWidth="1"/>
    <col min="12807" max="12807" width="7.875" style="3296" customWidth="1"/>
    <col min="12808" max="12808" width="44.875" style="3296" customWidth="1"/>
    <col min="12809" max="12810" width="9" style="3296" customWidth="1"/>
    <col min="12811" max="12812" width="10.625" style="3296" customWidth="1"/>
    <col min="12813" max="12813" width="14.375" style="3296" customWidth="1"/>
    <col min="12814" max="12814" width="6.25" style="3296" customWidth="1"/>
    <col min="12815" max="12815" width="34.375" style="3296" customWidth="1"/>
    <col min="12816" max="12816" width="7.875" style="3296" customWidth="1"/>
    <col min="12817" max="13056" width="9" style="3296"/>
    <col min="13057" max="13057" width="44.5" style="3296" customWidth="1"/>
    <col min="13058" max="13058" width="6.25" style="3296" customWidth="1"/>
    <col min="13059" max="13061" width="13.875" style="3296" customWidth="1"/>
    <col min="13062" max="13062" width="19.875" style="3296" customWidth="1"/>
    <col min="13063" max="13063" width="7.875" style="3296" customWidth="1"/>
    <col min="13064" max="13064" width="44.875" style="3296" customWidth="1"/>
    <col min="13065" max="13066" width="9" style="3296" customWidth="1"/>
    <col min="13067" max="13068" width="10.625" style="3296" customWidth="1"/>
    <col min="13069" max="13069" width="14.375" style="3296" customWidth="1"/>
    <col min="13070" max="13070" width="6.25" style="3296" customWidth="1"/>
    <col min="13071" max="13071" width="34.375" style="3296" customWidth="1"/>
    <col min="13072" max="13072" width="7.875" style="3296" customWidth="1"/>
    <col min="13073" max="13312" width="9" style="3296"/>
    <col min="13313" max="13313" width="44.5" style="3296" customWidth="1"/>
    <col min="13314" max="13314" width="6.25" style="3296" customWidth="1"/>
    <col min="13315" max="13317" width="13.875" style="3296" customWidth="1"/>
    <col min="13318" max="13318" width="19.875" style="3296" customWidth="1"/>
    <col min="13319" max="13319" width="7.875" style="3296" customWidth="1"/>
    <col min="13320" max="13320" width="44.875" style="3296" customWidth="1"/>
    <col min="13321" max="13322" width="9" style="3296" customWidth="1"/>
    <col min="13323" max="13324" width="10.625" style="3296" customWidth="1"/>
    <col min="13325" max="13325" width="14.375" style="3296" customWidth="1"/>
    <col min="13326" max="13326" width="6.25" style="3296" customWidth="1"/>
    <col min="13327" max="13327" width="34.375" style="3296" customWidth="1"/>
    <col min="13328" max="13328" width="7.875" style="3296" customWidth="1"/>
    <col min="13329" max="13568" width="9" style="3296"/>
    <col min="13569" max="13569" width="44.5" style="3296" customWidth="1"/>
    <col min="13570" max="13570" width="6.25" style="3296" customWidth="1"/>
    <col min="13571" max="13573" width="13.875" style="3296" customWidth="1"/>
    <col min="13574" max="13574" width="19.875" style="3296" customWidth="1"/>
    <col min="13575" max="13575" width="7.875" style="3296" customWidth="1"/>
    <col min="13576" max="13576" width="44.875" style="3296" customWidth="1"/>
    <col min="13577" max="13578" width="9" style="3296" customWidth="1"/>
    <col min="13579" max="13580" width="10.625" style="3296" customWidth="1"/>
    <col min="13581" max="13581" width="14.375" style="3296" customWidth="1"/>
    <col min="13582" max="13582" width="6.25" style="3296" customWidth="1"/>
    <col min="13583" max="13583" width="34.375" style="3296" customWidth="1"/>
    <col min="13584" max="13584" width="7.875" style="3296" customWidth="1"/>
    <col min="13585" max="13824" width="9" style="3296"/>
    <col min="13825" max="13825" width="44.5" style="3296" customWidth="1"/>
    <col min="13826" max="13826" width="6.25" style="3296" customWidth="1"/>
    <col min="13827" max="13829" width="13.875" style="3296" customWidth="1"/>
    <col min="13830" max="13830" width="19.875" style="3296" customWidth="1"/>
    <col min="13831" max="13831" width="7.875" style="3296" customWidth="1"/>
    <col min="13832" max="13832" width="44.875" style="3296" customWidth="1"/>
    <col min="13833" max="13834" width="9" style="3296" customWidth="1"/>
    <col min="13835" max="13836" width="10.625" style="3296" customWidth="1"/>
    <col min="13837" max="13837" width="14.375" style="3296" customWidth="1"/>
    <col min="13838" max="13838" width="6.25" style="3296" customWidth="1"/>
    <col min="13839" max="13839" width="34.375" style="3296" customWidth="1"/>
    <col min="13840" max="13840" width="7.875" style="3296" customWidth="1"/>
    <col min="13841" max="14080" width="9" style="3296"/>
    <col min="14081" max="14081" width="44.5" style="3296" customWidth="1"/>
    <col min="14082" max="14082" width="6.25" style="3296" customWidth="1"/>
    <col min="14083" max="14085" width="13.875" style="3296" customWidth="1"/>
    <col min="14086" max="14086" width="19.875" style="3296" customWidth="1"/>
    <col min="14087" max="14087" width="7.875" style="3296" customWidth="1"/>
    <col min="14088" max="14088" width="44.875" style="3296" customWidth="1"/>
    <col min="14089" max="14090" width="9" style="3296" customWidth="1"/>
    <col min="14091" max="14092" width="10.625" style="3296" customWidth="1"/>
    <col min="14093" max="14093" width="14.375" style="3296" customWidth="1"/>
    <col min="14094" max="14094" width="6.25" style="3296" customWidth="1"/>
    <col min="14095" max="14095" width="34.375" style="3296" customWidth="1"/>
    <col min="14096" max="14096" width="7.875" style="3296" customWidth="1"/>
    <col min="14097" max="14336" width="9" style="3296"/>
    <col min="14337" max="14337" width="44.5" style="3296" customWidth="1"/>
    <col min="14338" max="14338" width="6.25" style="3296" customWidth="1"/>
    <col min="14339" max="14341" width="13.875" style="3296" customWidth="1"/>
    <col min="14342" max="14342" width="19.875" style="3296" customWidth="1"/>
    <col min="14343" max="14343" width="7.875" style="3296" customWidth="1"/>
    <col min="14344" max="14344" width="44.875" style="3296" customWidth="1"/>
    <col min="14345" max="14346" width="9" style="3296" customWidth="1"/>
    <col min="14347" max="14348" width="10.625" style="3296" customWidth="1"/>
    <col min="14349" max="14349" width="14.375" style="3296" customWidth="1"/>
    <col min="14350" max="14350" width="6.25" style="3296" customWidth="1"/>
    <col min="14351" max="14351" width="34.375" style="3296" customWidth="1"/>
    <col min="14352" max="14352" width="7.875" style="3296" customWidth="1"/>
    <col min="14353" max="14592" width="9" style="3296"/>
    <col min="14593" max="14593" width="44.5" style="3296" customWidth="1"/>
    <col min="14594" max="14594" width="6.25" style="3296" customWidth="1"/>
    <col min="14595" max="14597" width="13.875" style="3296" customWidth="1"/>
    <col min="14598" max="14598" width="19.875" style="3296" customWidth="1"/>
    <col min="14599" max="14599" width="7.875" style="3296" customWidth="1"/>
    <col min="14600" max="14600" width="44.875" style="3296" customWidth="1"/>
    <col min="14601" max="14602" width="9" style="3296" customWidth="1"/>
    <col min="14603" max="14604" width="10.625" style="3296" customWidth="1"/>
    <col min="14605" max="14605" width="14.375" style="3296" customWidth="1"/>
    <col min="14606" max="14606" width="6.25" style="3296" customWidth="1"/>
    <col min="14607" max="14607" width="34.375" style="3296" customWidth="1"/>
    <col min="14608" max="14608" width="7.875" style="3296" customWidth="1"/>
    <col min="14609" max="14848" width="9" style="3296"/>
    <col min="14849" max="14849" width="44.5" style="3296" customWidth="1"/>
    <col min="14850" max="14850" width="6.25" style="3296" customWidth="1"/>
    <col min="14851" max="14853" width="13.875" style="3296" customWidth="1"/>
    <col min="14854" max="14854" width="19.875" style="3296" customWidth="1"/>
    <col min="14855" max="14855" width="7.875" style="3296" customWidth="1"/>
    <col min="14856" max="14856" width="44.875" style="3296" customWidth="1"/>
    <col min="14857" max="14858" width="9" style="3296" customWidth="1"/>
    <col min="14859" max="14860" width="10.625" style="3296" customWidth="1"/>
    <col min="14861" max="14861" width="14.375" style="3296" customWidth="1"/>
    <col min="14862" max="14862" width="6.25" style="3296" customWidth="1"/>
    <col min="14863" max="14863" width="34.375" style="3296" customWidth="1"/>
    <col min="14864" max="14864" width="7.875" style="3296" customWidth="1"/>
    <col min="14865" max="15104" width="9" style="3296"/>
    <col min="15105" max="15105" width="44.5" style="3296" customWidth="1"/>
    <col min="15106" max="15106" width="6.25" style="3296" customWidth="1"/>
    <col min="15107" max="15109" width="13.875" style="3296" customWidth="1"/>
    <col min="15110" max="15110" width="19.875" style="3296" customWidth="1"/>
    <col min="15111" max="15111" width="7.875" style="3296" customWidth="1"/>
    <col min="15112" max="15112" width="44.875" style="3296" customWidth="1"/>
    <col min="15113" max="15114" width="9" style="3296" customWidth="1"/>
    <col min="15115" max="15116" width="10.625" style="3296" customWidth="1"/>
    <col min="15117" max="15117" width="14.375" style="3296" customWidth="1"/>
    <col min="15118" max="15118" width="6.25" style="3296" customWidth="1"/>
    <col min="15119" max="15119" width="34.375" style="3296" customWidth="1"/>
    <col min="15120" max="15120" width="7.875" style="3296" customWidth="1"/>
    <col min="15121" max="15360" width="9" style="3296"/>
    <col min="15361" max="15361" width="44.5" style="3296" customWidth="1"/>
    <col min="15362" max="15362" width="6.25" style="3296" customWidth="1"/>
    <col min="15363" max="15365" width="13.875" style="3296" customWidth="1"/>
    <col min="15366" max="15366" width="19.875" style="3296" customWidth="1"/>
    <col min="15367" max="15367" width="7.875" style="3296" customWidth="1"/>
    <col min="15368" max="15368" width="44.875" style="3296" customWidth="1"/>
    <col min="15369" max="15370" width="9" style="3296" customWidth="1"/>
    <col min="15371" max="15372" width="10.625" style="3296" customWidth="1"/>
    <col min="15373" max="15373" width="14.375" style="3296" customWidth="1"/>
    <col min="15374" max="15374" width="6.25" style="3296" customWidth="1"/>
    <col min="15375" max="15375" width="34.375" style="3296" customWidth="1"/>
    <col min="15376" max="15376" width="7.875" style="3296" customWidth="1"/>
    <col min="15377" max="15616" width="9" style="3296"/>
    <col min="15617" max="15617" width="44.5" style="3296" customWidth="1"/>
    <col min="15618" max="15618" width="6.25" style="3296" customWidth="1"/>
    <col min="15619" max="15621" width="13.875" style="3296" customWidth="1"/>
    <col min="15622" max="15622" width="19.875" style="3296" customWidth="1"/>
    <col min="15623" max="15623" width="7.875" style="3296" customWidth="1"/>
    <col min="15624" max="15624" width="44.875" style="3296" customWidth="1"/>
    <col min="15625" max="15626" width="9" style="3296" customWidth="1"/>
    <col min="15627" max="15628" width="10.625" style="3296" customWidth="1"/>
    <col min="15629" max="15629" width="14.375" style="3296" customWidth="1"/>
    <col min="15630" max="15630" width="6.25" style="3296" customWidth="1"/>
    <col min="15631" max="15631" width="34.375" style="3296" customWidth="1"/>
    <col min="15632" max="15632" width="7.875" style="3296" customWidth="1"/>
    <col min="15633" max="15872" width="9" style="3296"/>
    <col min="15873" max="15873" width="44.5" style="3296" customWidth="1"/>
    <col min="15874" max="15874" width="6.25" style="3296" customWidth="1"/>
    <col min="15875" max="15877" width="13.875" style="3296" customWidth="1"/>
    <col min="15878" max="15878" width="19.875" style="3296" customWidth="1"/>
    <col min="15879" max="15879" width="7.875" style="3296" customWidth="1"/>
    <col min="15880" max="15880" width="44.875" style="3296" customWidth="1"/>
    <col min="15881" max="15882" width="9" style="3296" customWidth="1"/>
    <col min="15883" max="15884" width="10.625" style="3296" customWidth="1"/>
    <col min="15885" max="15885" width="14.375" style="3296" customWidth="1"/>
    <col min="15886" max="15886" width="6.25" style="3296" customWidth="1"/>
    <col min="15887" max="15887" width="34.375" style="3296" customWidth="1"/>
    <col min="15888" max="15888" width="7.875" style="3296" customWidth="1"/>
    <col min="15889" max="16128" width="9" style="3296"/>
    <col min="16129" max="16129" width="44.5" style="3296" customWidth="1"/>
    <col min="16130" max="16130" width="6.25" style="3296" customWidth="1"/>
    <col min="16131" max="16133" width="13.875" style="3296" customWidth="1"/>
    <col min="16134" max="16134" width="19.875" style="3296" customWidth="1"/>
    <col min="16135" max="16135" width="7.875" style="3296" customWidth="1"/>
    <col min="16136" max="16136" width="44.875" style="3296" customWidth="1"/>
    <col min="16137" max="16138" width="9" style="3296" customWidth="1"/>
    <col min="16139" max="16140" width="10.625" style="3296" customWidth="1"/>
    <col min="16141" max="16141" width="14.375" style="3296" customWidth="1"/>
    <col min="16142" max="16142" width="6.25" style="3296" customWidth="1"/>
    <col min="16143" max="16143" width="34.375" style="3296" customWidth="1"/>
    <col min="16144" max="16144" width="7.875" style="3296" customWidth="1"/>
    <col min="16145" max="16384" width="9" style="3296"/>
  </cols>
  <sheetData>
    <row r="1" spans="1:16">
      <c r="A1" s="3296" t="s">
        <v>3059</v>
      </c>
      <c r="B1" s="3296" t="s">
        <v>3060</v>
      </c>
      <c r="C1" s="3296" t="s">
        <v>3061</v>
      </c>
      <c r="D1" s="3296" t="s">
        <v>3062</v>
      </c>
      <c r="E1" s="3296" t="s">
        <v>3063</v>
      </c>
      <c r="F1" s="3296" t="s">
        <v>2020</v>
      </c>
      <c r="G1" s="3296" t="s">
        <v>3064</v>
      </c>
      <c r="H1" s="3296" t="s">
        <v>3065</v>
      </c>
      <c r="I1" s="3296" t="s">
        <v>3066</v>
      </c>
      <c r="J1" s="3296" t="s">
        <v>3067</v>
      </c>
      <c r="K1" s="3296" t="s">
        <v>3068</v>
      </c>
      <c r="L1" s="3296" t="s">
        <v>3069</v>
      </c>
      <c r="M1" s="3296" t="s">
        <v>3070</v>
      </c>
      <c r="N1" s="3296" t="s">
        <v>3071</v>
      </c>
      <c r="O1" s="3296" t="s">
        <v>3072</v>
      </c>
      <c r="P1" s="3296" t="s">
        <v>3073</v>
      </c>
    </row>
    <row r="2" spans="1:16">
      <c r="A2" s="3296" t="s">
        <v>3074</v>
      </c>
      <c r="B2" s="3296" t="s">
        <v>3075</v>
      </c>
      <c r="C2" s="3296" t="s">
        <v>3076</v>
      </c>
      <c r="D2" s="3296">
        <v>120890.6</v>
      </c>
      <c r="E2" s="3296">
        <v>431579.44</v>
      </c>
      <c r="F2" s="3296">
        <v>3.57</v>
      </c>
      <c r="G2" s="3296" t="s">
        <v>3077</v>
      </c>
      <c r="H2" s="3296" t="s">
        <v>3078</v>
      </c>
      <c r="I2" s="3296" t="s">
        <v>3079</v>
      </c>
      <c r="J2" s="3296" t="s">
        <v>3079</v>
      </c>
      <c r="K2" s="3296">
        <v>141083.32</v>
      </c>
      <c r="L2" s="3296">
        <v>148984.47</v>
      </c>
      <c r="M2" s="3296">
        <v>3452.07</v>
      </c>
      <c r="N2" s="3296">
        <v>5.6</v>
      </c>
      <c r="O2" s="3296" t="s">
        <v>3080</v>
      </c>
      <c r="P2" s="3296" t="s">
        <v>3081</v>
      </c>
    </row>
    <row r="3" spans="1:16" s="3297" customFormat="1">
      <c r="A3" s="3297" t="s">
        <v>3082</v>
      </c>
      <c r="B3" s="3297" t="s">
        <v>3075</v>
      </c>
      <c r="C3" s="3297" t="s">
        <v>3076</v>
      </c>
      <c r="D3" s="3297">
        <v>45799.4</v>
      </c>
      <c r="E3" s="3297">
        <v>114498.5</v>
      </c>
      <c r="F3" s="3297" t="s">
        <v>3083</v>
      </c>
      <c r="G3" s="3297" t="s">
        <v>3077</v>
      </c>
      <c r="H3" s="3297" t="s">
        <v>3084</v>
      </c>
      <c r="I3" s="3297" t="s">
        <v>3085</v>
      </c>
      <c r="J3" s="3297" t="s">
        <v>3085</v>
      </c>
      <c r="K3" s="3297">
        <v>63443.62</v>
      </c>
      <c r="L3" s="3297">
        <v>64577.15</v>
      </c>
      <c r="M3" s="3297">
        <v>5640</v>
      </c>
      <c r="N3" s="3297">
        <v>1.79</v>
      </c>
      <c r="O3" s="3297" t="s">
        <v>3086</v>
      </c>
      <c r="P3" s="3297" t="s">
        <v>3087</v>
      </c>
    </row>
    <row r="4" spans="1:16">
      <c r="A4" s="3296" t="s">
        <v>3088</v>
      </c>
      <c r="B4" s="3296" t="s">
        <v>3075</v>
      </c>
      <c r="C4" s="3296" t="s">
        <v>3076</v>
      </c>
      <c r="D4" s="3296">
        <v>131670.1</v>
      </c>
      <c r="E4" s="3296">
        <v>592515.44999999995</v>
      </c>
      <c r="F4" s="3296" t="s">
        <v>3089</v>
      </c>
      <c r="G4" s="3296" t="s">
        <v>3077</v>
      </c>
      <c r="H4" s="3296" t="s">
        <v>3090</v>
      </c>
      <c r="I4" s="3296" t="s">
        <v>3091</v>
      </c>
      <c r="J4" s="3296" t="s">
        <v>3091</v>
      </c>
      <c r="K4" s="3296">
        <v>131834.69</v>
      </c>
      <c r="L4" s="3296">
        <v>134026.98000000001</v>
      </c>
      <c r="M4" s="3296">
        <v>2262</v>
      </c>
      <c r="N4" s="3296">
        <v>1.66</v>
      </c>
      <c r="O4" s="3296" t="s">
        <v>3092</v>
      </c>
      <c r="P4" s="3296" t="s">
        <v>3081</v>
      </c>
    </row>
    <row r="5" spans="1:16">
      <c r="A5" s="3296" t="s">
        <v>3093</v>
      </c>
      <c r="B5" s="3296" t="s">
        <v>3075</v>
      </c>
      <c r="C5" s="3296" t="s">
        <v>3076</v>
      </c>
      <c r="D5" s="3296">
        <v>179173.9</v>
      </c>
      <c r="E5" s="3296">
        <v>447934.75</v>
      </c>
      <c r="F5" s="3296" t="s">
        <v>3094</v>
      </c>
      <c r="G5" s="3296" t="s">
        <v>3077</v>
      </c>
      <c r="H5" s="3296" t="s">
        <v>3095</v>
      </c>
      <c r="I5" s="3296" t="s">
        <v>3096</v>
      </c>
      <c r="J5" s="3296" t="s">
        <v>3097</v>
      </c>
      <c r="K5" s="3296">
        <v>179935.39</v>
      </c>
      <c r="L5" s="3296">
        <v>208269.54</v>
      </c>
      <c r="M5" s="3296">
        <v>4649.55</v>
      </c>
      <c r="N5" s="3296">
        <v>15.75</v>
      </c>
      <c r="O5" s="3296" t="s">
        <v>3098</v>
      </c>
      <c r="P5" s="3296" t="s">
        <v>3081</v>
      </c>
    </row>
    <row r="6" spans="1:16">
      <c r="A6" s="3296" t="s">
        <v>3099</v>
      </c>
      <c r="B6" s="3296" t="s">
        <v>3075</v>
      </c>
      <c r="C6" s="3296" t="s">
        <v>3076</v>
      </c>
      <c r="D6" s="3296">
        <v>185121.1</v>
      </c>
      <c r="E6" s="3296">
        <v>475205.9</v>
      </c>
      <c r="F6" s="3296">
        <v>2.5670000000000002</v>
      </c>
      <c r="G6" s="3296" t="s">
        <v>3100</v>
      </c>
      <c r="H6" s="3296" t="s">
        <v>3101</v>
      </c>
      <c r="I6" s="3296" t="s">
        <v>3102</v>
      </c>
      <c r="J6" s="3296" t="s">
        <v>3102</v>
      </c>
      <c r="K6" s="3296">
        <v>248627.73</v>
      </c>
      <c r="L6" s="3296">
        <v>363009.79</v>
      </c>
      <c r="M6" s="3296">
        <v>7639</v>
      </c>
      <c r="N6" s="3296">
        <v>46.01</v>
      </c>
      <c r="O6" s="3296" t="s">
        <v>3103</v>
      </c>
      <c r="P6" s="3296" t="s">
        <v>3081</v>
      </c>
    </row>
    <row r="7" spans="1:16">
      <c r="A7" s="3296" t="s">
        <v>3104</v>
      </c>
      <c r="B7" s="3296" t="s">
        <v>3075</v>
      </c>
      <c r="C7" s="3296" t="s">
        <v>3076</v>
      </c>
      <c r="D7" s="3296">
        <v>30172.6</v>
      </c>
      <c r="E7" s="3296">
        <v>75431.5</v>
      </c>
      <c r="F7" s="3296" t="s">
        <v>3105</v>
      </c>
      <c r="G7" s="3296" t="s">
        <v>3077</v>
      </c>
      <c r="H7" s="3296" t="s">
        <v>3101</v>
      </c>
      <c r="I7" s="3296" t="s">
        <v>3106</v>
      </c>
      <c r="J7" s="3296" t="s">
        <v>3106</v>
      </c>
      <c r="K7" s="3296">
        <v>27155.34</v>
      </c>
      <c r="L7" s="3296">
        <v>34125.199999999997</v>
      </c>
      <c r="M7" s="3296">
        <v>4524</v>
      </c>
      <c r="N7" s="3296">
        <v>25.67</v>
      </c>
      <c r="O7" s="3296" t="s">
        <v>3107</v>
      </c>
      <c r="P7" s="3296" t="s">
        <v>3081</v>
      </c>
    </row>
    <row r="8" spans="1:16" s="3297" customFormat="1">
      <c r="A8" s="3297" t="s">
        <v>3108</v>
      </c>
      <c r="B8" s="3297" t="s">
        <v>3075</v>
      </c>
      <c r="C8" s="3297" t="s">
        <v>3076</v>
      </c>
      <c r="D8" s="3297">
        <v>19617.7</v>
      </c>
      <c r="E8" s="3297">
        <v>49044.25</v>
      </c>
      <c r="F8" s="3297" t="s">
        <v>3109</v>
      </c>
      <c r="G8" s="3297" t="s">
        <v>3077</v>
      </c>
      <c r="H8" s="3297" t="s">
        <v>3110</v>
      </c>
      <c r="I8" s="3297" t="s">
        <v>3111</v>
      </c>
      <c r="J8" s="3297" t="s">
        <v>3111</v>
      </c>
      <c r="K8" s="3297" t="s">
        <v>2797</v>
      </c>
      <c r="L8" s="3297">
        <v>29426.54</v>
      </c>
      <c r="M8" s="3297">
        <v>6000</v>
      </c>
      <c r="N8" s="3297" t="s">
        <v>2797</v>
      </c>
      <c r="O8" s="3297" t="s">
        <v>3112</v>
      </c>
      <c r="P8" s="3297" t="s">
        <v>3081</v>
      </c>
    </row>
    <row r="9" spans="1:16" s="3297" customFormat="1">
      <c r="A9" s="3297" t="s">
        <v>3108</v>
      </c>
      <c r="B9" s="3297" t="s">
        <v>3075</v>
      </c>
      <c r="C9" s="3297" t="s">
        <v>3076</v>
      </c>
      <c r="D9" s="3297">
        <v>132095.5</v>
      </c>
      <c r="E9" s="3297">
        <v>330238.8</v>
      </c>
      <c r="F9" s="3297" t="s">
        <v>3109</v>
      </c>
      <c r="G9" s="3297" t="s">
        <v>3077</v>
      </c>
      <c r="H9" s="3297" t="s">
        <v>3110</v>
      </c>
      <c r="I9" s="3297" t="s">
        <v>3111</v>
      </c>
      <c r="J9" s="3297" t="s">
        <v>3111</v>
      </c>
      <c r="K9" s="3297" t="s">
        <v>2797</v>
      </c>
      <c r="L9" s="3297">
        <v>198143.2</v>
      </c>
      <c r="M9" s="3297">
        <v>6000</v>
      </c>
      <c r="N9" s="3297" t="s">
        <v>2797</v>
      </c>
      <c r="O9" s="3297" t="s">
        <v>3112</v>
      </c>
      <c r="P9" s="3297" t="s">
        <v>3081</v>
      </c>
    </row>
    <row r="10" spans="1:16">
      <c r="A10" s="3296" t="s">
        <v>3113</v>
      </c>
      <c r="B10" s="3296" t="s">
        <v>3075</v>
      </c>
      <c r="C10" s="3296" t="s">
        <v>3114</v>
      </c>
      <c r="D10" s="3296">
        <v>106107.9</v>
      </c>
      <c r="E10" s="3296">
        <v>265269.8</v>
      </c>
      <c r="F10" s="3296" t="s">
        <v>3115</v>
      </c>
      <c r="G10" s="3296" t="s">
        <v>3100</v>
      </c>
      <c r="H10" s="3296" t="s">
        <v>3116</v>
      </c>
      <c r="I10" s="3296" t="s">
        <v>3117</v>
      </c>
      <c r="J10" s="3296" t="s">
        <v>3117</v>
      </c>
      <c r="K10" s="3296" t="s">
        <v>2797</v>
      </c>
      <c r="L10" s="3296">
        <v>138311.70000000001</v>
      </c>
      <c r="M10" s="3296">
        <v>5214</v>
      </c>
      <c r="N10" s="3296" t="s">
        <v>2797</v>
      </c>
      <c r="O10" s="3296" t="s">
        <v>3118</v>
      </c>
      <c r="P10" s="3296" t="s">
        <v>3081</v>
      </c>
    </row>
    <row r="11" spans="1:16" s="3297" customFormat="1">
      <c r="A11" s="3297" t="s">
        <v>3119</v>
      </c>
      <c r="B11" s="3297" t="s">
        <v>3075</v>
      </c>
      <c r="C11" s="3297" t="s">
        <v>3114</v>
      </c>
      <c r="D11" s="3297">
        <v>188858</v>
      </c>
      <c r="E11" s="3297">
        <v>472145</v>
      </c>
      <c r="F11" s="3297" t="s">
        <v>3109</v>
      </c>
      <c r="G11" s="3297" t="s">
        <v>3100</v>
      </c>
      <c r="H11" s="3297" t="s">
        <v>3116</v>
      </c>
      <c r="I11" s="3297" t="s">
        <v>3120</v>
      </c>
      <c r="J11" s="3297" t="s">
        <v>3120</v>
      </c>
      <c r="K11" s="3297">
        <v>172805.07</v>
      </c>
      <c r="L11" s="3297">
        <v>334089.40000000002</v>
      </c>
      <c r="M11" s="3297">
        <v>7075.98</v>
      </c>
      <c r="N11" s="3297">
        <v>93.33</v>
      </c>
      <c r="O11" s="3297" t="s">
        <v>3121</v>
      </c>
      <c r="P11" s="3297" t="s">
        <v>3081</v>
      </c>
    </row>
    <row r="12" spans="1:16">
      <c r="A12" s="3296" t="s">
        <v>3122</v>
      </c>
      <c r="B12" s="3296" t="s">
        <v>3075</v>
      </c>
      <c r="C12" s="3296" t="s">
        <v>3076</v>
      </c>
      <c r="D12" s="3296">
        <v>135101.5</v>
      </c>
      <c r="E12" s="3296">
        <v>270203</v>
      </c>
      <c r="F12" s="3296" t="s">
        <v>3123</v>
      </c>
      <c r="G12" s="3296" t="s">
        <v>3077</v>
      </c>
      <c r="H12" s="3296" t="s">
        <v>3116</v>
      </c>
      <c r="I12" s="3296" t="s">
        <v>3124</v>
      </c>
      <c r="J12" s="3296" t="s">
        <v>3124</v>
      </c>
      <c r="K12" s="3296">
        <v>34585.980000000003</v>
      </c>
      <c r="L12" s="3296">
        <v>35288.51</v>
      </c>
      <c r="M12" s="3296">
        <v>1306</v>
      </c>
      <c r="N12" s="3296">
        <v>2.0299999999999998</v>
      </c>
      <c r="O12" s="3296" t="s">
        <v>3125</v>
      </c>
      <c r="P12" s="3296" t="s">
        <v>3087</v>
      </c>
    </row>
    <row r="13" spans="1:16">
      <c r="A13" s="3296" t="s">
        <v>3122</v>
      </c>
      <c r="B13" s="3296" t="s">
        <v>3075</v>
      </c>
      <c r="C13" s="3296" t="s">
        <v>3076</v>
      </c>
      <c r="D13" s="3296">
        <v>151519.29999999999</v>
      </c>
      <c r="E13" s="3296">
        <v>378798.3</v>
      </c>
      <c r="F13" s="3296" t="s">
        <v>3126</v>
      </c>
      <c r="G13" s="3296" t="s">
        <v>3077</v>
      </c>
      <c r="H13" s="3296" t="s">
        <v>3116</v>
      </c>
      <c r="I13" s="3296" t="s">
        <v>3124</v>
      </c>
      <c r="J13" s="3296" t="s">
        <v>3124</v>
      </c>
      <c r="K13" s="3296">
        <v>50758.95</v>
      </c>
      <c r="L13" s="3296">
        <v>51705.95</v>
      </c>
      <c r="M13" s="3296">
        <v>1365</v>
      </c>
      <c r="N13" s="3296">
        <v>1.87</v>
      </c>
      <c r="O13" s="3296" t="s">
        <v>3125</v>
      </c>
      <c r="P13" s="3296" t="s">
        <v>3087</v>
      </c>
    </row>
    <row r="14" spans="1:16">
      <c r="A14" s="3296" t="s">
        <v>3127</v>
      </c>
      <c r="B14" s="3296" t="s">
        <v>3075</v>
      </c>
      <c r="C14" s="3296" t="s">
        <v>3114</v>
      </c>
      <c r="D14" s="3296">
        <v>73333.3</v>
      </c>
      <c r="E14" s="3296">
        <v>183333.3</v>
      </c>
      <c r="F14" s="3296" t="s">
        <v>3126</v>
      </c>
      <c r="G14" s="3296" t="s">
        <v>3077</v>
      </c>
      <c r="H14" s="3296" t="s">
        <v>3116</v>
      </c>
      <c r="I14" s="3296" t="s">
        <v>3128</v>
      </c>
      <c r="J14" s="3296" t="s">
        <v>3128</v>
      </c>
      <c r="K14" s="3296">
        <v>30066.65</v>
      </c>
      <c r="L14" s="3296">
        <v>30708.31</v>
      </c>
      <c r="M14" s="3296">
        <v>1675</v>
      </c>
      <c r="N14" s="3296">
        <v>2.13</v>
      </c>
      <c r="O14" s="3296" t="s">
        <v>3129</v>
      </c>
      <c r="P14" s="3296" t="s">
        <v>3081</v>
      </c>
    </row>
    <row r="15" spans="1:16">
      <c r="A15" s="3296" t="s">
        <v>3130</v>
      </c>
      <c r="B15" s="3296" t="s">
        <v>3075</v>
      </c>
      <c r="C15" s="3296" t="s">
        <v>3114</v>
      </c>
      <c r="D15" s="3296">
        <v>161143</v>
      </c>
      <c r="E15" s="3296">
        <v>402857.5</v>
      </c>
      <c r="F15" s="3296" t="s">
        <v>3126</v>
      </c>
      <c r="G15" s="3296" t="s">
        <v>3077</v>
      </c>
      <c r="H15" s="3296" t="s">
        <v>3116</v>
      </c>
      <c r="I15" s="3296" t="s">
        <v>3131</v>
      </c>
      <c r="J15" s="3296" t="s">
        <v>3131</v>
      </c>
      <c r="K15" s="3296">
        <v>29166.880000000001</v>
      </c>
      <c r="L15" s="3296">
        <v>74206.350000000006</v>
      </c>
      <c r="M15" s="3296">
        <v>1842</v>
      </c>
      <c r="N15" s="3296">
        <v>154.41999999999999</v>
      </c>
      <c r="O15" s="3296" t="s">
        <v>3132</v>
      </c>
      <c r="P15" s="3296" t="s">
        <v>3081</v>
      </c>
    </row>
    <row r="16" spans="1:16">
      <c r="A16" s="3296" t="s">
        <v>3133</v>
      </c>
      <c r="B16" s="3296" t="s">
        <v>3075</v>
      </c>
      <c r="C16" s="3296" t="s">
        <v>3114</v>
      </c>
      <c r="D16" s="3296">
        <v>192894</v>
      </c>
      <c r="E16" s="3296">
        <v>482235</v>
      </c>
      <c r="F16" s="3296" t="s">
        <v>3126</v>
      </c>
      <c r="G16" s="3296" t="s">
        <v>3077</v>
      </c>
      <c r="H16" s="3296" t="s">
        <v>3116</v>
      </c>
      <c r="I16" s="3296" t="s">
        <v>3131</v>
      </c>
      <c r="J16" s="3296" t="s">
        <v>3131</v>
      </c>
      <c r="K16" s="3296">
        <v>34913.800000000003</v>
      </c>
      <c r="L16" s="3296">
        <v>88779.46</v>
      </c>
      <c r="M16" s="3296">
        <v>1841</v>
      </c>
      <c r="N16" s="3296">
        <v>154.28</v>
      </c>
      <c r="O16" s="3296" t="s">
        <v>3132</v>
      </c>
      <c r="P16" s="3296" t="s">
        <v>3087</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D26" sqref="D26"/>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31" s="1923" customFormat="1" ht="18" customHeight="1">
      <c r="A2" s="1982" t="s">
        <v>461</v>
      </c>
      <c r="B2" s="1986">
        <f ca="1">C36</f>
        <v>123281</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4465</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16431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1095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1832</v>
      </c>
      <c r="B6" s="2545"/>
      <c r="C6" s="2546">
        <f ca="1">SUM(C10:K10)</f>
        <v>286850</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4" customFormat="1" ht="15">
      <c r="A7" s="2548" t="s">
        <v>464</v>
      </c>
      <c r="B7" s="2549" t="s">
        <v>465</v>
      </c>
      <c r="C7" s="430" t="s">
        <v>914</v>
      </c>
      <c r="D7" s="430" t="s">
        <v>3005</v>
      </c>
      <c r="E7" s="430" t="s">
        <v>3019</v>
      </c>
      <c r="F7" s="430"/>
      <c r="G7" s="430"/>
      <c r="H7" s="430"/>
      <c r="I7" s="430"/>
      <c r="J7" s="430"/>
      <c r="K7" s="431"/>
      <c r="AA7" s="1993"/>
      <c r="AB7" s="1993"/>
      <c r="AC7" s="1993"/>
      <c r="AD7" s="1993"/>
      <c r="AE7" s="1993"/>
    </row>
    <row r="8" spans="1:31" s="1996" customFormat="1" ht="13.5" customHeight="1">
      <c r="A8" s="793" t="s">
        <v>1835</v>
      </c>
      <c r="B8" s="259" t="s">
        <v>466</v>
      </c>
      <c r="C8" s="2550">
        <f>'不动产比较法-住宅'!C48</f>
        <v>12896</v>
      </c>
      <c r="D8" s="2550">
        <f ca="1">不动产收益法!B3</f>
        <v>15298</v>
      </c>
      <c r="E8" s="2550">
        <f ca="1">不动产收益法车库!B3</f>
        <v>1880</v>
      </c>
      <c r="F8" s="2550"/>
      <c r="G8" s="2550"/>
      <c r="H8" s="2550"/>
      <c r="I8" s="2550"/>
      <c r="J8" s="2550"/>
      <c r="K8" s="2551"/>
      <c r="AA8" s="1995"/>
      <c r="AB8" s="1995"/>
      <c r="AC8" s="1995"/>
      <c r="AD8" s="1995"/>
      <c r="AE8" s="1995"/>
    </row>
    <row r="9" spans="1:31" s="1996" customFormat="1" ht="13.5" customHeight="1">
      <c r="A9" s="793" t="s">
        <v>1836</v>
      </c>
      <c r="B9" s="259" t="s">
        <v>467</v>
      </c>
      <c r="C9" s="435">
        <f>SUMIF('数据-汇总表'!$C19:$C33,'剩余法-待开发'!C7,'数据-汇总表'!$E19:$E33)</f>
        <v>197017.96</v>
      </c>
      <c r="D9" s="435">
        <f>SUMIF('数据-汇总表'!$C19:$C33,'剩余法-待开发'!D7,'数据-汇总表'!$E19:$E33)</f>
        <v>13475.490000000002</v>
      </c>
      <c r="E9" s="435">
        <f>SUMIF('数据-汇总表'!$C19:$C33,'剩余法-待开发'!E7,'数据-汇总表'!$E19:$E33)</f>
        <v>64678.93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1837</v>
      </c>
      <c r="B10" s="2538" t="s">
        <v>468</v>
      </c>
      <c r="C10" s="2741">
        <f>'不动产比较法-住宅'!B2</f>
        <v>254074</v>
      </c>
      <c r="D10" s="2741">
        <f ca="1">不动产收益法!B2</f>
        <v>20615</v>
      </c>
      <c r="E10" s="2741">
        <f ca="1">不动产收益法车库!B2</f>
        <v>12161</v>
      </c>
      <c r="F10" s="2553"/>
      <c r="G10" s="2553"/>
      <c r="H10" s="2553"/>
      <c r="I10" s="2553"/>
      <c r="J10" s="2553"/>
      <c r="K10" s="2554"/>
      <c r="M10" s="1996">
        <f ca="1">E10/1845</f>
        <v>6.5913279132791329</v>
      </c>
      <c r="N10" s="1996">
        <f>E9/1854</f>
        <v>34.886154261057172</v>
      </c>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1838</v>
      </c>
      <c r="B13" s="2559" t="s">
        <v>473</v>
      </c>
      <c r="C13" s="444">
        <f ca="1">IF(B1="",'数据-取费表'!P16,INDIRECT("'数据-取费表'!p"&amp;$K$1)+INDIRECT("'数据-取费表'!t"&amp;$K$1))</f>
        <v>76751</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2303</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2955</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4142</v>
      </c>
      <c r="D16" s="2560">
        <f ca="1">IF(B1="",'数据-汇总表'!E3,INDIRECT("'数据-取费表'!K"&amp;$K$1)+INDIRECT("'数据-取费表'!S"&amp;$K$1))</f>
        <v>276122.93</v>
      </c>
      <c r="E16" s="53">
        <f>'数据-取费表'!B35</f>
        <v>150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1151</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87302</v>
      </c>
      <c r="D18" s="2569"/>
      <c r="E18" s="462"/>
      <c r="F18" s="462"/>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2524">
        <f ca="1">ROUND(D19*E19/10000,0)</f>
        <v>0</v>
      </c>
      <c r="D19" s="2570">
        <f ca="1">D16</f>
        <v>276122.93</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2524">
        <f ca="1">C21+C22-IF(B1="",'数据-取费表'!B29,IF(G20="已全部缴纳",C21+C22,H20))</f>
        <v>1697</v>
      </c>
      <c r="D20" s="2570"/>
      <c r="E20" s="2524"/>
      <c r="F20" s="2571"/>
      <c r="G20" s="2775"/>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985</v>
      </c>
      <c r="D21" s="2560">
        <f ca="1">IF(B1="",'数据-汇总表'!E5,IF(INDIRECT("'数据-取费表'!c"&amp;$K$1)="住宅",INDIRECT("'数据-取费表'!k"&amp;$K$1),0))</f>
        <v>197017.96</v>
      </c>
      <c r="E21" s="53">
        <f>'数据-取费表'!B27</f>
        <v>50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712</v>
      </c>
      <c r="D22" s="2560">
        <f ca="1">IF(B1="",'数据-汇总表'!E6,IF(INDIRECT("'数据-取费表'!c"&amp;$K$1)="住宅",INDIRECT("'数据-取费表'!s"&amp;$K$1),INDIRECT("'数据-取费表'!k"&amp;$K$1)+INDIRECT("'数据-取费表'!s"&amp;$K$1)))</f>
        <v>79104.97</v>
      </c>
      <c r="E22" s="53">
        <f>'数据-取费表'!B28</f>
        <v>90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2813</v>
      </c>
      <c r="C23" s="2568">
        <f ca="1">ROUND((C18+C19+C20)*F23,0)</f>
        <v>1780</v>
      </c>
      <c r="D23" s="462"/>
      <c r="E23" s="462"/>
      <c r="F23" s="2572">
        <f>'数据-取费表'!B37</f>
        <v>0.02</v>
      </c>
      <c r="G23" s="2528" t="s">
        <v>2414</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1849</v>
      </c>
      <c r="B24" s="2747" t="s">
        <v>2816</v>
      </c>
      <c r="C24" s="2568">
        <f ca="1">ROUND(C6*F24,0)</f>
        <v>5737</v>
      </c>
      <c r="D24" s="469"/>
      <c r="E24" s="467"/>
      <c r="F24" s="2572">
        <f>'数据-取费表'!B38</f>
        <v>0.02</v>
      </c>
      <c r="G24" s="2537" t="s">
        <v>493</v>
      </c>
      <c r="H24" s="2531"/>
      <c r="I24" s="2531"/>
      <c r="J24" s="2531"/>
      <c r="K24" s="277"/>
      <c r="L24" s="3198"/>
      <c r="M24" s="3198"/>
      <c r="N24" s="3198"/>
      <c r="O24" s="1998"/>
      <c r="P24" s="1998"/>
      <c r="Q24" s="1998"/>
      <c r="R24" s="1998"/>
      <c r="S24" s="1998"/>
      <c r="T24" s="1998"/>
      <c r="U24" s="1998"/>
      <c r="V24" s="1998"/>
      <c r="W24" s="1998"/>
      <c r="X24" s="1998"/>
      <c r="Y24" s="1998"/>
      <c r="Z24" s="1998"/>
    </row>
    <row r="25" spans="1:26" s="2000" customFormat="1" ht="13.5" customHeight="1">
      <c r="A25" s="2566" t="s">
        <v>1850</v>
      </c>
      <c r="B25" s="2747" t="s">
        <v>2814</v>
      </c>
      <c r="C25" s="461">
        <f>ROUND(F25/(1+'数据-取费表'!C42),4)</f>
        <v>2.9000000000000001E-2</v>
      </c>
      <c r="D25" s="456" t="s">
        <v>2808</v>
      </c>
      <c r="E25" s="463"/>
      <c r="F25" s="2572">
        <f>IF(项目基本情况!B8="出让",0,'数据-取费表'!B48+'数据-取费表'!B49)</f>
        <v>3.0499999999999999E-2</v>
      </c>
      <c r="G25" s="2536" t="s">
        <v>2276</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1851</v>
      </c>
      <c r="B26" s="2748" t="s">
        <v>2815</v>
      </c>
      <c r="C26" s="2573">
        <f ca="1">C28</f>
        <v>5764</v>
      </c>
      <c r="D26" s="461">
        <f ca="1">C27</f>
        <v>0.12659999999999999</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3" t="s">
        <v>1846</v>
      </c>
      <c r="B27" s="2574" t="s">
        <v>490</v>
      </c>
      <c r="C27" s="2575">
        <f ca="1">ROUND(IF('数据-取费表'!B22&lt;=1,(1+C25)*F26*'数据-取费表'!B24,(1+C25)*(POWER((1+F26),'数据-取费表'!B24)-1)),4)</f>
        <v>0.12659999999999999</v>
      </c>
      <c r="D27" s="466"/>
      <c r="E27" s="467"/>
      <c r="F27" s="468"/>
      <c r="G27" s="2423" t="str">
        <f>IF('数据-取费表'!B22&lt;=1,"（1+取得税费率/(1+5%)）×年利率×建设期","（1+取得税费率）/(1+5%)×((1+年利率)^建设期-1)")</f>
        <v>（1+取得税费率）/(1+5%)×((1+年利率)^建设期-1)</v>
      </c>
      <c r="H27" s="2531"/>
      <c r="I27" s="2531"/>
      <c r="J27" s="2531"/>
      <c r="K27" s="277"/>
      <c r="L27" s="3200"/>
      <c r="M27" s="3200"/>
      <c r="N27" s="3200"/>
      <c r="O27" s="3200"/>
      <c r="P27" s="3200"/>
      <c r="Q27" s="3200"/>
      <c r="R27" s="3200"/>
      <c r="S27" s="3200"/>
      <c r="T27" s="3200"/>
      <c r="U27" s="3200"/>
      <c r="V27" s="3200"/>
      <c r="W27" s="3200"/>
      <c r="X27" s="3200"/>
      <c r="Y27" s="3200"/>
      <c r="Z27" s="3200"/>
    </row>
    <row r="28" spans="1:26" s="2001" customFormat="1" ht="13.5" customHeight="1">
      <c r="A28" s="793" t="s">
        <v>1847</v>
      </c>
      <c r="B28" s="2574" t="s">
        <v>2817</v>
      </c>
      <c r="C28" s="2576">
        <f ca="1">ROUND(IF('数据-取费表'!B22&lt;=1,(C18+C19+C20+C23+C24)*F26*'数据-取费表'!B24/2,(C18+C19+C20+C23+C24)*(POWER((1+F26),'数据-取费表'!B24/2)-1)),0)</f>
        <v>5764</v>
      </c>
      <c r="D28" s="466"/>
      <c r="E28" s="467"/>
      <c r="F28" s="468"/>
      <c r="G28" s="2423" t="str">
        <f>IF('数据-取费表'!B22&lt;=1,"（1）-（4）项×年利率×建设期÷2","（1）-（4）项×((1+年利率)^(建设期÷2)-1)")</f>
        <v>（1）-（4）项×((1+年利率)^(建设期÷2)-1)</v>
      </c>
      <c r="H28" s="2531"/>
      <c r="I28" s="2531"/>
      <c r="J28" s="2531"/>
      <c r="K28" s="277"/>
      <c r="L28" s="3200"/>
      <c r="M28" s="3200"/>
      <c r="N28" s="3200"/>
      <c r="O28" s="3200"/>
      <c r="P28" s="3200"/>
      <c r="Q28" s="3200"/>
      <c r="R28" s="3200"/>
      <c r="S28" s="3200"/>
      <c r="T28" s="3200"/>
      <c r="U28" s="3200"/>
      <c r="V28" s="3200"/>
      <c r="W28" s="3200"/>
      <c r="X28" s="3200"/>
      <c r="Y28" s="3200"/>
      <c r="Z28" s="3200"/>
    </row>
    <row r="29" spans="1:26" s="2001" customFormat="1" ht="13.5" customHeight="1">
      <c r="A29" s="2577" t="s">
        <v>1852</v>
      </c>
      <c r="B29" s="2567" t="s">
        <v>491</v>
      </c>
      <c r="C29" s="2568">
        <f ca="1">ROUND(C6*F29/(1+'数据-取费表'!C42),0)</f>
        <v>15299</v>
      </c>
      <c r="D29" s="462"/>
      <c r="E29" s="462"/>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1853</v>
      </c>
      <c r="B30" s="2578" t="s">
        <v>494</v>
      </c>
      <c r="C30" s="2573">
        <f ca="1">C31</f>
        <v>117579</v>
      </c>
      <c r="D30" s="471">
        <f ca="1">C32</f>
        <v>0.15559999999999999</v>
      </c>
      <c r="E30" s="463" t="s">
        <v>489</v>
      </c>
      <c r="F30" s="465"/>
      <c r="G30" s="2536" t="s">
        <v>2936</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3" t="s">
        <v>1846</v>
      </c>
      <c r="B31" s="2574"/>
      <c r="C31" s="444">
        <f ca="1">C18+C19+C20+C23+C24+C26+C29</f>
        <v>117579</v>
      </c>
      <c r="D31" s="466"/>
      <c r="E31" s="467"/>
      <c r="F31" s="468"/>
      <c r="G31" s="259"/>
      <c r="H31" s="2531"/>
      <c r="I31" s="2531"/>
      <c r="J31" s="2531"/>
      <c r="K31" s="277"/>
      <c r="L31" s="3200"/>
      <c r="M31" s="3200"/>
      <c r="N31" s="3200"/>
      <c r="O31" s="3200"/>
      <c r="P31" s="3200"/>
      <c r="Q31" s="3200"/>
      <c r="R31" s="3200"/>
      <c r="S31" s="3200"/>
      <c r="T31" s="3200"/>
      <c r="U31" s="3200"/>
      <c r="V31" s="3200"/>
      <c r="W31" s="3200"/>
      <c r="X31" s="3200"/>
      <c r="Y31" s="3200"/>
      <c r="Z31" s="3200"/>
    </row>
    <row r="32" spans="1:26" s="2001" customFormat="1" ht="13.5" customHeight="1">
      <c r="A32" s="793" t="s">
        <v>1847</v>
      </c>
      <c r="B32" s="2574"/>
      <c r="C32" s="53">
        <f ca="1">ROUND(C25+D26,4)</f>
        <v>0.15559999999999999</v>
      </c>
      <c r="D32" s="466"/>
      <c r="E32" s="467"/>
      <c r="F32" s="468"/>
      <c r="G32" s="259"/>
      <c r="H32" s="2531"/>
      <c r="I32" s="2531"/>
      <c r="J32" s="2531"/>
      <c r="K32" s="277"/>
      <c r="L32" s="3200"/>
      <c r="M32" s="3200"/>
      <c r="N32" s="3200"/>
      <c r="O32" s="3200"/>
      <c r="P32" s="3200"/>
      <c r="Q32" s="3200"/>
      <c r="R32" s="3200"/>
      <c r="S32" s="3200"/>
      <c r="T32" s="3200"/>
      <c r="U32" s="3200"/>
      <c r="V32" s="3200"/>
      <c r="W32" s="3200"/>
      <c r="X32" s="3200"/>
      <c r="Y32" s="3200"/>
      <c r="Z32" s="3200"/>
    </row>
    <row r="33" spans="1:26" s="2003" customFormat="1" ht="13.5" customHeight="1">
      <c r="A33" s="2746" t="s">
        <v>2812</v>
      </c>
      <c r="B33" s="2744" t="s">
        <v>2810</v>
      </c>
      <c r="C33" s="472">
        <f ca="1">C35</f>
        <v>11582</v>
      </c>
      <c r="D33" s="461">
        <f ca="1">C34</f>
        <v>0.1235</v>
      </c>
      <c r="E33" s="463" t="s">
        <v>489</v>
      </c>
      <c r="F33" s="473">
        <f ca="1">IF(B1="",'数据-取费表'!Q16,INDIRECT("'数据-取费表'!q"&amp;$K$1))</f>
        <v>0.12</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9" t="s">
        <v>1846</v>
      </c>
      <c r="B34" s="2579" t="s">
        <v>495</v>
      </c>
      <c r="C34" s="466">
        <f ca="1">ROUND((1+C25)*F33,4)</f>
        <v>0.1235</v>
      </c>
      <c r="D34" s="466"/>
      <c r="E34" s="467"/>
      <c r="F34" s="474"/>
      <c r="G34" s="259" t="s">
        <v>2277</v>
      </c>
      <c r="H34" s="2531"/>
      <c r="I34" s="2531"/>
      <c r="J34" s="2531"/>
      <c r="K34" s="277"/>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1847</v>
      </c>
      <c r="B35" s="2745" t="s">
        <v>2818</v>
      </c>
      <c r="C35" s="1555">
        <f ca="1">ROUND((C18+C19+C20+C23+C24)*F33,0)</f>
        <v>11582</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2" t="s">
        <v>1834</v>
      </c>
      <c r="B36" s="2542"/>
      <c r="C36" s="2581">
        <f ca="1">ROUND((C6-C30-C33)/(1+D30+D33),0)</f>
        <v>123281</v>
      </c>
      <c r="D36" s="2542"/>
      <c r="E36" s="2542"/>
      <c r="F36" s="2542"/>
      <c r="G36" s="2541" t="s">
        <v>2819</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29"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1837</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1854</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7" customFormat="1" ht="13.5" customHeight="1">
      <c r="A13" s="1560" t="s">
        <v>1838</v>
      </c>
      <c r="B13" s="443" t="s">
        <v>473</v>
      </c>
      <c r="C13" s="444">
        <f ca="1">IF(B1="",'数据-取费表'!M16,INDIRECT("'数据-取费表'!M"&amp;$K$1)+INDIRECT("'数据-取费表'!t"&amp;$K$1))</f>
        <v>76751</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1839</v>
      </c>
      <c r="B14" s="443" t="s">
        <v>474</v>
      </c>
      <c r="C14" s="53">
        <f ca="1">ROUND(C13*F14,0)</f>
        <v>2303</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1840</v>
      </c>
      <c r="B15" s="443" t="s">
        <v>476</v>
      </c>
      <c r="C15" s="53">
        <f ca="1">ROUND(IF(B1="",SUMIF('数据-取费表'!C:C,"住宅",'数据-取费表'!M:M)*F15,IF(INDIRECT("'数据-取费表'!c"&amp;$K$1)="住宅",INDIRECT("'数据-取费表'!M"&amp;$K$1)*F15,0)),0)</f>
        <v>2955</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1841</v>
      </c>
      <c r="B16" s="443" t="s">
        <v>478</v>
      </c>
      <c r="C16" s="53">
        <f ca="1">ROUND(D16*E16/10000,0)</f>
        <v>4142</v>
      </c>
      <c r="D16" s="445">
        <f ca="1">IF(B1="",'数据-汇总表'!E3,INDIRECT("'数据-取费表'!K"&amp;$K$1)+INDIRECT("'数据-取费表'!S"&amp;$K$1))</f>
        <v>276122.93</v>
      </c>
      <c r="E16" s="53">
        <f>'数据-取费表'!B35</f>
        <v>150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1842</v>
      </c>
      <c r="B17" s="443" t="s">
        <v>479</v>
      </c>
      <c r="C17" s="448">
        <f ca="1">ROUND(C13*F17,0)</f>
        <v>1151</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1843</v>
      </c>
      <c r="B18" s="453" t="s">
        <v>481</v>
      </c>
      <c r="C18" s="454">
        <f ca="1">SUM(C13:C17)</f>
        <v>87302</v>
      </c>
      <c r="D18" s="455"/>
      <c r="E18" s="456"/>
      <c r="F18" s="456"/>
      <c r="G18" s="1280" t="s">
        <v>2415</v>
      </c>
      <c r="H18" s="441"/>
      <c r="I18" s="441"/>
      <c r="J18" s="441"/>
      <c r="K18" s="442"/>
      <c r="L18" s="3199"/>
      <c r="M18" s="3199"/>
      <c r="N18" s="3199"/>
      <c r="O18" s="3199"/>
      <c r="P18" s="3199"/>
      <c r="Q18" s="3199"/>
      <c r="R18" s="3199"/>
      <c r="S18" s="3199"/>
      <c r="T18" s="3199"/>
      <c r="U18" s="3199"/>
      <c r="V18" s="3199"/>
      <c r="W18" s="3199"/>
      <c r="X18" s="3199"/>
      <c r="Y18" s="3199"/>
      <c r="Z18" s="3199"/>
    </row>
    <row r="19" spans="1:26" s="2000" customFormat="1" ht="13.5" customHeight="1">
      <c r="A19" s="1561" t="s">
        <v>1844</v>
      </c>
      <c r="B19" s="453" t="s">
        <v>487</v>
      </c>
      <c r="C19" s="454">
        <f ca="1">ROUND(C18*F19,0)</f>
        <v>1746</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0" customFormat="1" ht="13.5" customHeight="1">
      <c r="A20" s="1561" t="s">
        <v>1845</v>
      </c>
      <c r="B20" s="453" t="s">
        <v>498</v>
      </c>
      <c r="C20" s="2742">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2" customFormat="1" ht="13.5" customHeight="1">
      <c r="A21" s="1561" t="s">
        <v>1848</v>
      </c>
      <c r="B21" s="455" t="s">
        <v>488</v>
      </c>
      <c r="C21" s="464">
        <f ca="1">C22</f>
        <v>5318</v>
      </c>
      <c r="D21" s="461">
        <f ca="1">C23</f>
        <v>1.1999999999999999E-3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7" t="s">
        <v>2436</v>
      </c>
      <c r="M21" s="3208"/>
      <c r="N21" s="3208"/>
      <c r="O21" s="3208"/>
      <c r="P21" s="3208"/>
      <c r="Q21" s="3201"/>
      <c r="R21" s="3201"/>
      <c r="S21" s="3201"/>
      <c r="T21" s="3201"/>
      <c r="U21" s="3201"/>
      <c r="V21" s="3201"/>
      <c r="W21" s="3201"/>
      <c r="X21" s="3201"/>
      <c r="Y21" s="3201"/>
      <c r="Z21" s="3201"/>
    </row>
    <row r="22" spans="1:26" s="2001" customFormat="1" ht="13.5" customHeight="1">
      <c r="A22" s="1560" t="s">
        <v>1838</v>
      </c>
      <c r="B22" s="1281" t="s">
        <v>2418</v>
      </c>
      <c r="C22" s="481">
        <f ca="1">ROUND(IF('数据-取费表'!B22&lt;=1,(C18+C19)*F21*'数据-取费表'!B20/2,(C18+C19)*(POWER((1+F21),'数据-取费表'!B20/2)-1)),0)</f>
        <v>5318</v>
      </c>
      <c r="D22" s="466"/>
      <c r="E22" s="467"/>
      <c r="F22" s="468"/>
      <c r="G22" s="2419"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1" customFormat="1" ht="13.5" customHeight="1">
      <c r="A23" s="1560" t="s">
        <v>1839</v>
      </c>
      <c r="B23" s="1281" t="s">
        <v>502</v>
      </c>
      <c r="C23" s="482">
        <f ca="1">ROUND(IF('数据-取费表'!B22&lt;=1,F20*F21*'数据-取费表'!B20/2,F20*(POWER((1+F21),'数据-取费表'!B20/2)-1)),4)</f>
        <v>1.1999999999999999E-3</v>
      </c>
      <c r="D23" s="466"/>
      <c r="E23" s="467"/>
      <c r="F23" s="468"/>
      <c r="G23" s="2419"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1" customFormat="1" ht="13.5" customHeight="1">
      <c r="A24" s="1561" t="s">
        <v>1849</v>
      </c>
      <c r="B24" s="2744" t="s">
        <v>2811</v>
      </c>
      <c r="C24" s="472">
        <f ca="1">C25</f>
        <v>10686</v>
      </c>
      <c r="D24" s="483">
        <f ca="1">C26</f>
        <v>2.3999999999999998E-3</v>
      </c>
      <c r="E24" s="463" t="s">
        <v>501</v>
      </c>
      <c r="F24" s="473">
        <f ca="1">IF(B1="",'数据-取费表'!Q16,INDIRECT("'数据-取费表'!q"&amp;$K$1))</f>
        <v>0.12</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1" customFormat="1" ht="13.5" customHeight="1">
      <c r="A25" s="1560" t="s">
        <v>1838</v>
      </c>
      <c r="B25" s="1281" t="s">
        <v>2419</v>
      </c>
      <c r="C25" s="484">
        <f ca="1">ROUND((C18+C19)*F24,0)</f>
        <v>10686</v>
      </c>
      <c r="D25" s="466"/>
      <c r="E25" s="467"/>
      <c r="F25" s="474"/>
      <c r="G25" s="1279" t="s">
        <v>2416</v>
      </c>
      <c r="H25" s="451"/>
      <c r="I25" s="451"/>
      <c r="J25" s="451"/>
      <c r="K25" s="452"/>
      <c r="L25" s="3200"/>
      <c r="M25" s="3200"/>
      <c r="N25" s="3200"/>
      <c r="O25" s="3200"/>
      <c r="P25" s="3200"/>
      <c r="Q25" s="3200"/>
      <c r="R25" s="3200"/>
      <c r="S25" s="3200"/>
      <c r="T25" s="3200"/>
      <c r="U25" s="3200"/>
      <c r="V25" s="3200"/>
      <c r="W25" s="3200"/>
      <c r="X25" s="3200"/>
      <c r="Y25" s="3200"/>
      <c r="Z25" s="3200"/>
    </row>
    <row r="26" spans="1:26" s="2001" customFormat="1" ht="13.5" customHeight="1">
      <c r="A26" s="1560" t="s">
        <v>1839</v>
      </c>
      <c r="B26" s="1281" t="s">
        <v>503</v>
      </c>
      <c r="C26" s="485">
        <f ca="1">ROUND(F20*F24,4)</f>
        <v>2.3999999999999998E-3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1" customFormat="1" ht="13.5" customHeight="1">
      <c r="A27" s="1564" t="s">
        <v>1857</v>
      </c>
      <c r="B27" s="453" t="s">
        <v>505</v>
      </c>
      <c r="C27" s="2743">
        <f>ROUND(F27/(1+'数据-取费表'!C42),4)</f>
        <v>5.33E-2</v>
      </c>
      <c r="D27" s="456" t="s">
        <v>2809</v>
      </c>
      <c r="E27" s="456"/>
      <c r="F27" s="460">
        <f>'数据-取费表'!B41</f>
        <v>5.6000000000000001E-2</v>
      </c>
      <c r="G27" s="1873" t="s">
        <v>2278</v>
      </c>
      <c r="H27" s="441"/>
      <c r="I27" s="441"/>
      <c r="J27" s="441"/>
      <c r="K27" s="442"/>
      <c r="L27" s="3200"/>
      <c r="M27" s="3200"/>
      <c r="N27" s="3200"/>
      <c r="O27" s="3200"/>
      <c r="P27" s="3200"/>
      <c r="Q27" s="3200"/>
      <c r="R27" s="3200"/>
      <c r="S27" s="3200"/>
      <c r="T27" s="3200"/>
      <c r="U27" s="3200"/>
      <c r="V27" s="3200"/>
      <c r="W27" s="3200"/>
      <c r="X27" s="3200"/>
      <c r="Y27" s="3200"/>
      <c r="Z27" s="3200"/>
    </row>
    <row r="28" spans="1:26" s="2002" customFormat="1" ht="13.5" customHeight="1">
      <c r="A28" s="1564" t="s">
        <v>1858</v>
      </c>
      <c r="B28" s="470" t="s">
        <v>506</v>
      </c>
      <c r="C28" s="464">
        <f ca="1">ROUND((C18+C19+C21+C24)/(1-C20-D21-D24-C27),0)</f>
        <v>113803</v>
      </c>
      <c r="D28" s="471"/>
      <c r="E28" s="463"/>
      <c r="F28" s="465"/>
      <c r="G28" s="1280" t="s">
        <v>2417</v>
      </c>
      <c r="H28" s="441"/>
      <c r="I28" s="441"/>
      <c r="J28" s="441"/>
      <c r="K28" s="442"/>
      <c r="L28" s="3201"/>
      <c r="M28" s="3201"/>
      <c r="N28" s="3201"/>
      <c r="O28" s="3201"/>
      <c r="P28" s="3201"/>
      <c r="Q28" s="3201"/>
      <c r="R28" s="3201"/>
      <c r="S28" s="3201"/>
      <c r="T28" s="3201"/>
      <c r="U28" s="3201"/>
      <c r="V28" s="3201"/>
      <c r="W28" s="3201"/>
      <c r="X28" s="3201"/>
      <c r="Y28" s="3201"/>
      <c r="Z28" s="3201"/>
    </row>
    <row r="29" spans="1:26" s="2002" customFormat="1" ht="13.5" customHeight="1">
      <c r="A29" s="1564" t="s">
        <v>1859</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2"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7" customFormat="1" ht="13.5" customHeight="1">
      <c r="A31" s="2334" t="s">
        <v>1855</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5" t="s">
        <v>2937</v>
      </c>
      <c r="H32" s="477"/>
      <c r="I32" s="477"/>
      <c r="J32" s="477"/>
      <c r="K32" s="479"/>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502"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1675</v>
      </c>
      <c r="B3" s="504"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6" t="s">
        <v>515</v>
      </c>
      <c r="B6" s="507"/>
      <c r="C6" s="3534" t="s">
        <v>516</v>
      </c>
      <c r="D6" s="3535"/>
      <c r="E6" s="3559" t="s">
        <v>517</v>
      </c>
      <c r="F6" s="3560"/>
      <c r="G6" s="3534" t="s">
        <v>518</v>
      </c>
      <c r="H6" s="3535"/>
      <c r="I6" s="3534" t="s">
        <v>519</v>
      </c>
      <c r="J6" s="3535"/>
      <c r="K6" s="508" t="s">
        <v>520</v>
      </c>
      <c r="L6" s="2014"/>
      <c r="M6" s="2015"/>
      <c r="N6" s="2015"/>
      <c r="O6" s="2015"/>
      <c r="P6" s="3536" t="s">
        <v>521</v>
      </c>
      <c r="Q6" s="3537"/>
      <c r="R6" s="3522" t="s">
        <v>517</v>
      </c>
      <c r="S6" s="3523"/>
      <c r="T6" s="3522" t="s">
        <v>518</v>
      </c>
      <c r="U6" s="3523"/>
      <c r="V6" s="3542" t="s">
        <v>519</v>
      </c>
      <c r="W6" s="3542"/>
      <c r="X6" s="1500"/>
      <c r="Y6" s="3522" t="s">
        <v>521</v>
      </c>
      <c r="Z6" s="3523"/>
      <c r="AA6" s="3517" t="s">
        <v>517</v>
      </c>
      <c r="AB6" s="3518" t="s">
        <v>518</v>
      </c>
      <c r="AC6" s="3517" t="s">
        <v>519</v>
      </c>
    </row>
    <row r="7" spans="1:29" ht="15">
      <c r="A7" s="509"/>
      <c r="B7" s="510"/>
      <c r="C7" s="3545" t="s">
        <v>2897</v>
      </c>
      <c r="D7" s="3546"/>
      <c r="E7" s="3561" t="s">
        <v>2898</v>
      </c>
      <c r="F7" s="3562"/>
      <c r="G7" s="3545" t="s">
        <v>2899</v>
      </c>
      <c r="H7" s="3546"/>
      <c r="I7" s="3545" t="s">
        <v>2900</v>
      </c>
      <c r="J7" s="3546"/>
      <c r="K7" s="508"/>
      <c r="L7" s="2014"/>
      <c r="M7" s="2015"/>
      <c r="N7" s="2015"/>
      <c r="O7" s="2015"/>
      <c r="P7" s="3538"/>
      <c r="Q7" s="3539"/>
      <c r="R7" s="3524"/>
      <c r="S7" s="3525"/>
      <c r="T7" s="3524"/>
      <c r="U7" s="3525"/>
      <c r="V7" s="3542"/>
      <c r="W7" s="3542"/>
      <c r="X7" s="1500"/>
      <c r="Y7" s="3524"/>
      <c r="Z7" s="3525"/>
      <c r="AA7" s="3518"/>
      <c r="AB7" s="3518"/>
      <c r="AC7" s="3518"/>
    </row>
    <row r="8" spans="1:29" ht="15.75" thickBot="1">
      <c r="A8" s="511"/>
      <c r="B8" s="512"/>
      <c r="C8" s="3543" t="s">
        <v>2901</v>
      </c>
      <c r="D8" s="3544"/>
      <c r="E8" s="3563" t="s">
        <v>2901</v>
      </c>
      <c r="F8" s="3564"/>
      <c r="G8" s="3543" t="s">
        <v>2901</v>
      </c>
      <c r="H8" s="3544"/>
      <c r="I8" s="3543" t="s">
        <v>2901</v>
      </c>
      <c r="J8" s="3544"/>
      <c r="K8" s="508" t="s">
        <v>522</v>
      </c>
      <c r="L8" s="2014"/>
      <c r="M8" s="2015"/>
      <c r="N8" s="2015"/>
      <c r="O8" s="2015"/>
      <c r="P8" s="3540"/>
      <c r="Q8" s="3541"/>
      <c r="R8" s="3524"/>
      <c r="S8" s="3525"/>
      <c r="T8" s="3526"/>
      <c r="U8" s="3527"/>
      <c r="V8" s="3542"/>
      <c r="W8" s="3542"/>
      <c r="X8" s="1500"/>
      <c r="Y8" s="3526"/>
      <c r="Z8" s="3527"/>
      <c r="AA8" s="3519"/>
      <c r="AB8" s="3519"/>
      <c r="AC8" s="3519"/>
    </row>
    <row r="9" spans="1:29" s="1202" customFormat="1" ht="15.75" thickBot="1">
      <c r="A9" s="2628"/>
      <c r="B9" s="2635" t="s">
        <v>523</v>
      </c>
      <c r="C9" s="513">
        <f>'数据-取费表'!B2</f>
        <v>44077</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20" t="s">
        <v>524</v>
      </c>
      <c r="Q9" s="3529"/>
      <c r="R9" s="1501" t="s">
        <v>8</v>
      </c>
      <c r="S9" s="1502">
        <f t="shared" ref="S9:S17" si="0">F9</f>
        <v>0</v>
      </c>
      <c r="T9" s="1501" t="s">
        <v>8</v>
      </c>
      <c r="U9" s="1502">
        <f t="shared" ref="U9:U17" si="1">H9</f>
        <v>0</v>
      </c>
      <c r="V9" s="1501" t="s">
        <v>8</v>
      </c>
      <c r="W9" s="1502">
        <f t="shared" ref="W9:W17" si="2">J9</f>
        <v>0</v>
      </c>
      <c r="X9" s="1503"/>
      <c r="Y9" s="3520" t="s">
        <v>524</v>
      </c>
      <c r="Z9" s="3521"/>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20" t="s">
        <v>527</v>
      </c>
      <c r="Q10" s="3521"/>
      <c r="R10" s="1501" t="s">
        <v>8</v>
      </c>
      <c r="S10" s="1502">
        <f t="shared" si="0"/>
        <v>0</v>
      </c>
      <c r="T10" s="1501" t="s">
        <v>8</v>
      </c>
      <c r="U10" s="1502">
        <f t="shared" si="1"/>
        <v>0</v>
      </c>
      <c r="V10" s="1501" t="s">
        <v>8</v>
      </c>
      <c r="W10" s="1502">
        <f t="shared" si="2"/>
        <v>0</v>
      </c>
      <c r="X10" s="1503"/>
      <c r="Y10" s="3520" t="s">
        <v>527</v>
      </c>
      <c r="Z10" s="3521"/>
      <c r="AA10" s="1504" t="e">
        <f t="shared" ref="AA10:AA42" si="3">D10/F10</f>
        <v>#DIV/0!</v>
      </c>
      <c r="AB10" s="1504" t="e">
        <f t="shared" ref="AB10:AB42" si="4">D10/H10</f>
        <v>#DIV/0!</v>
      </c>
      <c r="AC10" s="1504"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28" t="s">
        <v>529</v>
      </c>
      <c r="Q11" s="1133" t="str">
        <f t="shared" ref="Q11:Q17" si="6">B11</f>
        <v>用途</v>
      </c>
      <c r="R11" s="1501" t="s">
        <v>8</v>
      </c>
      <c r="S11" s="1502">
        <f t="shared" si="0"/>
        <v>100</v>
      </c>
      <c r="T11" s="1501" t="s">
        <v>8</v>
      </c>
      <c r="U11" s="1502">
        <f t="shared" si="1"/>
        <v>100</v>
      </c>
      <c r="V11" s="1501" t="s">
        <v>8</v>
      </c>
      <c r="W11" s="1502">
        <f t="shared" si="2"/>
        <v>100</v>
      </c>
      <c r="X11" s="1503"/>
      <c r="Y11" s="3479" t="s">
        <v>530</v>
      </c>
      <c r="Z11" s="1132" t="str">
        <f t="shared" ref="Z11:Z17" si="7">Q11</f>
        <v>用途</v>
      </c>
      <c r="AA11" s="1504">
        <f t="shared" si="3"/>
        <v>1</v>
      </c>
      <c r="AB11" s="1504">
        <f t="shared" si="4"/>
        <v>1</v>
      </c>
      <c r="AC11" s="1504">
        <f t="shared" si="5"/>
        <v>1</v>
      </c>
    </row>
    <row r="12" spans="1:29" s="1291" customFormat="1" ht="27">
      <c r="A12" s="2631"/>
      <c r="B12" s="2636" t="s">
        <v>2737</v>
      </c>
      <c r="C12" s="522"/>
      <c r="D12" s="253">
        <v>100</v>
      </c>
      <c r="E12" s="522"/>
      <c r="F12" s="253">
        <f>ROUND(100/'数据-取费表'!G16,0)</f>
        <v>105</v>
      </c>
      <c r="G12" s="522"/>
      <c r="H12" s="253">
        <f>ROUND(100/'数据-取费表'!G16,0)</f>
        <v>105</v>
      </c>
      <c r="I12" s="522"/>
      <c r="J12" s="253">
        <f>ROUND(100/'数据-取费表'!G16,0)</f>
        <v>105</v>
      </c>
      <c r="K12" s="525"/>
      <c r="L12" s="2019"/>
      <c r="M12" s="2058"/>
      <c r="N12" s="2058"/>
      <c r="O12" s="2020"/>
      <c r="P12" s="3528"/>
      <c r="Q12" s="1133" t="str">
        <f t="shared" si="6"/>
        <v>土地使用年限（年）</v>
      </c>
      <c r="R12" s="1501" t="s">
        <v>8</v>
      </c>
      <c r="S12" s="1502">
        <f t="shared" si="0"/>
        <v>105</v>
      </c>
      <c r="T12" s="1501" t="s">
        <v>8</v>
      </c>
      <c r="U12" s="1502">
        <f t="shared" si="1"/>
        <v>105</v>
      </c>
      <c r="V12" s="1501" t="s">
        <v>8</v>
      </c>
      <c r="W12" s="1502">
        <f t="shared" si="2"/>
        <v>105</v>
      </c>
      <c r="X12" s="1503"/>
      <c r="Y12" s="3479"/>
      <c r="Z12" s="1132" t="str">
        <f t="shared" si="7"/>
        <v>土地使用年限（年）</v>
      </c>
      <c r="AA12" s="1504">
        <f t="shared" si="3"/>
        <v>0.95238095238095233</v>
      </c>
      <c r="AB12" s="1504">
        <f t="shared" si="4"/>
        <v>0.95238095238095233</v>
      </c>
      <c r="AC12" s="1504">
        <f t="shared" si="5"/>
        <v>0.95238095238095233</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28"/>
      <c r="Q13" s="1133" t="str">
        <f t="shared" si="6"/>
        <v>容积率</v>
      </c>
      <c r="R13" s="1501" t="s">
        <v>8</v>
      </c>
      <c r="S13" s="1502" t="e">
        <f t="shared" si="0"/>
        <v>#N/A</v>
      </c>
      <c r="T13" s="1501" t="s">
        <v>8</v>
      </c>
      <c r="U13" s="1502" t="e">
        <f t="shared" si="1"/>
        <v>#N/A</v>
      </c>
      <c r="V13" s="1501" t="s">
        <v>8</v>
      </c>
      <c r="W13" s="1502" t="e">
        <f t="shared" si="2"/>
        <v>#N/A</v>
      </c>
      <c r="X13" s="1503"/>
      <c r="Y13" s="3479"/>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28"/>
      <c r="Q14" s="1133">
        <f t="shared" si="6"/>
        <v>111</v>
      </c>
      <c r="R14" s="1501" t="s">
        <v>8</v>
      </c>
      <c r="S14" s="1502">
        <f t="shared" si="0"/>
        <v>100</v>
      </c>
      <c r="T14" s="1501" t="s">
        <v>8</v>
      </c>
      <c r="U14" s="1502">
        <f t="shared" si="1"/>
        <v>100</v>
      </c>
      <c r="V14" s="1501" t="s">
        <v>8</v>
      </c>
      <c r="W14" s="1502">
        <f t="shared" si="2"/>
        <v>100</v>
      </c>
      <c r="X14" s="1503"/>
      <c r="Y14" s="3479"/>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28"/>
      <c r="Q15" s="1133">
        <f t="shared" si="6"/>
        <v>111</v>
      </c>
      <c r="R15" s="1501" t="s">
        <v>8</v>
      </c>
      <c r="S15" s="1502">
        <f t="shared" si="0"/>
        <v>100</v>
      </c>
      <c r="T15" s="1501" t="s">
        <v>8</v>
      </c>
      <c r="U15" s="1502">
        <f t="shared" si="1"/>
        <v>100</v>
      </c>
      <c r="V15" s="1501" t="s">
        <v>8</v>
      </c>
      <c r="W15" s="1502">
        <f t="shared" si="2"/>
        <v>100</v>
      </c>
      <c r="X15" s="1503"/>
      <c r="Y15" s="3479"/>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28"/>
      <c r="Q16" s="1133">
        <f t="shared" si="6"/>
        <v>111</v>
      </c>
      <c r="R16" s="1501" t="s">
        <v>8</v>
      </c>
      <c r="S16" s="1502">
        <f t="shared" si="0"/>
        <v>100</v>
      </c>
      <c r="T16" s="1501" t="s">
        <v>8</v>
      </c>
      <c r="U16" s="1502">
        <f t="shared" si="1"/>
        <v>100</v>
      </c>
      <c r="V16" s="1501" t="s">
        <v>8</v>
      </c>
      <c r="W16" s="1502">
        <f t="shared" si="2"/>
        <v>100</v>
      </c>
      <c r="X16" s="1503"/>
      <c r="Y16" s="3479"/>
      <c r="Z16" s="1132">
        <f t="shared" si="7"/>
        <v>111</v>
      </c>
      <c r="AA16" s="1504">
        <f t="shared" si="3"/>
        <v>1</v>
      </c>
      <c r="AB16" s="1504">
        <f t="shared" si="4"/>
        <v>1</v>
      </c>
      <c r="AC16" s="1504">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30" t="s">
        <v>534</v>
      </c>
      <c r="Q17" s="1505" t="str">
        <f t="shared" si="6"/>
        <v>产业集聚程度</v>
      </c>
      <c r="R17" s="1506" t="s">
        <v>8</v>
      </c>
      <c r="S17" s="1507">
        <f t="shared" si="0"/>
        <v>100</v>
      </c>
      <c r="T17" s="1506" t="s">
        <v>8</v>
      </c>
      <c r="U17" s="1507">
        <f t="shared" si="1"/>
        <v>100</v>
      </c>
      <c r="V17" s="1506" t="s">
        <v>8</v>
      </c>
      <c r="W17" s="1507">
        <f t="shared" si="2"/>
        <v>100</v>
      </c>
      <c r="X17" s="1500"/>
      <c r="Y17" s="3530"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31"/>
      <c r="Q18" s="1505"/>
      <c r="R18" s="1506"/>
      <c r="S18" s="1507"/>
      <c r="T18" s="1506"/>
      <c r="U18" s="1507"/>
      <c r="V18" s="1506"/>
      <c r="W18" s="1507"/>
      <c r="X18" s="1500"/>
      <c r="Y18" s="3531"/>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31"/>
      <c r="Q19" s="1505" t="str">
        <f>B19</f>
        <v>交通便捷度</v>
      </c>
      <c r="R19" s="1506" t="s">
        <v>8</v>
      </c>
      <c r="S19" s="1507">
        <f>F19</f>
        <v>100</v>
      </c>
      <c r="T19" s="1506" t="s">
        <v>8</v>
      </c>
      <c r="U19" s="1507">
        <f>H19</f>
        <v>100</v>
      </c>
      <c r="V19" s="1506" t="s">
        <v>8</v>
      </c>
      <c r="W19" s="1507">
        <f>J19</f>
        <v>100</v>
      </c>
      <c r="X19" s="1500"/>
      <c r="Y19" s="3531"/>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31"/>
      <c r="Q20" s="1505"/>
      <c r="R20" s="1506"/>
      <c r="S20" s="1507"/>
      <c r="T20" s="1506"/>
      <c r="U20" s="1507"/>
      <c r="V20" s="1506"/>
      <c r="W20" s="1507"/>
      <c r="X20" s="1500"/>
      <c r="Y20" s="3531"/>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31"/>
      <c r="Q21" s="1505" t="str">
        <f t="shared" ref="Q21:Q35" si="8">B21</f>
        <v>区域土地利用方向</v>
      </c>
      <c r="R21" s="1506" t="s">
        <v>8</v>
      </c>
      <c r="S21" s="1507">
        <f>F21</f>
        <v>100</v>
      </c>
      <c r="T21" s="1506" t="s">
        <v>8</v>
      </c>
      <c r="U21" s="1507">
        <f>H21</f>
        <v>100</v>
      </c>
      <c r="V21" s="1506" t="s">
        <v>8</v>
      </c>
      <c r="W21" s="1507">
        <f>J21</f>
        <v>100</v>
      </c>
      <c r="X21" s="1500"/>
      <c r="Y21" s="3531"/>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31"/>
      <c r="Q22" s="1505"/>
      <c r="R22" s="1506"/>
      <c r="S22" s="1507"/>
      <c r="T22" s="1506"/>
      <c r="U22" s="1507"/>
      <c r="V22" s="1506"/>
      <c r="W22" s="1507"/>
      <c r="X22" s="1500"/>
      <c r="Y22" s="3531"/>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31"/>
      <c r="Q23" s="1505" t="str">
        <f t="shared" si="8"/>
        <v>环境状况</v>
      </c>
      <c r="R23" s="1506" t="s">
        <v>8</v>
      </c>
      <c r="S23" s="1507">
        <f>F23</f>
        <v>100</v>
      </c>
      <c r="T23" s="1506" t="s">
        <v>8</v>
      </c>
      <c r="U23" s="1507">
        <f>H23</f>
        <v>100</v>
      </c>
      <c r="V23" s="1506" t="s">
        <v>8</v>
      </c>
      <c r="W23" s="1507">
        <f>J23</f>
        <v>100</v>
      </c>
      <c r="X23" s="1500"/>
      <c r="Y23" s="3531"/>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31"/>
      <c r="Q24" s="1505"/>
      <c r="R24" s="1506"/>
      <c r="S24" s="1507"/>
      <c r="T24" s="1506"/>
      <c r="U24" s="1507"/>
      <c r="V24" s="1506"/>
      <c r="W24" s="1507"/>
      <c r="X24" s="1500"/>
      <c r="Y24" s="3531"/>
      <c r="Z24" s="1508"/>
      <c r="AA24" s="1509">
        <v>1</v>
      </c>
      <c r="AB24" s="1509">
        <v>1</v>
      </c>
      <c r="AC24" s="1509">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31"/>
      <c r="Q25" s="1133" t="str">
        <f t="shared" si="8"/>
        <v>公共配套设施</v>
      </c>
      <c r="R25" s="1501" t="s">
        <v>8</v>
      </c>
      <c r="S25" s="1502">
        <f>F25</f>
        <v>100</v>
      </c>
      <c r="T25" s="1501" t="s">
        <v>8</v>
      </c>
      <c r="U25" s="1502">
        <f>H25</f>
        <v>100</v>
      </c>
      <c r="V25" s="1501" t="s">
        <v>8</v>
      </c>
      <c r="W25" s="1502">
        <f>J25</f>
        <v>100</v>
      </c>
      <c r="X25" s="1503"/>
      <c r="Y25" s="3531"/>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31"/>
      <c r="Q26" s="1133"/>
      <c r="R26" s="1501"/>
      <c r="S26" s="1502"/>
      <c r="T26" s="1501"/>
      <c r="U26" s="1502"/>
      <c r="V26" s="1501"/>
      <c r="W26" s="1502"/>
      <c r="X26" s="1503"/>
      <c r="Y26" s="3531"/>
      <c r="Z26" s="1132"/>
      <c r="AA26" s="1504">
        <v>1</v>
      </c>
      <c r="AB26" s="1504">
        <v>1</v>
      </c>
      <c r="AC26" s="1504">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31"/>
      <c r="Q27" s="2427" t="str">
        <f t="shared" ref="Q27" si="9">B27</f>
        <v>基础设施水平</v>
      </c>
      <c r="R27" s="1501" t="s">
        <v>8</v>
      </c>
      <c r="S27" s="1502">
        <f>F27</f>
        <v>100</v>
      </c>
      <c r="T27" s="1501" t="s">
        <v>8</v>
      </c>
      <c r="U27" s="1502">
        <f>H27</f>
        <v>100</v>
      </c>
      <c r="V27" s="1501" t="s">
        <v>8</v>
      </c>
      <c r="W27" s="1502">
        <f>J27</f>
        <v>100</v>
      </c>
      <c r="X27" s="1503"/>
      <c r="Y27" s="3531"/>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31"/>
      <c r="Q28" s="2427"/>
      <c r="R28" s="1501"/>
      <c r="S28" s="1502"/>
      <c r="T28" s="1501"/>
      <c r="U28" s="1502"/>
      <c r="V28" s="1501"/>
      <c r="W28" s="1502"/>
      <c r="X28" s="1503"/>
      <c r="Y28" s="3531"/>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31"/>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31"/>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31"/>
      <c r="Q30" s="1505" t="str">
        <f t="shared" si="8"/>
        <v>毗邻道路的类型与等级</v>
      </c>
      <c r="R30" s="1506" t="s">
        <v>8</v>
      </c>
      <c r="S30" s="1507">
        <f t="shared" si="10"/>
        <v>100</v>
      </c>
      <c r="T30" s="1506" t="s">
        <v>8</v>
      </c>
      <c r="U30" s="1507">
        <f t="shared" si="11"/>
        <v>100</v>
      </c>
      <c r="V30" s="1506" t="s">
        <v>8</v>
      </c>
      <c r="W30" s="1507">
        <f t="shared" si="12"/>
        <v>100</v>
      </c>
      <c r="X30" s="1500"/>
      <c r="Y30" s="3531"/>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31"/>
      <c r="Q31" s="1505"/>
      <c r="R31" s="1506"/>
      <c r="S31" s="1507"/>
      <c r="T31" s="1506"/>
      <c r="U31" s="1507"/>
      <c r="V31" s="1506"/>
      <c r="W31" s="1507"/>
      <c r="X31" s="1500"/>
      <c r="Y31" s="3531"/>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31"/>
      <c r="Q32" s="1505" t="str">
        <f t="shared" si="8"/>
        <v>土地级别</v>
      </c>
      <c r="R32" s="1506" t="s">
        <v>8</v>
      </c>
      <c r="S32" s="1507">
        <f t="shared" si="10"/>
        <v>100</v>
      </c>
      <c r="T32" s="1506" t="s">
        <v>8</v>
      </c>
      <c r="U32" s="1507">
        <f t="shared" si="11"/>
        <v>100</v>
      </c>
      <c r="V32" s="1506" t="s">
        <v>8</v>
      </c>
      <c r="W32" s="1507">
        <f t="shared" si="12"/>
        <v>100</v>
      </c>
      <c r="X32" s="1500"/>
      <c r="Y32" s="3531"/>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31"/>
      <c r="Q33" s="1505">
        <f t="shared" si="8"/>
        <v>111</v>
      </c>
      <c r="R33" s="1506" t="s">
        <v>8</v>
      </c>
      <c r="S33" s="1507">
        <f t="shared" si="10"/>
        <v>100</v>
      </c>
      <c r="T33" s="1506" t="s">
        <v>8</v>
      </c>
      <c r="U33" s="1507">
        <f t="shared" si="11"/>
        <v>100</v>
      </c>
      <c r="V33" s="1506" t="s">
        <v>8</v>
      </c>
      <c r="W33" s="1507">
        <f t="shared" si="12"/>
        <v>100</v>
      </c>
      <c r="X33" s="1500"/>
      <c r="Y33" s="3531"/>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32" t="s">
        <v>544</v>
      </c>
      <c r="Q34" s="1505">
        <f t="shared" si="8"/>
        <v>111</v>
      </c>
      <c r="R34" s="1506" t="s">
        <v>8</v>
      </c>
      <c r="S34" s="1507">
        <f t="shared" si="10"/>
        <v>100</v>
      </c>
      <c r="T34" s="1506" t="s">
        <v>8</v>
      </c>
      <c r="U34" s="1507">
        <f t="shared" si="11"/>
        <v>100</v>
      </c>
      <c r="V34" s="1506" t="s">
        <v>8</v>
      </c>
      <c r="W34" s="1507">
        <f t="shared" si="12"/>
        <v>100</v>
      </c>
      <c r="X34" s="1500"/>
      <c r="Y34" s="3533"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33"/>
      <c r="Q35" s="1505">
        <f t="shared" si="8"/>
        <v>111</v>
      </c>
      <c r="R35" s="1510" t="s">
        <v>8</v>
      </c>
      <c r="S35" s="1511">
        <f t="shared" si="10"/>
        <v>100</v>
      </c>
      <c r="T35" s="1510" t="s">
        <v>8</v>
      </c>
      <c r="U35" s="1511">
        <f t="shared" si="11"/>
        <v>100</v>
      </c>
      <c r="V35" s="1510" t="s">
        <v>8</v>
      </c>
      <c r="W35" s="1511">
        <f t="shared" si="12"/>
        <v>100</v>
      </c>
      <c r="X35" s="1512"/>
      <c r="Y35" s="3533"/>
      <c r="Z35" s="1513">
        <f t="shared" si="13"/>
        <v>111</v>
      </c>
      <c r="AA35" s="1509">
        <f t="shared" si="3"/>
        <v>1</v>
      </c>
      <c r="AB35" s="1509">
        <f t="shared" si="4"/>
        <v>1</v>
      </c>
      <c r="AC35" s="1509">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33"/>
      <c r="Q36" s="1505" t="str">
        <f>B36</f>
        <v>宗地面积</v>
      </c>
      <c r="R36" s="1506" t="s">
        <v>8</v>
      </c>
      <c r="S36" s="1507" t="e">
        <f t="shared" si="10"/>
        <v>#N/A</v>
      </c>
      <c r="T36" s="1506" t="s">
        <v>8</v>
      </c>
      <c r="U36" s="1507" t="e">
        <f t="shared" si="11"/>
        <v>#N/A</v>
      </c>
      <c r="V36" s="1506" t="s">
        <v>8</v>
      </c>
      <c r="W36" s="1507" t="e">
        <f t="shared" si="12"/>
        <v>#N/A</v>
      </c>
      <c r="X36" s="1500"/>
      <c r="Y36" s="3533"/>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33"/>
      <c r="Q37" s="1505" t="str">
        <f t="shared" ref="Q37:Q42" si="14">B37</f>
        <v>宗地形状</v>
      </c>
      <c r="R37" s="1506" t="s">
        <v>8</v>
      </c>
      <c r="S37" s="1507">
        <f t="shared" si="10"/>
        <v>100</v>
      </c>
      <c r="T37" s="1506" t="s">
        <v>8</v>
      </c>
      <c r="U37" s="1507">
        <f t="shared" si="11"/>
        <v>100</v>
      </c>
      <c r="V37" s="1506" t="s">
        <v>8</v>
      </c>
      <c r="W37" s="1507">
        <f t="shared" si="12"/>
        <v>100</v>
      </c>
      <c r="X37" s="1500"/>
      <c r="Y37" s="3533"/>
      <c r="Z37" s="1508" t="str">
        <f t="shared" si="13"/>
        <v>宗地形状</v>
      </c>
      <c r="AA37" s="1509">
        <f t="shared" si="3"/>
        <v>1</v>
      </c>
      <c r="AB37" s="1509">
        <f t="shared" si="4"/>
        <v>1</v>
      </c>
      <c r="AC37" s="1509">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33"/>
      <c r="Q38" s="1505" t="str">
        <f t="shared" si="14"/>
        <v>宗地开发程度</v>
      </c>
      <c r="R38" s="1501" t="s">
        <v>8</v>
      </c>
      <c r="S38" s="1502">
        <f t="shared" si="10"/>
        <v>100</v>
      </c>
      <c r="T38" s="1501" t="s">
        <v>8</v>
      </c>
      <c r="U38" s="1502">
        <f t="shared" si="11"/>
        <v>100</v>
      </c>
      <c r="V38" s="1501" t="s">
        <v>8</v>
      </c>
      <c r="W38" s="1502">
        <f t="shared" si="12"/>
        <v>100</v>
      </c>
      <c r="X38" s="1503"/>
      <c r="Y38" s="3533"/>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3" t="s">
        <v>595</v>
      </c>
      <c r="Q39" s="1505" t="str">
        <f t="shared" si="14"/>
        <v>工程地质条件</v>
      </c>
      <c r="R39" s="1506" t="s">
        <v>8</v>
      </c>
      <c r="S39" s="1507">
        <f t="shared" si="10"/>
        <v>100</v>
      </c>
      <c r="T39" s="1506" t="s">
        <v>8</v>
      </c>
      <c r="U39" s="1507">
        <f t="shared" si="11"/>
        <v>100</v>
      </c>
      <c r="V39" s="1506" t="s">
        <v>8</v>
      </c>
      <c r="W39" s="1507">
        <f t="shared" si="12"/>
        <v>100</v>
      </c>
      <c r="X39" s="1500"/>
      <c r="Y39" s="3533"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33"/>
      <c r="Q40" s="1505">
        <f t="shared" si="14"/>
        <v>111</v>
      </c>
      <c r="R40" s="1506" t="s">
        <v>8</v>
      </c>
      <c r="S40" s="1507">
        <f t="shared" si="10"/>
        <v>100</v>
      </c>
      <c r="T40" s="1506" t="s">
        <v>8</v>
      </c>
      <c r="U40" s="1507">
        <f t="shared" si="11"/>
        <v>100</v>
      </c>
      <c r="V40" s="1506" t="s">
        <v>8</v>
      </c>
      <c r="W40" s="1507">
        <f t="shared" si="12"/>
        <v>100</v>
      </c>
      <c r="X40" s="1500"/>
      <c r="Y40" s="3533"/>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33"/>
      <c r="Q41" s="1505">
        <f t="shared" si="14"/>
        <v>111</v>
      </c>
      <c r="R41" s="1506" t="s">
        <v>8</v>
      </c>
      <c r="S41" s="1507">
        <f t="shared" si="10"/>
        <v>100</v>
      </c>
      <c r="T41" s="1506" t="s">
        <v>8</v>
      </c>
      <c r="U41" s="1507">
        <f t="shared" si="11"/>
        <v>100</v>
      </c>
      <c r="V41" s="1506" t="s">
        <v>8</v>
      </c>
      <c r="W41" s="1507">
        <f t="shared" si="12"/>
        <v>100</v>
      </c>
      <c r="X41" s="1500"/>
      <c r="Y41" s="3533"/>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33"/>
      <c r="Q42" s="1505">
        <f t="shared" si="14"/>
        <v>111</v>
      </c>
      <c r="R42" s="1510" t="s">
        <v>8</v>
      </c>
      <c r="S42" s="1511">
        <f t="shared" si="10"/>
        <v>100</v>
      </c>
      <c r="T42" s="1510" t="s">
        <v>8</v>
      </c>
      <c r="U42" s="1511">
        <f t="shared" si="11"/>
        <v>100</v>
      </c>
      <c r="V42" s="1510" t="s">
        <v>8</v>
      </c>
      <c r="W42" s="1511">
        <f t="shared" si="12"/>
        <v>100</v>
      </c>
      <c r="X42" s="1512"/>
      <c r="Y42" s="3533"/>
      <c r="Z42" s="1513">
        <f t="shared" si="13"/>
        <v>111</v>
      </c>
      <c r="AA42" s="1509">
        <f t="shared" si="3"/>
        <v>1</v>
      </c>
      <c r="AB42" s="1509">
        <f t="shared" si="4"/>
        <v>1</v>
      </c>
      <c r="AC42" s="1509">
        <f t="shared" si="5"/>
        <v>1</v>
      </c>
    </row>
    <row r="43" spans="1:29" ht="15">
      <c r="A43" s="601" t="s">
        <v>550</v>
      </c>
      <c r="B43" s="602" t="s">
        <v>2902</v>
      </c>
      <c r="C43" s="603" t="s">
        <v>1</v>
      </c>
      <c r="D43" s="604"/>
      <c r="E43" s="605"/>
      <c r="F43" s="606"/>
      <c r="G43" s="607"/>
      <c r="H43" s="608"/>
      <c r="I43" s="605"/>
      <c r="J43" s="608"/>
      <c r="K43" s="1293"/>
      <c r="L43" s="2025"/>
      <c r="M43" s="2015"/>
      <c r="N43" s="2015"/>
      <c r="O43" s="2026"/>
      <c r="P43" s="3528" t="str">
        <f>A43</f>
        <v>成交单价</v>
      </c>
      <c r="Q43" s="3528"/>
      <c r="R43" s="3542">
        <f>E43</f>
        <v>0</v>
      </c>
      <c r="S43" s="3542"/>
      <c r="T43" s="3542">
        <f>G43</f>
        <v>0</v>
      </c>
      <c r="U43" s="3542"/>
      <c r="V43" s="3542">
        <f>I43</f>
        <v>0</v>
      </c>
      <c r="W43" s="3542"/>
      <c r="X43" s="1495"/>
      <c r="Y43" s="1514"/>
      <c r="Z43" s="1495"/>
      <c r="AA43" s="1495"/>
      <c r="AB43" s="1495"/>
      <c r="AC43" s="1495"/>
    </row>
    <row r="44" spans="1:29" ht="15.75" thickBot="1">
      <c r="A44" s="609" t="s">
        <v>2673</v>
      </c>
      <c r="B44" s="610"/>
      <c r="C44" s="611" t="e">
        <f>R45</f>
        <v>#DIV/0!</v>
      </c>
      <c r="D44" s="3013" t="s">
        <v>2972</v>
      </c>
      <c r="E44" s="611" t="e">
        <f>R44</f>
        <v>#DIV/0!</v>
      </c>
      <c r="F44" s="3014"/>
      <c r="G44" s="612" t="e">
        <f>T44</f>
        <v>#DIV/0!</v>
      </c>
      <c r="H44" s="3014"/>
      <c r="I44" s="611" t="e">
        <f>V44</f>
        <v>#DIV/0!</v>
      </c>
      <c r="J44" s="3014"/>
      <c r="K44" s="3015">
        <f>F44+H44+J44</f>
        <v>0</v>
      </c>
      <c r="L44" s="2025"/>
      <c r="M44" s="2015"/>
      <c r="N44" s="2015"/>
      <c r="O44" s="2026"/>
      <c r="P44" s="3528" t="str">
        <f>A44</f>
        <v>比较价格（元/平方米）</v>
      </c>
      <c r="Q44" s="3528"/>
      <c r="R44" s="3552" t="e">
        <f>ROUND(PRODUCT(R43,AA9:AA42),0)</f>
        <v>#DIV/0!</v>
      </c>
      <c r="S44" s="3552"/>
      <c r="T44" s="3552" t="e">
        <f>ROUND(PRODUCT(T43,AB9:AB42),0)</f>
        <v>#DIV/0!</v>
      </c>
      <c r="U44" s="3552"/>
      <c r="V44" s="3552" t="e">
        <f>ROUND(PRODUCT(V43,AC9:AC42),0)</f>
        <v>#DIV/0!</v>
      </c>
      <c r="W44" s="3552"/>
      <c r="X44" s="1495"/>
      <c r="Y44" s="1495"/>
      <c r="Z44" s="1495"/>
      <c r="AA44" s="1495"/>
      <c r="AB44" s="1495"/>
      <c r="AC44" s="1495"/>
    </row>
    <row r="45" spans="1:29" ht="15.75" thickBot="1">
      <c r="A45" s="613" t="s">
        <v>2903</v>
      </c>
      <c r="B45" s="614"/>
      <c r="C45" s="615" t="e">
        <f>R45</f>
        <v>#DIV/0!</v>
      </c>
      <c r="D45" s="615"/>
      <c r="E45" s="615"/>
      <c r="F45" s="615"/>
      <c r="G45" s="615"/>
      <c r="H45" s="615"/>
      <c r="I45" s="615"/>
      <c r="J45" s="615"/>
      <c r="K45" s="1294"/>
      <c r="L45" s="2025"/>
      <c r="M45" s="2015"/>
      <c r="N45" s="2015"/>
      <c r="O45" s="2026"/>
      <c r="P45" s="3549" t="str">
        <f>A45</f>
        <v>估价对象XX用房的比较价格（楼面单价，元/平方米）</v>
      </c>
      <c r="Q45" s="3550"/>
      <c r="R45" s="3558" t="e">
        <f>ROUND(IF(D44="简单平均",AVERAGE(R44:W44),R44*F44+T44*H44+V44*J44),0)</f>
        <v>#DIV/0!</v>
      </c>
      <c r="S45" s="3558"/>
      <c r="T45" s="3558"/>
      <c r="U45" s="3558"/>
      <c r="V45" s="3558"/>
      <c r="W45" s="3558"/>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1714</v>
      </c>
      <c r="D52" s="2106" t="s">
        <v>2280</v>
      </c>
      <c r="E52" s="623" t="s">
        <v>556</v>
      </c>
      <c r="F52" s="1864" t="s">
        <v>557</v>
      </c>
      <c r="G52" s="3553" t="s">
        <v>2271</v>
      </c>
      <c r="H52" s="3554"/>
      <c r="I52" s="1865" t="s">
        <v>1933</v>
      </c>
      <c r="J52" s="1492">
        <f>项目基本情况!F41</f>
        <v>0</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209942.94</v>
      </c>
      <c r="F53" s="1863" t="e">
        <f t="shared" ref="F53:F62" si="15">ROUND(B53*E53/10000,0)</f>
        <v>#DIV/0!</v>
      </c>
      <c r="G53" s="3555"/>
      <c r="H53" s="3556"/>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57" t="s">
        <v>2272</v>
      </c>
      <c r="H54" s="1867">
        <f>项目基本情况!B43</f>
        <v>0</v>
      </c>
      <c r="I54" s="1866">
        <f>SUMIF(修正!$A$45:$A$56,H54,修正!B45:B56)</f>
        <v>0</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57"/>
      <c r="H55" s="1868">
        <f>项目基本情况!B43</f>
        <v>0</v>
      </c>
      <c r="I55" s="1866">
        <f>SUMIF(修正!$A$45:$A$56,H55,修正!C45:C56)</f>
        <v>0</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57"/>
      <c r="H56" s="1868">
        <f>项目基本情况!B43</f>
        <v>0</v>
      </c>
      <c r="I56" s="1866">
        <f>SUMIF(修正!$A$45:$A$56,H56,修正!D45:D56)</f>
        <v>0</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57"/>
      <c r="H57" s="1868">
        <f>项目基本情况!B43</f>
        <v>0</v>
      </c>
      <c r="I57" s="1866">
        <f>SUMIF(修正!$A$45:$A$56,H57,修正!E45:E56)</f>
        <v>0</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64678.93</v>
      </c>
      <c r="F60" s="1863" t="e">
        <f t="shared" si="15"/>
        <v>#DIV/0!</v>
      </c>
      <c r="G60" s="1859" t="s">
        <v>914</v>
      </c>
      <c r="H60" s="1867">
        <f>IF(G60="商业",项目基本情况!B43,IF(G60="办公",项目基本情况!C43,IF(G60="住宅",项目基本情况!D43,项目基本情况!E43)))</f>
        <v>0</v>
      </c>
      <c r="I60" s="1866">
        <f>SUMIF(修正!$A$45:$A$56,H60,修正!H45:H56)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2281</v>
      </c>
      <c r="E63" s="635">
        <f>IF(B43="楼面地价",SUM(E53:E62),'数据-汇总表'!D3)</f>
        <v>75029.52</v>
      </c>
      <c r="F63" s="636"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2020-9-1</v>
      </c>
      <c r="D65" s="2515">
        <f>EDATE(C65,-3)</f>
        <v>43983</v>
      </c>
      <c r="E65" s="2515">
        <f t="shared" ref="E65:N65" si="18">EDATE(D65,-3)</f>
        <v>43891</v>
      </c>
      <c r="F65" s="2515">
        <f t="shared" si="18"/>
        <v>43800</v>
      </c>
      <c r="G65" s="2515">
        <f t="shared" si="18"/>
        <v>43709</v>
      </c>
      <c r="H65" s="2515">
        <f t="shared" si="18"/>
        <v>43617</v>
      </c>
      <c r="I65" s="2515">
        <f t="shared" si="18"/>
        <v>43525</v>
      </c>
      <c r="J65" s="2515">
        <f t="shared" si="18"/>
        <v>43435</v>
      </c>
      <c r="K65" s="2515">
        <f t="shared" si="18"/>
        <v>43344</v>
      </c>
      <c r="L65" s="2515">
        <f t="shared" si="18"/>
        <v>43252</v>
      </c>
      <c r="M65" s="2515">
        <f t="shared" si="18"/>
        <v>43160</v>
      </c>
      <c r="N65" s="2515">
        <f t="shared" si="18"/>
        <v>43070</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2020-3</v>
      </c>
      <c r="D67" s="2517" t="str">
        <f t="shared" ref="D67:N67" si="19">YEAR(D65)&amp;"-"&amp;ROUNDUP(MONTH(D65)/3,0)</f>
        <v>2020-2</v>
      </c>
      <c r="E67" s="2517" t="str">
        <f t="shared" si="19"/>
        <v>2020-1</v>
      </c>
      <c r="F67" s="2517" t="str">
        <f t="shared" si="19"/>
        <v>2019-4</v>
      </c>
      <c r="G67" s="2517" t="str">
        <f t="shared" si="19"/>
        <v>2019-3</v>
      </c>
      <c r="H67" s="2517" t="str">
        <f t="shared" si="19"/>
        <v>2019-2</v>
      </c>
      <c r="I67" s="2517" t="str">
        <f t="shared" si="19"/>
        <v>2019-1</v>
      </c>
      <c r="J67" s="2517" t="str">
        <f t="shared" si="19"/>
        <v>2018-4</v>
      </c>
      <c r="K67" s="2517" t="str">
        <f t="shared" si="19"/>
        <v>2018-3</v>
      </c>
      <c r="L67" s="2517" t="str">
        <f t="shared" si="19"/>
        <v>2018-2</v>
      </c>
      <c r="M67" s="2517" t="str">
        <f t="shared" si="19"/>
        <v>2018-1</v>
      </c>
      <c r="N67" s="2517" t="str">
        <f t="shared" si="19"/>
        <v>2017-4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北京市平均增长率1.27%</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7"/>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8"/>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9"/>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8"/>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9"/>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8"/>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30"/>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30"/>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8"/>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30"/>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8"/>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8"/>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8"/>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9"/>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8"/>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9"/>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8"/>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9"/>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8"/>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5"/>
      <c r="D114" s="1325"/>
      <c r="E114" s="1325"/>
      <c r="F114" s="1325"/>
      <c r="G114" s="1325"/>
      <c r="H114" s="710"/>
      <c r="I114" s="710"/>
      <c r="J114" s="710"/>
      <c r="K114" s="711"/>
      <c r="L114" s="712"/>
      <c r="M114" s="713"/>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8"/>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8"/>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9"/>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8"/>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7" stopIfTrue="1" operator="containsText" text="超过">
      <formula>NOT(ISERROR(SEARCH("超过",F48)))</formula>
    </cfRule>
  </conditionalFormatting>
  <conditionalFormatting sqref="J50">
    <cfRule type="containsText" dxfId="148" priority="16" stopIfTrue="1" operator="containsText" text="超过">
      <formula>NOT(ISERROR(SEARCH("超过",J50)))</formula>
    </cfRule>
  </conditionalFormatting>
  <conditionalFormatting sqref="H50">
    <cfRule type="containsText" dxfId="147" priority="15" stopIfTrue="1" operator="containsText" text="超过">
      <formula>NOT(ISERROR(SEARCH("超过",H50)))</formula>
    </cfRule>
  </conditionalFormatting>
  <conditionalFormatting sqref="F50">
    <cfRule type="containsText" dxfId="146" priority="14" stopIfTrue="1" operator="containsText" text="超过">
      <formula>NOT(ISERROR(SEARCH("超过",F50)))</formula>
    </cfRule>
  </conditionalFormatting>
  <conditionalFormatting sqref="F49 H49 J49">
    <cfRule type="containsText" dxfId="145" priority="13" stopIfTrue="1" operator="containsText" text="超过">
      <formula>NOT(ISERROR(SEARCH("超过",F49)))</formula>
    </cfRule>
  </conditionalFormatting>
  <conditionalFormatting sqref="E48">
    <cfRule type="expression" dxfId="144" priority="12" stopIfTrue="1">
      <formula>$F$48="超过30%"</formula>
    </cfRule>
  </conditionalFormatting>
  <conditionalFormatting sqref="G50">
    <cfRule type="expression" dxfId="143" priority="11" stopIfTrue="1">
      <formula>$H$50="超过30%"</formula>
    </cfRule>
  </conditionalFormatting>
  <conditionalFormatting sqref="E50">
    <cfRule type="expression" dxfId="142" priority="9" stopIfTrue="1">
      <formula>$F$50="超过30%"</formula>
    </cfRule>
  </conditionalFormatting>
  <conditionalFormatting sqref="G48">
    <cfRule type="expression" dxfId="141" priority="8" stopIfTrue="1">
      <formula>$H$48="超过30%"</formula>
    </cfRule>
  </conditionalFormatting>
  <conditionalFormatting sqref="G49">
    <cfRule type="expression" dxfId="140" priority="7" stopIfTrue="1">
      <formula>$H$49="超过20%"</formula>
    </cfRule>
  </conditionalFormatting>
  <conditionalFormatting sqref="I48">
    <cfRule type="expression" dxfId="139" priority="6" stopIfTrue="1">
      <formula>$J$48="超过30%"</formula>
    </cfRule>
  </conditionalFormatting>
  <conditionalFormatting sqref="I49">
    <cfRule type="expression" dxfId="138" priority="5" stopIfTrue="1">
      <formula>$J$49="超过20%"</formula>
    </cfRule>
  </conditionalFormatting>
  <conditionalFormatting sqref="I50">
    <cfRule type="expression" dxfId="137" priority="4" stopIfTrue="1">
      <formula>$J$50="超过30%"</formula>
    </cfRule>
  </conditionalFormatting>
  <conditionalFormatting sqref="E49">
    <cfRule type="expression" dxfId="136" priority="50" stopIfTrue="1">
      <formula>#REF!+$F$49="超过20%"</formula>
    </cfRule>
  </conditionalFormatting>
  <conditionalFormatting sqref="F44">
    <cfRule type="expression" dxfId="135" priority="3">
      <formula>$D$44="简单平均"</formula>
    </cfRule>
  </conditionalFormatting>
  <conditionalFormatting sqref="H44">
    <cfRule type="expression" dxfId="134" priority="2">
      <formula>$D$44="简单平均"</formula>
    </cfRule>
  </conditionalFormatting>
  <conditionalFormatting sqref="J44">
    <cfRule type="expression" dxfId="133"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2410</v>
      </c>
      <c r="D1" s="1459">
        <f>SUM(D29:D30,D33:D39)</f>
        <v>0</v>
      </c>
      <c r="E1" s="1353" t="s">
        <v>2411</v>
      </c>
      <c r="F1" s="2306"/>
      <c r="G1" s="1348"/>
      <c r="H1" s="1348"/>
      <c r="I1" s="1348"/>
      <c r="J1" s="1348"/>
      <c r="K1" s="2069"/>
      <c r="L1" s="1795" t="s">
        <v>2226</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3" t="s">
        <v>911</v>
      </c>
      <c r="B2" s="1024"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31"/>
      <c r="L2" s="1798" t="s">
        <v>2227</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8" t="s">
        <v>1677</v>
      </c>
      <c r="B3" s="1024" t="e">
        <f>ROUND(B2*10000/D1,0)</f>
        <v>#DIV/0!</v>
      </c>
      <c r="C3" s="1354" t="s">
        <v>918</v>
      </c>
      <c r="D3" s="1355" t="s">
        <v>919</v>
      </c>
      <c r="E3" s="1359"/>
      <c r="F3" s="1360"/>
      <c r="G3" s="1025">
        <f>IF(F3="宗地容积率",'数据-汇总表'!I4,IF(F3="估价对象容积率",'数据-汇总表'!I6,'数据-汇总表'!I7))</f>
        <v>2.81</v>
      </c>
      <c r="H3" s="1361" t="s">
        <v>920</v>
      </c>
      <c r="I3" s="1026">
        <v>8</v>
      </c>
      <c r="J3" s="1357" t="s">
        <v>921</v>
      </c>
      <c r="K3" s="3231"/>
      <c r="L3" s="1798" t="s">
        <v>2228</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2267</v>
      </c>
      <c r="B4" s="2307" t="e">
        <f>ROUND(B2*10000/F1,0)</f>
        <v>#DIV/0!</v>
      </c>
      <c r="C4" s="1807" t="s">
        <v>2242</v>
      </c>
      <c r="D4" s="1807" t="e">
        <f>ROUND(B2/(F1/666.67),0)</f>
        <v>#DIV/0!</v>
      </c>
      <c r="E4" s="1807" t="s">
        <v>2243</v>
      </c>
      <c r="F4" s="1805"/>
      <c r="G4" s="1805"/>
      <c r="H4" s="1805"/>
      <c r="I4" s="1805"/>
      <c r="J4" s="1806"/>
      <c r="K4" s="3232"/>
      <c r="L4" s="1798" t="s">
        <v>2229</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8" customFormat="1" ht="15.75" thickBot="1">
      <c r="A5" s="1565" t="s">
        <v>1813</v>
      </c>
      <c r="B5" s="1362" t="s">
        <v>922</v>
      </c>
      <c r="C5" s="1027" t="e">
        <f>ROUND(IF(E2="商业",C6*C7+C16,(IF(E2="住宅",C6*C12+C16,C6+C16))),0)</f>
        <v>#DIV/0!</v>
      </c>
      <c r="D5" s="2792" t="e">
        <f>ROUND(C6+C16,0)</f>
        <v>#DIV/0!</v>
      </c>
      <c r="E5" s="2792"/>
      <c r="F5" s="1363"/>
      <c r="G5" s="1364"/>
      <c r="H5" s="1364"/>
      <c r="I5" s="1364"/>
      <c r="J5" s="1365"/>
      <c r="K5" s="3233"/>
      <c r="L5" s="1798" t="s">
        <v>2230</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1860</v>
      </c>
      <c r="B6" s="1369" t="s">
        <v>922</v>
      </c>
      <c r="C6" s="1028">
        <f>SUMIF(L1:L12,基准地价!G2,M1:M12)</f>
        <v>0</v>
      </c>
      <c r="D6" s="1370" t="s">
        <v>1685</v>
      </c>
      <c r="E6" s="1371"/>
      <c r="F6" s="1371"/>
      <c r="G6" s="1372"/>
      <c r="H6" s="1372"/>
      <c r="I6" s="1372"/>
      <c r="J6" s="1373"/>
      <c r="K6" s="3234"/>
      <c r="L6" s="1798" t="s">
        <v>2231</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66" t="str">
        <f>IF(E2="商业",IF(C8="不临58条商业街","",2),"")</f>
        <v/>
      </c>
      <c r="B7" s="1374" t="s">
        <v>923</v>
      </c>
      <c r="C7" s="1029" t="e">
        <f>IF(C8="不临58条商业街",1,ROUND(1+(1.6*E8+1.2*E9+0.8*E10+0.4*E11)*C9,4))</f>
        <v>#DIV/0!</v>
      </c>
      <c r="D7" s="1375" t="s">
        <v>924</v>
      </c>
      <c r="E7" s="1030"/>
      <c r="F7" s="1376"/>
      <c r="G7" s="1377"/>
      <c r="H7" s="1377"/>
      <c r="I7" s="1377"/>
      <c r="J7" s="1378"/>
      <c r="K7" s="3234"/>
      <c r="L7" s="1798" t="s">
        <v>2232</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2.81</v>
      </c>
      <c r="AA7" s="2072"/>
      <c r="AB7" s="2072"/>
      <c r="AC7" s="2073"/>
      <c r="AD7" s="2645"/>
      <c r="AE7" s="2645"/>
      <c r="AF7" s="2645"/>
      <c r="AG7" s="2645"/>
      <c r="AH7" s="2645"/>
      <c r="AI7" s="2645"/>
      <c r="AJ7" s="2646"/>
    </row>
    <row r="8" spans="1:39" ht="15">
      <c r="A8" s="3567"/>
      <c r="B8" s="1361" t="s">
        <v>925</v>
      </c>
      <c r="C8" s="1467"/>
      <c r="D8" s="1031" t="s">
        <v>926</v>
      </c>
      <c r="E8" s="1032" t="e">
        <f>ROUND(C11/E7,4)</f>
        <v>#DIV/0!</v>
      </c>
      <c r="F8" s="1379" t="s">
        <v>927</v>
      </c>
      <c r="G8" s="1380"/>
      <c r="H8" s="1380"/>
      <c r="I8" s="1380"/>
      <c r="J8" s="1381"/>
      <c r="K8" s="3234"/>
      <c r="L8" s="1798" t="s">
        <v>2233</v>
      </c>
      <c r="M8" s="1799">
        <f>SUMPRODUCT((区片价!B206:B244=I2)*(区片价!C3:F3=E2)*(区片价!C206:F244))</f>
        <v>0</v>
      </c>
      <c r="N8" s="1800">
        <f>SUMPRODUCT((因素修正幅度!B206:B244=I2)*(因素修正幅度!C3:F3=E2)*(因素修正幅度!C206:F244))</f>
        <v>0</v>
      </c>
      <c r="O8" s="3234"/>
      <c r="P8" s="2069"/>
      <c r="Q8" s="2069"/>
      <c r="R8" s="2653">
        <v>7</v>
      </c>
      <c r="S8" s="2642"/>
      <c r="T8" s="2653" t="e">
        <f t="shared" si="0"/>
        <v>#DIV/0!</v>
      </c>
      <c r="U8" s="2642"/>
      <c r="V8" s="2653" t="e">
        <f t="shared" si="1"/>
        <v>#DIV/0!</v>
      </c>
      <c r="W8" s="3577" t="s">
        <v>2762</v>
      </c>
      <c r="X8" s="3578"/>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67"/>
      <c r="B9" s="1361" t="s">
        <v>928</v>
      </c>
      <c r="C9" s="1033">
        <f>SUMIF(修正!C59:C119,C8,修正!E59:E119)</f>
        <v>0</v>
      </c>
      <c r="D9" s="1034" t="s">
        <v>929</v>
      </c>
      <c r="E9" s="1034" t="e">
        <f>ROUND(C11/E7,4)</f>
        <v>#DIV/0!</v>
      </c>
      <c r="F9" s="1379" t="s">
        <v>930</v>
      </c>
      <c r="G9" s="1380"/>
      <c r="H9" s="1380"/>
      <c r="I9" s="1380"/>
      <c r="J9" s="1381"/>
      <c r="K9" s="3234"/>
      <c r="L9" s="1798" t="s">
        <v>2234</v>
      </c>
      <c r="M9" s="1799">
        <f>SUMPRODUCT((区片价!B245:B289=I2)*(区片价!C3:F3=E2)*(区片价!C245:F289))</f>
        <v>0</v>
      </c>
      <c r="N9" s="1800">
        <f>SUMPRODUCT((因素修正幅度!B245:B289=I2)*(因素修正幅度!C3:F3=E2)*(因素修正幅度!C245:F289))</f>
        <v>0</v>
      </c>
      <c r="O9" s="3234"/>
      <c r="P9" s="2069"/>
      <c r="Q9" s="2069"/>
      <c r="R9" s="2653">
        <v>8</v>
      </c>
      <c r="S9" s="2642"/>
      <c r="T9" s="2653" t="e">
        <f t="shared" si="0"/>
        <v>#DIV/0!</v>
      </c>
      <c r="U9" s="2642"/>
      <c r="V9" s="2653" t="e">
        <f t="shared" si="1"/>
        <v>#DIV/0!</v>
      </c>
      <c r="W9" s="3576" t="s">
        <v>2758</v>
      </c>
      <c r="X9" s="2647" t="s">
        <v>2759</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67"/>
      <c r="B10" s="1361" t="s">
        <v>931</v>
      </c>
      <c r="C10" s="1034">
        <f>SUMIF(修正!C59:C119,C8,修正!F59:F119)</f>
        <v>0</v>
      </c>
      <c r="D10" s="1034" t="s">
        <v>932</v>
      </c>
      <c r="E10" s="1034" t="e">
        <f>ROUND(C11/E7,4)</f>
        <v>#DIV/0!</v>
      </c>
      <c r="F10" s="1379" t="s">
        <v>933</v>
      </c>
      <c r="G10" s="1380"/>
      <c r="H10" s="1380"/>
      <c r="I10" s="1380"/>
      <c r="J10" s="1381"/>
      <c r="K10" s="3234"/>
      <c r="L10" s="1798" t="s">
        <v>2235</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t="e">
        <f t="shared" si="0"/>
        <v>#DIV/0!</v>
      </c>
      <c r="U10" s="2642"/>
      <c r="V10" s="2653" t="e">
        <f t="shared" si="1"/>
        <v>#DIV/0!</v>
      </c>
      <c r="W10" s="3576"/>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67"/>
      <c r="B11" s="1382" t="s">
        <v>934</v>
      </c>
      <c r="C11" s="1035">
        <f>C10/4</f>
        <v>0</v>
      </c>
      <c r="D11" s="1035" t="s">
        <v>935</v>
      </c>
      <c r="E11" s="1035" t="e">
        <f>ROUND(C11/E7,4)</f>
        <v>#DIV/0!</v>
      </c>
      <c r="F11" s="1383" t="s">
        <v>936</v>
      </c>
      <c r="G11" s="1384"/>
      <c r="H11" s="1384"/>
      <c r="I11" s="1384"/>
      <c r="J11" s="1385"/>
      <c r="K11" s="3234"/>
      <c r="L11" s="1798" t="s">
        <v>2236</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t="e">
        <f t="shared" si="0"/>
        <v>#DIV/0!</v>
      </c>
      <c r="U11" s="2642"/>
      <c r="V11" s="2653" t="e">
        <f t="shared" si="1"/>
        <v>#DIV/0!</v>
      </c>
      <c r="W11" s="3576" t="s">
        <v>2760</v>
      </c>
      <c r="X11" s="1034" t="s">
        <v>2745</v>
      </c>
      <c r="Y11" s="1580">
        <f>$G$3</f>
        <v>2.81</v>
      </c>
      <c r="Z11" s="1580">
        <f t="shared" ref="Z11:AJ11" si="3">$G$3</f>
        <v>2.81</v>
      </c>
      <c r="AA11" s="1580">
        <f t="shared" si="3"/>
        <v>2.81</v>
      </c>
      <c r="AB11" s="1580">
        <f t="shared" si="3"/>
        <v>2.81</v>
      </c>
      <c r="AC11" s="1580">
        <f t="shared" si="3"/>
        <v>2.81</v>
      </c>
      <c r="AD11" s="1580">
        <f t="shared" si="3"/>
        <v>2.81</v>
      </c>
      <c r="AE11" s="1580">
        <f t="shared" si="3"/>
        <v>2.81</v>
      </c>
      <c r="AF11" s="1580">
        <f t="shared" si="3"/>
        <v>2.81</v>
      </c>
      <c r="AG11" s="1580">
        <f t="shared" si="3"/>
        <v>2.81</v>
      </c>
      <c r="AH11" s="1580">
        <f t="shared" si="3"/>
        <v>2.81</v>
      </c>
      <c r="AI11" s="1580">
        <f t="shared" si="3"/>
        <v>2.81</v>
      </c>
      <c r="AJ11" s="1580">
        <f t="shared" si="3"/>
        <v>2.81</v>
      </c>
    </row>
    <row r="12" spans="1:39" ht="25.5" thickBot="1">
      <c r="A12" s="3566" t="s">
        <v>1861</v>
      </c>
      <c r="B12" s="1386" t="s">
        <v>937</v>
      </c>
      <c r="C12" s="1029">
        <f>ROUND(C15*D15*E15*F15*G15*H15*I15*J15,4)</f>
        <v>1</v>
      </c>
      <c r="D12" s="1387" t="s">
        <v>938</v>
      </c>
      <c r="E12" s="1388"/>
      <c r="F12" s="1388"/>
      <c r="G12" s="1389"/>
      <c r="H12" s="1389"/>
      <c r="I12" s="1389"/>
      <c r="J12" s="1390"/>
      <c r="K12" s="3234"/>
      <c r="L12" s="1801" t="s">
        <v>2237</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t="e">
        <f t="shared" si="0"/>
        <v>#DIV/0!</v>
      </c>
      <c r="U12" s="2642"/>
      <c r="V12" s="2653" t="e">
        <f t="shared" si="1"/>
        <v>#DIV/0!</v>
      </c>
      <c r="W12" s="3576"/>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68"/>
      <c r="B13" s="1391" t="s">
        <v>1686</v>
      </c>
      <c r="C13" s="1392" t="s">
        <v>1687</v>
      </c>
      <c r="D13" s="1071" t="s">
        <v>1688</v>
      </c>
      <c r="E13" s="1071" t="s">
        <v>1689</v>
      </c>
      <c r="F13" s="1393" t="s">
        <v>939</v>
      </c>
      <c r="G13" s="1394" t="s">
        <v>1633</v>
      </c>
      <c r="H13" s="1395" t="s">
        <v>1633</v>
      </c>
      <c r="I13" s="1396" t="s">
        <v>1633</v>
      </c>
      <c r="J13" s="1397" t="s">
        <v>1633</v>
      </c>
      <c r="K13" s="2842"/>
      <c r="L13" s="2842"/>
      <c r="M13" s="2842"/>
      <c r="N13" s="2842"/>
      <c r="O13" s="2842"/>
      <c r="P13" s="2069"/>
      <c r="Q13" s="2069"/>
      <c r="R13" s="2653">
        <v>12</v>
      </c>
      <c r="S13" s="2642"/>
      <c r="T13" s="2653" t="e">
        <f t="shared" si="0"/>
        <v>#DIV/0!</v>
      </c>
      <c r="U13" s="2642"/>
      <c r="V13" s="2653" t="e">
        <f t="shared" si="1"/>
        <v>#DIV/0!</v>
      </c>
      <c r="W13" s="3576"/>
      <c r="X13" s="2650"/>
      <c r="Y13" s="2649">
        <f>(-0.163*(Y12^2)-0.59*Y12+7617)*(10^(-4))/Y11</f>
        <v>0.27106761565836301</v>
      </c>
      <c r="Z13" s="2649">
        <f t="shared" ref="Z13:AJ13" si="5">(-0.163*(Z12^2)-0.59*Z12+7617)*(10^(-4))/Z11</f>
        <v>0.27106761565836301</v>
      </c>
      <c r="AA13" s="2649">
        <f t="shared" si="5"/>
        <v>0.27106761565836301</v>
      </c>
      <c r="AB13" s="2649">
        <f t="shared" si="5"/>
        <v>0.27106761565836301</v>
      </c>
      <c r="AC13" s="2649">
        <f t="shared" si="5"/>
        <v>0.27106761565836301</v>
      </c>
      <c r="AD13" s="2649">
        <f t="shared" si="5"/>
        <v>0.27106761565836301</v>
      </c>
      <c r="AE13" s="2649">
        <f t="shared" si="5"/>
        <v>0.27106761565836301</v>
      </c>
      <c r="AF13" s="2649">
        <f t="shared" si="5"/>
        <v>0.27106761565836301</v>
      </c>
      <c r="AG13" s="2649">
        <f t="shared" si="5"/>
        <v>0.27106761565836301</v>
      </c>
      <c r="AH13" s="2649">
        <f t="shared" si="5"/>
        <v>0.27106761565836301</v>
      </c>
      <c r="AI13" s="2649">
        <f t="shared" si="5"/>
        <v>0.27106761565836301</v>
      </c>
      <c r="AJ13" s="2649">
        <f t="shared" si="5"/>
        <v>0.27106761565836301</v>
      </c>
    </row>
    <row r="14" spans="1:39" ht="12.75" customHeight="1">
      <c r="A14" s="3568"/>
      <c r="B14" s="1398"/>
      <c r="C14" s="1399"/>
      <c r="D14" s="1400"/>
      <c r="E14" s="1400"/>
      <c r="F14" s="1401"/>
      <c r="G14" s="1402" t="s">
        <v>940</v>
      </c>
      <c r="H14" s="1403"/>
      <c r="I14" s="1404"/>
      <c r="J14" s="1405"/>
      <c r="K14" s="3235"/>
      <c r="L14" s="3235"/>
      <c r="M14" s="3235"/>
      <c r="N14" s="3235"/>
      <c r="O14" s="3235"/>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69"/>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66" t="s">
        <v>1828</v>
      </c>
      <c r="B16" s="1374" t="s">
        <v>941</v>
      </c>
      <c r="C16" s="1038" t="e">
        <f>ROUND(IF(F17="与级别开发程度一致",0,(G17-E17)/C17),0)</f>
        <v>#DIV/0!</v>
      </c>
      <c r="D16" s="3584" t="s">
        <v>945</v>
      </c>
      <c r="E16" s="3585"/>
      <c r="F16" s="3584" t="s">
        <v>942</v>
      </c>
      <c r="G16" s="3585"/>
      <c r="H16" s="1406"/>
      <c r="I16" s="1406"/>
      <c r="J16" s="1406"/>
      <c r="K16" s="1406"/>
      <c r="L16" s="1406"/>
      <c r="M16" s="1406"/>
      <c r="N16" s="1406"/>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70"/>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1819</v>
      </c>
      <c r="B18" s="2848" t="s">
        <v>946</v>
      </c>
      <c r="C18" s="2849">
        <f>SUMIF(修正!C18:C39,E3,修正!E18:E39)</f>
        <v>0</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1825</v>
      </c>
      <c r="B19" s="1409" t="s">
        <v>947</v>
      </c>
      <c r="C19" s="1039">
        <f>ROUND(IF(H19="按公示增长率计算",SUMPRODUCT((地价!A3:A31=YEAR(G19)&amp;"-"&amp;ROUNDUP(MONTH(G19)/3,0))*(地价!X2:AB2=E2)*(地价!X3:AB31)),IF(H19="地价指数",M20/M19,(1+I19)^O19)),4)</f>
        <v>0</v>
      </c>
      <c r="D19" s="1413" t="s">
        <v>948</v>
      </c>
      <c r="E19" s="1040">
        <v>41640</v>
      </c>
      <c r="F19" s="1413" t="s">
        <v>949</v>
      </c>
      <c r="G19" s="1041">
        <f>'数据-取费表'!B2</f>
        <v>44077</v>
      </c>
      <c r="H19" s="1414" t="s">
        <v>2955</v>
      </c>
      <c r="I19" s="2502" t="str">
        <f>IF(H19="季度增幅（自定义）",SUMIF(N21:N24,E2,O21:O24),"")</f>
        <v/>
      </c>
      <c r="J19" s="1410"/>
      <c r="K19" s="3233"/>
      <c r="L19" s="2752" t="s">
        <v>2820</v>
      </c>
      <c r="M19" s="2753">
        <f>ROUND(SUMIF(地价!B2:F2,E2,地价!B31:F31),0)</f>
        <v>0</v>
      </c>
      <c r="N19" s="2504" t="s">
        <v>1667</v>
      </c>
      <c r="O19" s="2503">
        <f>ROUNDDOWN(DATEDIF(E19,G19,"M")/3,0)</f>
        <v>26</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1826</v>
      </c>
      <c r="B20" s="2497" t="s">
        <v>962</v>
      </c>
      <c r="C20" s="2498" t="e">
        <f>ROUND(POWER(1+G20,J20-I20)*(POWER(1+G20,I20)-1)/(POWER(1+G20,J20)-1),4)</f>
        <v>#DIV/0!</v>
      </c>
      <c r="D20" s="2499" t="s">
        <v>963</v>
      </c>
      <c r="E20" s="2782">
        <f ca="1">存贷款利率!I4/100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3"/>
      <c r="L20" s="2754" t="s">
        <v>2821</v>
      </c>
      <c r="M20" s="2836">
        <f>ROUND(SUMPRODUCT((地价!A4:A31=YEAR(G19)&amp;"-"&amp;ROUNDUP(MONTH(G19)/3,0))*(地价!B2:F2=E2)*(地价!B4:F31)),0)</f>
        <v>0</v>
      </c>
      <c r="N20" s="2507" t="s">
        <v>2625</v>
      </c>
      <c r="O20" s="2505" t="s">
        <v>2624</v>
      </c>
      <c r="P20" s="2506" t="s">
        <v>2630</v>
      </c>
      <c r="Q20" s="2641"/>
      <c r="R20" s="2075"/>
      <c r="S20" s="2075"/>
      <c r="T20" s="2075"/>
      <c r="U20" s="2075"/>
      <c r="V20" s="2075"/>
      <c r="W20" s="2075"/>
      <c r="X20" s="2075"/>
      <c r="Y20" s="1411"/>
      <c r="Z20" s="1411"/>
      <c r="AA20" s="1411"/>
      <c r="AB20" s="1411"/>
      <c r="AC20" s="1411"/>
      <c r="AD20" s="1411"/>
    </row>
    <row r="21" spans="1:40" s="1368" customFormat="1" ht="14.25">
      <c r="A21" s="1569" t="s">
        <v>1827</v>
      </c>
      <c r="B21" s="1419" t="s">
        <v>2992</v>
      </c>
      <c r="C21" s="1140">
        <f>IF(B21="容积率修正",IF(G3&lt;=10,D22,J22),C23)</f>
        <v>0</v>
      </c>
      <c r="D21" s="1420"/>
      <c r="E21" s="1420"/>
      <c r="F21" s="1420"/>
      <c r="G21" s="1420"/>
      <c r="H21" s="1420"/>
      <c r="I21" s="1420"/>
      <c r="J21" s="1421"/>
      <c r="K21" s="3233"/>
      <c r="L21" s="1420"/>
      <c r="M21" s="1420"/>
      <c r="N21" s="1417" t="s">
        <v>966</v>
      </c>
      <c r="O21" s="1480"/>
      <c r="P21" s="2494">
        <f>SUMPRODUCT((地价!A3:A31=YEAR(G19)&amp;"-"&amp;ROUNDUP(MONTH(G19)/3,0))*(地价!AD2:AH2=N21)*(地价!AD3:AH31))</f>
        <v>1.2E-2</v>
      </c>
      <c r="Q21" s="2641"/>
      <c r="R21" s="2075"/>
      <c r="S21" s="2075"/>
      <c r="T21" s="2075"/>
      <c r="U21" s="2075"/>
      <c r="V21" s="2075"/>
      <c r="W21" s="2075"/>
      <c r="X21" s="2075"/>
      <c r="Y21" s="1350"/>
      <c r="Z21" s="1350"/>
      <c r="AA21" s="1350"/>
      <c r="AB21" s="1350"/>
      <c r="AC21" s="1411"/>
      <c r="AD21" s="1411"/>
    </row>
    <row r="22" spans="1:40" s="1368" customFormat="1" ht="14.25">
      <c r="A22" s="1570" t="s">
        <v>1860</v>
      </c>
      <c r="B22" s="1422" t="s">
        <v>967</v>
      </c>
      <c r="C22" s="1042" t="s">
        <v>1692</v>
      </c>
      <c r="D22" s="1042">
        <f>IF(E22=G22,F22,IF(G3&lt;=10,ROUND(F22+(H22-F22)*(G3-E22)/(G22-E22),4),"——"))</f>
        <v>0</v>
      </c>
      <c r="E22" s="1025">
        <f>ROUNDDOWN(G3,1)</f>
        <v>2.8</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2.9</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0"/>
      <c r="M22" s="1420"/>
      <c r="N22" s="1417" t="s">
        <v>969</v>
      </c>
      <c r="O22" s="1480"/>
      <c r="P22" s="2494">
        <f>SUMPRODUCT((地价!A3:A31=YEAR(G19)&amp;"-"&amp;ROUNDUP(MONTH(G19)/3,0))*(地价!AD2:AH2=N22)*(地价!AD3:AH31))</f>
        <v>1.2E-2</v>
      </c>
      <c r="Q22" s="2641"/>
      <c r="R22" s="2075"/>
      <c r="S22" s="2075"/>
      <c r="T22" s="2075"/>
      <c r="U22" s="2075"/>
      <c r="V22" s="2075"/>
      <c r="W22" s="2075"/>
      <c r="X22" s="2075"/>
      <c r="Y22" s="1411"/>
      <c r="Z22" s="1411"/>
      <c r="AA22" s="1411"/>
      <c r="AB22" s="1411"/>
      <c r="AC22" s="1411"/>
      <c r="AD22" s="1411"/>
    </row>
    <row r="23" spans="1:40" ht="15.75" thickBot="1">
      <c r="A23" s="1570" t="s">
        <v>1861</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240"/>
      <c r="L23" s="1348"/>
      <c r="M23" s="1348"/>
      <c r="N23" s="1417" t="s">
        <v>914</v>
      </c>
      <c r="O23" s="1480"/>
      <c r="P23" s="2494">
        <f>SUMPRODUCT((地价!A3:A31=YEAR(G19)&amp;"-"&amp;ROUNDUP(MONTH(G19)/3,0))*(地价!AD2:AH2=N23)*(地价!AD3:AH31))</f>
        <v>1.9699999999999999E-2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971</v>
      </c>
      <c r="C24" s="1044">
        <f>SUMIF(A44:A87,E2,B44:B87)</f>
        <v>0</v>
      </c>
      <c r="D24" s="1473"/>
      <c r="E24" s="1474"/>
      <c r="F24" s="1474"/>
      <c r="G24" s="1474"/>
      <c r="H24" s="1474"/>
      <c r="I24" s="1474"/>
      <c r="J24" s="1474"/>
      <c r="K24" s="3240"/>
      <c r="L24" s="1420"/>
      <c r="M24" s="1420"/>
      <c r="N24" s="1417" t="s">
        <v>972</v>
      </c>
      <c r="O24" s="2835"/>
      <c r="P24" s="2494">
        <f>SUMPRODUCT((地价!A3:A31=YEAR(G19)&amp;"-"&amp;ROUNDUP(MONTH(G19)/3,0))*(地价!AD2:AH2=N24)*(地价!AD3:AH31))</f>
        <v>1.2699999999999999E-2</v>
      </c>
      <c r="Q24" s="2641"/>
      <c r="R24" s="2075"/>
      <c r="S24" s="2075"/>
      <c r="T24" s="2075"/>
      <c r="U24" s="2075"/>
      <c r="V24" s="2075"/>
      <c r="W24" s="2075"/>
      <c r="X24" s="2075"/>
      <c r="Y24" s="1411"/>
      <c r="Z24" s="1411"/>
      <c r="AA24" s="1411"/>
      <c r="AB24" s="1411"/>
      <c r="AC24" s="1411"/>
      <c r="AD24" s="1411"/>
    </row>
    <row r="25" spans="1:40" ht="15" thickBot="1">
      <c r="A25" s="1568" t="s">
        <v>1863</v>
      </c>
      <c r="B25" s="1424" t="s">
        <v>973</v>
      </c>
      <c r="C25" s="1425"/>
      <c r="D25" s="1377"/>
      <c r="E25" s="1377"/>
      <c r="F25" s="1426"/>
      <c r="G25" s="1377"/>
      <c r="H25" s="1377"/>
      <c r="I25" s="1377"/>
      <c r="J25" s="1378"/>
      <c r="K25" s="3234"/>
      <c r="L25" s="2075"/>
      <c r="M25" s="2075"/>
      <c r="N25" s="2837" t="s">
        <v>2628</v>
      </c>
      <c r="O25" s="2838"/>
      <c r="P25" s="2301">
        <f>SUMPRODUCT((地价!A3:A31=YEAR(G19)&amp;"-"&amp;ROUNDUP(MONTH(G19)/3,0))*(地价!AD2:AH2=N25)*(地价!AD3:AH31))</f>
        <v>1.7899999999999999E-2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t="e">
        <f>IF(B21="容积率修正",E29+SUM(E33:E39),SUM(V2:V16)+SUM(E33:E39))</f>
        <v>#DIV/0!</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t="e">
        <f>E30+SUM(I33:I39)</f>
        <v>#DIV/0!</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t="e">
        <f>ROUND(C5*C18*C19*C20*C21*C24,0)</f>
        <v>#DIV/0!</v>
      </c>
      <c r="D29" s="1442"/>
      <c r="E29" s="1762" t="e">
        <f>ROUND(C29*D29/10000,0)</f>
        <v>#DIV/0!</v>
      </c>
      <c r="F29" s="1443" t="s">
        <v>1691</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t="e">
        <f>ROUND(IF(E2="工业",C29*M39,C29*M38),0)</f>
        <v>#DIV/0!</v>
      </c>
      <c r="D30" s="1448"/>
      <c r="E30" s="1762" t="e">
        <f>ROUND(C30*D30/10000,0)</f>
        <v>#DIV/0!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73"/>
      <c r="B33" s="1462" t="s">
        <v>990</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73" t="s">
        <v>2996</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74"/>
      <c r="B34" s="1392" t="s">
        <v>991</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74"/>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74"/>
      <c r="B35" s="1392" t="s">
        <v>992</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74"/>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75"/>
      <c r="B36" s="1392" t="s">
        <v>993</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75"/>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1693</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1695</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1694</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2949</v>
      </c>
      <c r="C41" s="828" t="e">
        <f>ROUND(POWER(1+E41,H41-G41)*(POWER(1+E41,G41)-1)/(POWER(1+E41,H41)-1),4)</f>
        <v>#DIV/0!</v>
      </c>
      <c r="D41" s="372" t="s">
        <v>2947</v>
      </c>
      <c r="E41" s="2831">
        <f>G20</f>
        <v>0</v>
      </c>
      <c r="F41" s="372" t="s">
        <v>2948</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2238</v>
      </c>
      <c r="G46" s="2285" t="s">
        <v>1005</v>
      </c>
      <c r="H46" s="2268" t="s">
        <v>2402</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2905</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2904</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2239</v>
      </c>
      <c r="G57" s="2285" t="s">
        <v>1005</v>
      </c>
      <c r="H57" s="2268" t="s">
        <v>2402</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2906</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2904</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2240</v>
      </c>
      <c r="G68" s="2285" t="s">
        <v>1005</v>
      </c>
      <c r="H68" s="2268" t="s">
        <v>2402</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2904</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2241</v>
      </c>
      <c r="G79" s="2285" t="s">
        <v>1005</v>
      </c>
      <c r="H79" s="2268" t="s">
        <v>2402</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1016</v>
      </c>
      <c r="B86" s="2783" t="s">
        <v>2904</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71" t="s">
        <v>1624</v>
      </c>
      <c r="B90" s="3571"/>
      <c r="C90" s="3571"/>
      <c r="D90" s="3571"/>
      <c r="E90" s="3571"/>
      <c r="F90" s="3571"/>
      <c r="G90" s="3571"/>
      <c r="H90" s="3571"/>
      <c r="I90" s="3571"/>
      <c r="J90" s="3571"/>
      <c r="K90" s="2304"/>
      <c r="L90" s="2304"/>
      <c r="M90" s="2304"/>
      <c r="N90" s="2304"/>
    </row>
    <row r="91" spans="1:40">
      <c r="A91" s="3572" t="s">
        <v>1434</v>
      </c>
      <c r="B91" s="3572" t="s">
        <v>1625</v>
      </c>
      <c r="C91" s="1122" t="s">
        <v>1626</v>
      </c>
      <c r="D91" s="1123"/>
      <c r="E91" s="1123"/>
      <c r="F91" s="1123"/>
      <c r="G91" s="1123"/>
      <c r="H91" s="1123"/>
      <c r="I91" s="1123"/>
      <c r="J91" s="1124"/>
      <c r="K91" s="1116"/>
      <c r="L91" s="1116"/>
      <c r="M91" s="1116"/>
      <c r="N91" s="1116"/>
    </row>
    <row r="92" spans="1:40">
      <c r="A92" s="3572"/>
      <c r="B92" s="3572"/>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79"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0"/>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0"/>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0"/>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0"/>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0"/>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0"/>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81"/>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79" t="s">
        <v>1628</v>
      </c>
      <c r="B101" s="1129" t="s">
        <v>897</v>
      </c>
      <c r="C101" s="1130">
        <f>$G$3</f>
        <v>2.81</v>
      </c>
      <c r="D101" s="1130">
        <f t="shared" ref="D101:N101" si="31">$G$3</f>
        <v>2.81</v>
      </c>
      <c r="E101" s="1130">
        <f t="shared" si="31"/>
        <v>2.81</v>
      </c>
      <c r="F101" s="1130">
        <f t="shared" si="31"/>
        <v>2.81</v>
      </c>
      <c r="G101" s="1130">
        <f t="shared" si="31"/>
        <v>2.81</v>
      </c>
      <c r="H101" s="1130">
        <f t="shared" si="31"/>
        <v>2.81</v>
      </c>
      <c r="I101" s="1130">
        <f t="shared" si="31"/>
        <v>2.81</v>
      </c>
      <c r="J101" s="1130">
        <f t="shared" si="31"/>
        <v>2.81</v>
      </c>
      <c r="K101" s="1130">
        <f t="shared" si="31"/>
        <v>2.81</v>
      </c>
      <c r="L101" s="1130">
        <f t="shared" si="31"/>
        <v>2.81</v>
      </c>
      <c r="M101" s="1130">
        <f t="shared" si="31"/>
        <v>2.81</v>
      </c>
      <c r="N101" s="1130">
        <f t="shared" si="31"/>
        <v>2.81</v>
      </c>
    </row>
    <row r="102" spans="1:14">
      <c r="A102" s="3580"/>
      <c r="B102" s="1125">
        <v>1</v>
      </c>
      <c r="C102" s="1126">
        <f>1.9362/C101</f>
        <v>0.68903914590747328</v>
      </c>
      <c r="D102" s="1126">
        <f>1.9362/D101</f>
        <v>0.68903914590747328</v>
      </c>
      <c r="E102" s="1126">
        <f>1.8629/E101</f>
        <v>0.66295373665480428</v>
      </c>
      <c r="F102" s="1126">
        <f>1.8629/F101</f>
        <v>0.66295373665480428</v>
      </c>
      <c r="G102" s="1126">
        <f>1.8629/G101</f>
        <v>0.66295373665480428</v>
      </c>
      <c r="H102" s="1126">
        <f>1.8629/H101</f>
        <v>0.66295373665480428</v>
      </c>
      <c r="I102" s="1126">
        <f>1.8629/I101</f>
        <v>0.66295373665480428</v>
      </c>
      <c r="J102" s="1126">
        <f>1.942/J101</f>
        <v>0.69110320284697502</v>
      </c>
      <c r="K102" s="1126">
        <f>1.942/K101</f>
        <v>0.69110320284697502</v>
      </c>
      <c r="L102" s="1126">
        <f>1.942/L101</f>
        <v>0.69110320284697502</v>
      </c>
      <c r="M102" s="1126">
        <f>1.942/M101</f>
        <v>0.69110320284697502</v>
      </c>
      <c r="N102" s="1126">
        <f>1.942/N101</f>
        <v>0.69110320284697502</v>
      </c>
    </row>
    <row r="103" spans="1:14">
      <c r="A103" s="3580"/>
      <c r="B103" s="1125">
        <v>2</v>
      </c>
      <c r="C103" s="1126">
        <f>1.4198/C101</f>
        <v>0.50526690391459073</v>
      </c>
      <c r="D103" s="1126">
        <f>1.4198/D101</f>
        <v>0.50526690391459073</v>
      </c>
      <c r="E103" s="1126">
        <f>1.3372/E101</f>
        <v>0.4758718861209964</v>
      </c>
      <c r="F103" s="1126">
        <f>1.3372/F101</f>
        <v>0.4758718861209964</v>
      </c>
      <c r="G103" s="1126">
        <f>1.3372/G101</f>
        <v>0.4758718861209964</v>
      </c>
      <c r="H103" s="1126">
        <f>1.3372/H101</f>
        <v>0.4758718861209964</v>
      </c>
      <c r="I103" s="1126">
        <f>1.3372/I101</f>
        <v>0.4758718861209964</v>
      </c>
      <c r="J103" s="1126">
        <f>1.2799/J101</f>
        <v>0.45548042704626335</v>
      </c>
      <c r="K103" s="1126">
        <f>1.2799/K101</f>
        <v>0.45548042704626335</v>
      </c>
      <c r="L103" s="1126">
        <f>1.2799/L101</f>
        <v>0.45548042704626335</v>
      </c>
      <c r="M103" s="1126">
        <f>1.2799/M101</f>
        <v>0.45548042704626335</v>
      </c>
      <c r="N103" s="1126">
        <f>1.2799/N101</f>
        <v>0.45548042704626335</v>
      </c>
    </row>
    <row r="104" spans="1:14">
      <c r="A104" s="3580"/>
      <c r="B104" s="1125">
        <v>3</v>
      </c>
      <c r="C104" s="1126">
        <f>1.1594/C101</f>
        <v>0.41259786476868326</v>
      </c>
      <c r="D104" s="1126">
        <f>1.1594/D101</f>
        <v>0.41259786476868326</v>
      </c>
      <c r="E104" s="1126">
        <f>1.0788/E101</f>
        <v>0.38391459074733092</v>
      </c>
      <c r="F104" s="1126">
        <f>1.0788/F101</f>
        <v>0.38391459074733092</v>
      </c>
      <c r="G104" s="1126">
        <f>1.0788/G101</f>
        <v>0.38391459074733092</v>
      </c>
      <c r="H104" s="1126">
        <f>1.0788/H101</f>
        <v>0.38391459074733092</v>
      </c>
      <c r="I104" s="1126">
        <f>1.0788/I101</f>
        <v>0.38391459074733092</v>
      </c>
      <c r="J104" s="1126">
        <f>1.0072/J101</f>
        <v>0.35843416370106762</v>
      </c>
      <c r="K104" s="1126">
        <f>1.0072/K101</f>
        <v>0.35843416370106762</v>
      </c>
      <c r="L104" s="1126">
        <f>1.0072/L101</f>
        <v>0.35843416370106762</v>
      </c>
      <c r="M104" s="1126">
        <f>1.0072/M101</f>
        <v>0.35843416370106762</v>
      </c>
      <c r="N104" s="1126">
        <f>1.0072/N101</f>
        <v>0.35843416370106762</v>
      </c>
    </row>
    <row r="105" spans="1:14">
      <c r="A105" s="3580"/>
      <c r="B105" s="1125">
        <v>4</v>
      </c>
      <c r="C105" s="1126">
        <f>0.9622/C101</f>
        <v>0.34241992882562278</v>
      </c>
      <c r="D105" s="1126">
        <f>0.9622/D101</f>
        <v>0.34241992882562278</v>
      </c>
      <c r="E105" s="1126">
        <f>0.8656/E101</f>
        <v>0.30804270462633454</v>
      </c>
      <c r="F105" s="1126">
        <f>0.8656/F101</f>
        <v>0.30804270462633454</v>
      </c>
      <c r="G105" s="1126">
        <f>0.8656/G101</f>
        <v>0.30804270462633454</v>
      </c>
      <c r="H105" s="1126">
        <f>0.8656/H101</f>
        <v>0.30804270462633454</v>
      </c>
      <c r="I105" s="1126">
        <f>0.8656/I101</f>
        <v>0.30804270462633454</v>
      </c>
      <c r="J105" s="1126">
        <f>0.7525/J101</f>
        <v>0.26779359430604982</v>
      </c>
      <c r="K105" s="1126">
        <f>0.7525/K101</f>
        <v>0.26779359430604982</v>
      </c>
      <c r="L105" s="1126">
        <f>0.7525/L101</f>
        <v>0.26779359430604982</v>
      </c>
      <c r="M105" s="1126">
        <f>0.7525/M101</f>
        <v>0.26779359430604982</v>
      </c>
      <c r="N105" s="1126">
        <f>0.7525/N101</f>
        <v>0.26779359430604982</v>
      </c>
    </row>
    <row r="106" spans="1:14">
      <c r="A106" s="3580"/>
      <c r="B106" s="1125">
        <v>5</v>
      </c>
      <c r="C106" s="1126">
        <f>0.8417/C101</f>
        <v>0.29953736654804269</v>
      </c>
      <c r="D106" s="1126">
        <f>0.8417/D101</f>
        <v>0.29953736654804269</v>
      </c>
      <c r="E106" s="1126">
        <f>0.7371/E101</f>
        <v>0.26231316725978648</v>
      </c>
      <c r="F106" s="1126">
        <f>0.7371/F101</f>
        <v>0.26231316725978648</v>
      </c>
      <c r="G106" s="1126">
        <f>0.7371/G101</f>
        <v>0.26231316725978648</v>
      </c>
      <c r="H106" s="1126">
        <f>0.7371/H101</f>
        <v>0.26231316725978648</v>
      </c>
      <c r="I106" s="1126">
        <f>0.7371/I101</f>
        <v>0.26231316725978648</v>
      </c>
      <c r="J106" s="1126">
        <f>0.5659/J101</f>
        <v>0.20138790035587187</v>
      </c>
      <c r="K106" s="1126">
        <f>0.5659/K101</f>
        <v>0.20138790035587187</v>
      </c>
      <c r="L106" s="1126">
        <f>0.5659/L101</f>
        <v>0.20138790035587187</v>
      </c>
      <c r="M106" s="1126">
        <f>0.5659/M101</f>
        <v>0.20138790035587187</v>
      </c>
      <c r="N106" s="1126">
        <f>0.5659/N101</f>
        <v>0.20138790035587187</v>
      </c>
    </row>
    <row r="107" spans="1:14">
      <c r="A107" s="3580"/>
      <c r="B107" s="1125">
        <v>6</v>
      </c>
      <c r="C107" s="1126">
        <f>0.7608/C101</f>
        <v>0.27074733096085407</v>
      </c>
      <c r="D107" s="1126">
        <f>0.7608/D101</f>
        <v>0.27074733096085407</v>
      </c>
      <c r="E107" s="1126">
        <f>0.6482/E101</f>
        <v>0.23067615658362989</v>
      </c>
      <c r="F107" s="1126">
        <f>0.6482/F101</f>
        <v>0.23067615658362989</v>
      </c>
      <c r="G107" s="1126">
        <f>0.6482/G101</f>
        <v>0.23067615658362989</v>
      </c>
      <c r="H107" s="1126">
        <f>0.6482/H101</f>
        <v>0.23067615658362989</v>
      </c>
      <c r="I107" s="1126">
        <f>0.6482/I101</f>
        <v>0.23067615658362989</v>
      </c>
      <c r="J107" s="1126">
        <f>0.4525/J101</f>
        <v>0.1610320284697509</v>
      </c>
      <c r="K107" s="1126">
        <f>0.4525/K101</f>
        <v>0.1610320284697509</v>
      </c>
      <c r="L107" s="1126">
        <f>0.4525/L101</f>
        <v>0.1610320284697509</v>
      </c>
      <c r="M107" s="1126">
        <f>0.4525/M101</f>
        <v>0.1610320284697509</v>
      </c>
      <c r="N107" s="1126">
        <f>0.4525/N101</f>
        <v>0.1610320284697509</v>
      </c>
    </row>
    <row r="108" spans="1:14">
      <c r="A108" s="3580"/>
      <c r="B108" s="3582"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81"/>
      <c r="B109" s="3583"/>
      <c r="C109" s="1128">
        <f>(-0.163*(C108^2)-0.59*C108+7617)*(10^(-4))/C101</f>
        <v>0.27052839857651245</v>
      </c>
      <c r="D109" s="1128">
        <f>(-0.163*(D108^2)-0.59*D108+7617)*(10^(-4))/D101</f>
        <v>0.27052839857651245</v>
      </c>
      <c r="E109" s="1128">
        <f>(-0.161*(E108^2)-7.509*E108+6533)*(10^(-4))/E101</f>
        <v>0.22998661921708186</v>
      </c>
      <c r="F109" s="1128">
        <f>(-0.161*(F108^2)-7.509*F108+6533)*(10^(-4))/F101</f>
        <v>0.22998661921708186</v>
      </c>
      <c r="G109" s="1128">
        <f>(-0.161*(G108^2)-7.509*G108+6533)*(10^(-4))/G101</f>
        <v>0.22998661921708186</v>
      </c>
      <c r="H109" s="1128">
        <f>(-0.161*(H108^2)-7.509*H108+6533)*(10^(-4))/H101</f>
        <v>0.22998661921708186</v>
      </c>
      <c r="I109" s="1128">
        <f>(-0.161*(I108^2)-7.509*I108+6533)*(10^(-4))/I101</f>
        <v>0.22998661921708186</v>
      </c>
      <c r="J109" s="1128">
        <f>(-0.214*(J108^2)-21.991*J108+4665)*(10^(-4))/J101</f>
        <v>0.15926604982206408</v>
      </c>
      <c r="K109" s="1128">
        <f>(-0.214*(K108^2)-21.991*K108+4665)*(10^(-4))/K101</f>
        <v>0.15926604982206408</v>
      </c>
      <c r="L109" s="1128">
        <f>(-0.214*(L108^2)-21.991*L108+4665)*(10^(-4))/L101</f>
        <v>0.15926604982206408</v>
      </c>
      <c r="M109" s="1128">
        <f>(-0.214*(M108^2)-21.991*M108+4665)*(10^(-4))/M101</f>
        <v>0.15926604982206408</v>
      </c>
      <c r="N109" s="1128">
        <f>(-0.214*(N108^2)-21.991*N108+4665)*(10^(-4))/N101</f>
        <v>0.15926604982206408</v>
      </c>
    </row>
    <row r="110" spans="1:14">
      <c r="A110" s="3565" t="s">
        <v>1630</v>
      </c>
      <c r="B110" s="3565"/>
      <c r="C110" s="3565"/>
      <c r="D110" s="3565"/>
      <c r="E110" s="3565"/>
      <c r="F110" s="3565"/>
      <c r="G110" s="3565"/>
      <c r="H110" s="3565"/>
      <c r="I110" s="3565"/>
      <c r="J110" s="3565"/>
      <c r="K110" s="2302"/>
      <c r="L110" s="2302"/>
      <c r="M110" s="2302"/>
      <c r="N110" s="2302"/>
    </row>
    <row r="112" spans="1:14" ht="12.75" thickBot="1"/>
    <row r="113" spans="1:13" ht="25.5" thickBot="1">
      <c r="A113" s="1002" t="s">
        <v>887</v>
      </c>
      <c r="B113" s="2305">
        <f>G3</f>
        <v>2.81</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0.90710000000000002</v>
      </c>
      <c r="C115" s="1016">
        <f>B115</f>
        <v>0.90710000000000002</v>
      </c>
      <c r="D115" s="1016">
        <f>ROUND(0.8331-0.0109*B113,4)</f>
        <v>0.80249999999999999</v>
      </c>
      <c r="E115" s="1016">
        <f>D115</f>
        <v>0.80249999999999999</v>
      </c>
      <c r="F115" s="1016">
        <f>E115</f>
        <v>0.80249999999999999</v>
      </c>
      <c r="G115" s="1016">
        <f>F115</f>
        <v>0.80249999999999999</v>
      </c>
      <c r="H115" s="1016">
        <f>G115</f>
        <v>0.80249999999999999</v>
      </c>
      <c r="I115" s="1016">
        <f>ROUND(0.689-0.0155*B113,4)</f>
        <v>0.64539999999999997</v>
      </c>
      <c r="J115" s="1016">
        <f t="shared" ref="J115:M118" si="33">I115</f>
        <v>0.64539999999999997</v>
      </c>
      <c r="K115" s="1016">
        <f t="shared" si="33"/>
        <v>0.64539999999999997</v>
      </c>
      <c r="L115" s="1016">
        <f t="shared" si="33"/>
        <v>0.64539999999999997</v>
      </c>
      <c r="M115" s="1017">
        <f t="shared" si="33"/>
        <v>0.64539999999999997</v>
      </c>
    </row>
    <row r="116" spans="1:13" ht="12.75">
      <c r="A116" s="1015" t="s">
        <v>892</v>
      </c>
      <c r="B116" s="1016">
        <f>ROUND(0.949-0.012*B113,4)</f>
        <v>0.9153</v>
      </c>
      <c r="C116" s="1016">
        <f>B116</f>
        <v>0.9153</v>
      </c>
      <c r="D116" s="1016">
        <f>ROUND(0.8567-0.013*B113,4)</f>
        <v>0.82020000000000004</v>
      </c>
      <c r="E116" s="1016">
        <f t="shared" ref="E116:H117" si="34">D116</f>
        <v>0.82020000000000004</v>
      </c>
      <c r="F116" s="1016">
        <f t="shared" si="34"/>
        <v>0.82020000000000004</v>
      </c>
      <c r="G116" s="1016">
        <f t="shared" si="34"/>
        <v>0.82020000000000004</v>
      </c>
      <c r="H116" s="1016">
        <f t="shared" si="34"/>
        <v>0.82020000000000004</v>
      </c>
      <c r="I116" s="1016">
        <f>ROUND(0.7694-0.014*B113,4)</f>
        <v>0.73009999999999997</v>
      </c>
      <c r="J116" s="1016">
        <f t="shared" si="33"/>
        <v>0.73009999999999997</v>
      </c>
      <c r="K116" s="1016">
        <f t="shared" si="33"/>
        <v>0.73009999999999997</v>
      </c>
      <c r="L116" s="1016">
        <f t="shared" si="33"/>
        <v>0.73009999999999997</v>
      </c>
      <c r="M116" s="1017">
        <f t="shared" si="33"/>
        <v>0.73009999999999997</v>
      </c>
    </row>
    <row r="117" spans="1:13" ht="12.75">
      <c r="A117" s="1018" t="s">
        <v>893</v>
      </c>
      <c r="B117" s="1016">
        <f>ROUND(0.8808-0.006*B113,4)</f>
        <v>0.8639</v>
      </c>
      <c r="C117" s="1016">
        <f>B117</f>
        <v>0.8639</v>
      </c>
      <c r="D117" s="1016">
        <f>ROUND(0.8748-0.008*B113,4)</f>
        <v>0.85229999999999995</v>
      </c>
      <c r="E117" s="1016">
        <f t="shared" si="34"/>
        <v>0.85229999999999995</v>
      </c>
      <c r="F117" s="1016">
        <f t="shared" si="34"/>
        <v>0.85229999999999995</v>
      </c>
      <c r="G117" s="1016">
        <f t="shared" si="34"/>
        <v>0.85229999999999995</v>
      </c>
      <c r="H117" s="1016">
        <f t="shared" si="34"/>
        <v>0.85229999999999995</v>
      </c>
      <c r="I117" s="1016">
        <f>ROUND(0.7412-0.0095*B113,4)</f>
        <v>0.71450000000000002</v>
      </c>
      <c r="J117" s="1016">
        <f t="shared" si="33"/>
        <v>0.71450000000000002</v>
      </c>
      <c r="K117" s="1016">
        <f t="shared" si="33"/>
        <v>0.71450000000000002</v>
      </c>
      <c r="L117" s="1016">
        <f t="shared" si="33"/>
        <v>0.71450000000000002</v>
      </c>
      <c r="M117" s="1017">
        <f t="shared" si="33"/>
        <v>0.71450000000000002</v>
      </c>
    </row>
    <row r="118" spans="1:13" ht="13.5" thickBot="1">
      <c r="A118" s="1019" t="s">
        <v>894</v>
      </c>
      <c r="B118" s="1020">
        <f>ROUND(0.7275-0.01*B113,4)</f>
        <v>0.69940000000000002</v>
      </c>
      <c r="C118" s="1020">
        <f>B118</f>
        <v>0.69940000000000002</v>
      </c>
      <c r="D118" s="1020">
        <f>ROUND(0.7043-0.012*B113,4)</f>
        <v>0.67059999999999997</v>
      </c>
      <c r="E118" s="1020">
        <f>D118</f>
        <v>0.67059999999999997</v>
      </c>
      <c r="F118" s="1020">
        <f>E118</f>
        <v>0.67059999999999997</v>
      </c>
      <c r="G118" s="1020">
        <f>ROUND(0.6299-0.0122*B113,4)</f>
        <v>0.59560000000000002</v>
      </c>
      <c r="H118" s="1020">
        <f>G118</f>
        <v>0.59560000000000002</v>
      </c>
      <c r="I118" s="1020">
        <f>ROUND(0.5667-0.0136*B113,4)</f>
        <v>0.52849999999999997</v>
      </c>
      <c r="J118" s="1020">
        <f t="shared" si="33"/>
        <v>0.52849999999999997</v>
      </c>
      <c r="K118" s="1020">
        <f t="shared" si="33"/>
        <v>0.52849999999999997</v>
      </c>
      <c r="L118" s="1020">
        <f t="shared" si="33"/>
        <v>0.52849999999999997</v>
      </c>
      <c r="M118" s="1021">
        <f t="shared" si="33"/>
        <v>0.52849999999999997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72" t="s">
        <v>998</v>
      </c>
      <c r="B18" s="1136" t="s">
        <v>1437</v>
      </c>
      <c r="C18" s="1113" t="s">
        <v>1438</v>
      </c>
      <c r="D18" s="1114"/>
      <c r="E18" s="1136">
        <v>1</v>
      </c>
      <c r="F18" s="1115" t="s">
        <v>1439</v>
      </c>
      <c r="G18" s="1116"/>
      <c r="H18" s="1087"/>
      <c r="I18" s="1087"/>
    </row>
    <row r="19" spans="1:9" s="1528" customFormat="1" ht="19.5" customHeight="1">
      <c r="A19" s="3572"/>
      <c r="B19" s="3572" t="s">
        <v>1440</v>
      </c>
      <c r="C19" s="1113" t="s">
        <v>1441</v>
      </c>
      <c r="D19" s="1114"/>
      <c r="E19" s="1136">
        <v>0.9</v>
      </c>
      <c r="F19" s="1115" t="s">
        <v>1442</v>
      </c>
      <c r="G19" s="1116"/>
      <c r="H19" s="1087"/>
      <c r="I19" s="1087"/>
    </row>
    <row r="20" spans="1:9" s="1528" customFormat="1" ht="19.5" customHeight="1">
      <c r="A20" s="3572"/>
      <c r="B20" s="3572"/>
      <c r="C20" s="1113" t="s">
        <v>1443</v>
      </c>
      <c r="D20" s="1114"/>
      <c r="E20" s="1136">
        <v>1.1000000000000001</v>
      </c>
      <c r="F20" s="1115" t="s">
        <v>1444</v>
      </c>
      <c r="G20" s="1116"/>
      <c r="H20" s="1087"/>
      <c r="I20" s="1087"/>
    </row>
    <row r="21" spans="1:9" s="1528" customFormat="1" ht="19.5" customHeight="1">
      <c r="A21" s="3572"/>
      <c r="B21" s="3572"/>
      <c r="C21" s="1113" t="s">
        <v>1445</v>
      </c>
      <c r="D21" s="1114"/>
      <c r="E21" s="1136">
        <v>0.8</v>
      </c>
      <c r="F21" s="1115" t="s">
        <v>1446</v>
      </c>
      <c r="G21" s="1116"/>
      <c r="H21" s="1087"/>
      <c r="I21" s="1087"/>
    </row>
    <row r="22" spans="1:9" s="1528" customFormat="1" ht="19.5" customHeight="1">
      <c r="A22" s="3572"/>
      <c r="B22" s="3572"/>
      <c r="C22" s="1113" t="s">
        <v>1447</v>
      </c>
      <c r="D22" s="1114"/>
      <c r="E22" s="1136">
        <v>0.5</v>
      </c>
      <c r="F22" s="1115"/>
      <c r="G22" s="1116"/>
      <c r="H22" s="1087"/>
      <c r="I22" s="1087"/>
    </row>
    <row r="23" spans="1:9" s="1528" customFormat="1" ht="19.5" customHeight="1">
      <c r="A23" s="3572" t="s">
        <v>1020</v>
      </c>
      <c r="B23" s="1136" t="s">
        <v>1437</v>
      </c>
      <c r="C23" s="1113" t="s">
        <v>1448</v>
      </c>
      <c r="D23" s="1114"/>
      <c r="E23" s="1136">
        <v>1</v>
      </c>
      <c r="F23" s="1115" t="s">
        <v>1449</v>
      </c>
      <c r="G23" s="1116"/>
      <c r="H23" s="1087"/>
      <c r="I23" s="1087"/>
    </row>
    <row r="24" spans="1:9" s="1528" customFormat="1" ht="19.5" customHeight="1">
      <c r="A24" s="3572"/>
      <c r="B24" s="3572" t="s">
        <v>1440</v>
      </c>
      <c r="C24" s="1113" t="s">
        <v>1450</v>
      </c>
      <c r="D24" s="1114"/>
      <c r="E24" s="1136">
        <v>0.5</v>
      </c>
      <c r="F24" s="1115"/>
      <c r="G24" s="1116"/>
      <c r="H24" s="1087"/>
      <c r="I24" s="1087"/>
    </row>
    <row r="25" spans="1:9" s="1528" customFormat="1" ht="19.5" customHeight="1">
      <c r="A25" s="3572"/>
      <c r="B25" s="3572"/>
      <c r="C25" s="1113" t="s">
        <v>1451</v>
      </c>
      <c r="D25" s="1114"/>
      <c r="E25" s="1136">
        <v>1.1000000000000001</v>
      </c>
      <c r="F25" s="1115"/>
      <c r="G25" s="1116"/>
      <c r="H25" s="1087"/>
      <c r="I25" s="1087"/>
    </row>
    <row r="26" spans="1:9" s="1528" customFormat="1" ht="19.5" customHeight="1">
      <c r="A26" s="3572"/>
      <c r="B26" s="3572"/>
      <c r="C26" s="1113" t="s">
        <v>1452</v>
      </c>
      <c r="D26" s="1114"/>
      <c r="E26" s="1136">
        <v>1.1000000000000001</v>
      </c>
      <c r="F26" s="1115"/>
      <c r="G26" s="1116"/>
      <c r="H26" s="1087"/>
      <c r="I26" s="1087"/>
    </row>
    <row r="27" spans="1:9" s="1528" customFormat="1" ht="19.5" customHeight="1">
      <c r="A27" s="3572"/>
      <c r="B27" s="3572"/>
      <c r="C27" s="1113" t="s">
        <v>1453</v>
      </c>
      <c r="D27" s="1114"/>
      <c r="E27" s="1136">
        <v>0.9</v>
      </c>
      <c r="F27" s="1115" t="s">
        <v>1454</v>
      </c>
      <c r="G27" s="1116"/>
      <c r="H27" s="1087"/>
      <c r="I27" s="1087"/>
    </row>
    <row r="28" spans="1:9" s="1528" customFormat="1" ht="19.5" customHeight="1">
      <c r="A28" s="3572"/>
      <c r="B28" s="3572"/>
      <c r="C28" s="1113" t="s">
        <v>1455</v>
      </c>
      <c r="D28" s="1114"/>
      <c r="E28" s="1136">
        <v>0.9</v>
      </c>
      <c r="F28" s="1115" t="s">
        <v>1456</v>
      </c>
      <c r="G28" s="1116"/>
      <c r="H28" s="1087"/>
      <c r="I28" s="1087"/>
    </row>
    <row r="29" spans="1:9" s="1528" customFormat="1" ht="19.5" customHeight="1">
      <c r="A29" s="3572"/>
      <c r="B29" s="3572"/>
      <c r="C29" s="1113" t="s">
        <v>1457</v>
      </c>
      <c r="D29" s="1114"/>
      <c r="E29" s="1136">
        <v>0.9</v>
      </c>
      <c r="F29" s="1115" t="s">
        <v>1458</v>
      </c>
      <c r="G29" s="1116"/>
      <c r="H29" s="1087"/>
      <c r="I29" s="1087"/>
    </row>
    <row r="30" spans="1:9" s="1528" customFormat="1" ht="19.5" customHeight="1">
      <c r="A30" s="3572"/>
      <c r="B30" s="3572"/>
      <c r="C30" s="1113" t="s">
        <v>1459</v>
      </c>
      <c r="D30" s="1114"/>
      <c r="E30" s="1136">
        <v>0.9</v>
      </c>
      <c r="F30" s="1115" t="s">
        <v>1460</v>
      </c>
      <c r="G30" s="1116"/>
      <c r="H30" s="1087"/>
      <c r="I30" s="1087"/>
    </row>
    <row r="31" spans="1:9" s="1528" customFormat="1" ht="19.5" customHeight="1">
      <c r="A31" s="3572"/>
      <c r="B31" s="3572"/>
      <c r="C31" s="1113" t="s">
        <v>1461</v>
      </c>
      <c r="D31" s="1114"/>
      <c r="E31" s="1136">
        <v>0.8</v>
      </c>
      <c r="F31" s="1115" t="s">
        <v>1462</v>
      </c>
      <c r="G31" s="1116"/>
      <c r="H31" s="1087"/>
      <c r="I31" s="1087"/>
    </row>
    <row r="32" spans="1:9" s="1528" customFormat="1" ht="19.5" customHeight="1">
      <c r="A32" s="3572"/>
      <c r="B32" s="3572"/>
      <c r="C32" s="1113" t="s">
        <v>1463</v>
      </c>
      <c r="D32" s="1114"/>
      <c r="E32" s="1136">
        <v>0.8</v>
      </c>
      <c r="F32" s="1115" t="s">
        <v>1464</v>
      </c>
      <c r="G32" s="1116"/>
      <c r="H32" s="1087"/>
      <c r="I32" s="1087"/>
    </row>
    <row r="33" spans="1:9" s="1528" customFormat="1" ht="19.5" customHeight="1">
      <c r="A33" s="3572" t="s">
        <v>1465</v>
      </c>
      <c r="B33" s="1136" t="s">
        <v>1437</v>
      </c>
      <c r="C33" s="1113" t="s">
        <v>1466</v>
      </c>
      <c r="D33" s="1114"/>
      <c r="E33" s="1136">
        <v>1</v>
      </c>
      <c r="F33" s="1115" t="s">
        <v>1467</v>
      </c>
      <c r="G33" s="1116"/>
      <c r="H33" s="1087"/>
      <c r="I33" s="1087"/>
    </row>
    <row r="34" spans="1:9" s="1528" customFormat="1" ht="19.5" customHeight="1">
      <c r="A34" s="3572"/>
      <c r="B34" s="1136" t="s">
        <v>1440</v>
      </c>
      <c r="C34" s="1113" t="s">
        <v>1468</v>
      </c>
      <c r="D34" s="1114"/>
      <c r="E34" s="1136">
        <v>1.5</v>
      </c>
      <c r="F34" s="1115" t="s">
        <v>1469</v>
      </c>
      <c r="G34" s="1116"/>
      <c r="H34" s="1087"/>
      <c r="I34" s="1087"/>
    </row>
    <row r="35" spans="1:9" s="1528" customFormat="1" ht="19.5" customHeight="1">
      <c r="A35" s="3572" t="s">
        <v>1423</v>
      </c>
      <c r="B35" s="1136" t="s">
        <v>1437</v>
      </c>
      <c r="C35" s="1113" t="s">
        <v>1470</v>
      </c>
      <c r="D35" s="1114"/>
      <c r="E35" s="1136">
        <v>1</v>
      </c>
      <c r="F35" s="1115" t="s">
        <v>1471</v>
      </c>
      <c r="G35" s="1116"/>
      <c r="H35" s="1087"/>
      <c r="I35" s="1087"/>
    </row>
    <row r="36" spans="1:9" s="1528" customFormat="1" ht="19.5" customHeight="1">
      <c r="A36" s="3572"/>
      <c r="B36" s="3572" t="s">
        <v>1440</v>
      </c>
      <c r="C36" s="1113" t="s">
        <v>1472</v>
      </c>
      <c r="D36" s="1114"/>
      <c r="E36" s="1136">
        <v>1</v>
      </c>
      <c r="F36" s="1115" t="s">
        <v>1473</v>
      </c>
      <c r="G36" s="1116"/>
      <c r="H36" s="1087"/>
      <c r="I36" s="1087"/>
    </row>
    <row r="37" spans="1:9" s="1528" customFormat="1" ht="19.5" customHeight="1">
      <c r="A37" s="3572"/>
      <c r="B37" s="3572"/>
      <c r="C37" s="1113" t="s">
        <v>1474</v>
      </c>
      <c r="D37" s="1114"/>
      <c r="E37" s="1136">
        <v>1.5</v>
      </c>
      <c r="F37" s="1115" t="s">
        <v>1475</v>
      </c>
      <c r="G37" s="1116"/>
      <c r="H37" s="1087"/>
      <c r="I37" s="1087"/>
    </row>
    <row r="38" spans="1:9" s="1528" customFormat="1" ht="19.5" customHeight="1">
      <c r="A38" s="3572"/>
      <c r="B38" s="3572"/>
      <c r="C38" s="1113" t="s">
        <v>1476</v>
      </c>
      <c r="D38" s="1114"/>
      <c r="E38" s="1136">
        <v>1</v>
      </c>
      <c r="F38" s="1115" t="s">
        <v>1477</v>
      </c>
      <c r="G38" s="1116"/>
      <c r="H38" s="1087"/>
      <c r="I38" s="1087"/>
    </row>
    <row r="39" spans="1:9" s="1528" customFormat="1" ht="19.5" customHeight="1">
      <c r="A39" s="3572"/>
      <c r="B39" s="3572"/>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72" t="s">
        <v>1492</v>
      </c>
      <c r="C61" s="1050" t="s">
        <v>1493</v>
      </c>
      <c r="D61" s="1050" t="s">
        <v>1494</v>
      </c>
      <c r="E61" s="1121">
        <v>0.5</v>
      </c>
      <c r="F61" s="1136">
        <v>80</v>
      </c>
      <c r="H61" s="1087">
        <f>SUMIF(C59:C119,基准地价!C8,E59:E119)</f>
        <v>0</v>
      </c>
    </row>
    <row r="62" spans="1:8" s="1087" customFormat="1" ht="24">
      <c r="A62" s="1136">
        <v>2</v>
      </c>
      <c r="B62" s="3572"/>
      <c r="C62" s="1050" t="s">
        <v>1495</v>
      </c>
      <c r="D62" s="1050" t="s">
        <v>1496</v>
      </c>
      <c r="E62" s="1121">
        <v>0.5</v>
      </c>
      <c r="F62" s="1136">
        <v>80</v>
      </c>
    </row>
    <row r="63" spans="1:8" s="1087" customFormat="1" ht="36">
      <c r="A63" s="1136">
        <v>3</v>
      </c>
      <c r="B63" s="3572"/>
      <c r="C63" s="1050" t="s">
        <v>1497</v>
      </c>
      <c r="D63" s="1050" t="s">
        <v>1498</v>
      </c>
      <c r="E63" s="1121">
        <v>0.5</v>
      </c>
      <c r="F63" s="1136">
        <v>80</v>
      </c>
    </row>
    <row r="64" spans="1:8" s="1087" customFormat="1" ht="36">
      <c r="A64" s="1136">
        <v>4</v>
      </c>
      <c r="B64" s="3572"/>
      <c r="C64" s="1050" t="s">
        <v>1499</v>
      </c>
      <c r="D64" s="1050" t="s">
        <v>1500</v>
      </c>
      <c r="E64" s="1121">
        <v>0.4</v>
      </c>
      <c r="F64" s="1136">
        <v>60</v>
      </c>
    </row>
    <row r="65" spans="1:6" s="1087" customFormat="1" ht="36">
      <c r="A65" s="1136">
        <v>5</v>
      </c>
      <c r="B65" s="3572"/>
      <c r="C65" s="1050" t="s">
        <v>1501</v>
      </c>
      <c r="D65" s="1050" t="s">
        <v>1502</v>
      </c>
      <c r="E65" s="1121">
        <v>0.2</v>
      </c>
      <c r="F65" s="1136">
        <v>30</v>
      </c>
    </row>
    <row r="66" spans="1:6" s="1087" customFormat="1" ht="36">
      <c r="A66" s="1136">
        <v>6</v>
      </c>
      <c r="B66" s="3572"/>
      <c r="C66" s="1050" t="s">
        <v>1503</v>
      </c>
      <c r="D66" s="1050" t="s">
        <v>1504</v>
      </c>
      <c r="E66" s="1121">
        <v>0.3</v>
      </c>
      <c r="F66" s="1136">
        <v>50</v>
      </c>
    </row>
    <row r="67" spans="1:6" s="1087" customFormat="1" ht="36">
      <c r="A67" s="1136">
        <v>7</v>
      </c>
      <c r="B67" s="3572"/>
      <c r="C67" s="1050" t="s">
        <v>1505</v>
      </c>
      <c r="D67" s="1050" t="s">
        <v>1506</v>
      </c>
      <c r="E67" s="1121">
        <v>0.2</v>
      </c>
      <c r="F67" s="1136">
        <v>30</v>
      </c>
    </row>
    <row r="68" spans="1:6" s="1087" customFormat="1" ht="36">
      <c r="A68" s="1136">
        <v>8</v>
      </c>
      <c r="B68" s="3572"/>
      <c r="C68" s="1050" t="s">
        <v>1507</v>
      </c>
      <c r="D68" s="1050" t="s">
        <v>1508</v>
      </c>
      <c r="E68" s="1121">
        <v>0.2</v>
      </c>
      <c r="F68" s="1136">
        <v>30</v>
      </c>
    </row>
    <row r="69" spans="1:6" s="1087" customFormat="1" ht="36">
      <c r="A69" s="1136">
        <v>9</v>
      </c>
      <c r="B69" s="3572"/>
      <c r="C69" s="1050" t="s">
        <v>1509</v>
      </c>
      <c r="D69" s="1050" t="s">
        <v>1510</v>
      </c>
      <c r="E69" s="1121">
        <v>0.2</v>
      </c>
      <c r="F69" s="1136">
        <v>30</v>
      </c>
    </row>
    <row r="70" spans="1:6" s="1087" customFormat="1" ht="48">
      <c r="A70" s="1136">
        <v>10</v>
      </c>
      <c r="B70" s="3572"/>
      <c r="C70" s="1050" t="s">
        <v>1511</v>
      </c>
      <c r="D70" s="1050" t="s">
        <v>1512</v>
      </c>
      <c r="E70" s="1121">
        <v>0.2</v>
      </c>
      <c r="F70" s="1136">
        <v>30</v>
      </c>
    </row>
    <row r="71" spans="1:6" s="1087" customFormat="1" ht="48">
      <c r="A71" s="1136">
        <v>11</v>
      </c>
      <c r="B71" s="3572"/>
      <c r="C71" s="1050" t="s">
        <v>1513</v>
      </c>
      <c r="D71" s="1050" t="s">
        <v>1514</v>
      </c>
      <c r="E71" s="1121">
        <v>0.2</v>
      </c>
      <c r="F71" s="1136">
        <v>30</v>
      </c>
    </row>
    <row r="72" spans="1:6" s="1087" customFormat="1" ht="36">
      <c r="A72" s="1136">
        <v>12</v>
      </c>
      <c r="B72" s="3572"/>
      <c r="C72" s="1050" t="s">
        <v>1515</v>
      </c>
      <c r="D72" s="1050" t="s">
        <v>1516</v>
      </c>
      <c r="E72" s="1121">
        <v>0.5</v>
      </c>
      <c r="F72" s="1136">
        <v>80</v>
      </c>
    </row>
    <row r="73" spans="1:6" s="1087" customFormat="1" ht="24">
      <c r="A73" s="1136">
        <v>13</v>
      </c>
      <c r="B73" s="3572"/>
      <c r="C73" s="1050" t="s">
        <v>1517</v>
      </c>
      <c r="D73" s="1050" t="s">
        <v>1518</v>
      </c>
      <c r="E73" s="1121">
        <v>0.4</v>
      </c>
      <c r="F73" s="1136">
        <v>60</v>
      </c>
    </row>
    <row r="74" spans="1:6" s="1087" customFormat="1" ht="24">
      <c r="A74" s="1136">
        <v>14</v>
      </c>
      <c r="B74" s="3572"/>
      <c r="C74" s="1050" t="s">
        <v>1519</v>
      </c>
      <c r="D74" s="1050" t="s">
        <v>1520</v>
      </c>
      <c r="E74" s="1121">
        <v>0.2</v>
      </c>
      <c r="F74" s="1136">
        <v>30</v>
      </c>
    </row>
    <row r="75" spans="1:6" s="1087" customFormat="1" ht="24">
      <c r="A75" s="1136">
        <v>15</v>
      </c>
      <c r="B75" s="3572"/>
      <c r="C75" s="1050" t="s">
        <v>1521</v>
      </c>
      <c r="D75" s="1050" t="s">
        <v>1522</v>
      </c>
      <c r="E75" s="1121">
        <v>0.2</v>
      </c>
      <c r="F75" s="1136">
        <v>30</v>
      </c>
    </row>
    <row r="76" spans="1:6" s="1087" customFormat="1" ht="24">
      <c r="A76" s="1136">
        <v>16</v>
      </c>
      <c r="B76" s="3572" t="s">
        <v>1523</v>
      </c>
      <c r="C76" s="1050" t="s">
        <v>1524</v>
      </c>
      <c r="D76" s="1050" t="s">
        <v>1525</v>
      </c>
      <c r="E76" s="1121">
        <v>0.5</v>
      </c>
      <c r="F76" s="1136">
        <v>80</v>
      </c>
    </row>
    <row r="77" spans="1:6" s="1087" customFormat="1" ht="24">
      <c r="A77" s="1136">
        <v>17</v>
      </c>
      <c r="B77" s="3572"/>
      <c r="C77" s="1050" t="s">
        <v>1526</v>
      </c>
      <c r="D77" s="1050" t="s">
        <v>1527</v>
      </c>
      <c r="E77" s="1121">
        <v>0.5</v>
      </c>
      <c r="F77" s="1136">
        <v>80</v>
      </c>
    </row>
    <row r="78" spans="1:6" s="1087" customFormat="1" ht="24">
      <c r="A78" s="1136">
        <v>18</v>
      </c>
      <c r="B78" s="3572"/>
      <c r="C78" s="1050" t="s">
        <v>1528</v>
      </c>
      <c r="D78" s="1050" t="s">
        <v>1529</v>
      </c>
      <c r="E78" s="1121">
        <v>0.2</v>
      </c>
      <c r="F78" s="1136">
        <v>30</v>
      </c>
    </row>
    <row r="79" spans="1:6" s="1087" customFormat="1" ht="24">
      <c r="A79" s="1136">
        <v>19</v>
      </c>
      <c r="B79" s="3572"/>
      <c r="C79" s="1050" t="s">
        <v>1530</v>
      </c>
      <c r="D79" s="1050" t="s">
        <v>1531</v>
      </c>
      <c r="E79" s="1121">
        <v>0.5</v>
      </c>
      <c r="F79" s="1136">
        <v>80</v>
      </c>
    </row>
    <row r="80" spans="1:6" s="1087" customFormat="1" ht="36">
      <c r="A80" s="1136">
        <v>20</v>
      </c>
      <c r="B80" s="3572"/>
      <c r="C80" s="1050" t="s">
        <v>1532</v>
      </c>
      <c r="D80" s="1050" t="s">
        <v>1533</v>
      </c>
      <c r="E80" s="1121">
        <v>0.2</v>
      </c>
      <c r="F80" s="1136">
        <v>30</v>
      </c>
    </row>
    <row r="81" spans="1:6" s="1087" customFormat="1" ht="36">
      <c r="A81" s="1136">
        <v>21</v>
      </c>
      <c r="B81" s="3572"/>
      <c r="C81" s="1050" t="s">
        <v>1534</v>
      </c>
      <c r="D81" s="1050" t="s">
        <v>1535</v>
      </c>
      <c r="E81" s="1121">
        <v>0.2</v>
      </c>
      <c r="F81" s="1136">
        <v>30</v>
      </c>
    </row>
    <row r="82" spans="1:6" s="1087" customFormat="1" ht="48">
      <c r="A82" s="1136">
        <v>22</v>
      </c>
      <c r="B82" s="3572"/>
      <c r="C82" s="1050" t="s">
        <v>1536</v>
      </c>
      <c r="D82" s="1050" t="s">
        <v>1537</v>
      </c>
      <c r="E82" s="1121">
        <v>0.2</v>
      </c>
      <c r="F82" s="1136">
        <v>30</v>
      </c>
    </row>
    <row r="83" spans="1:6" s="1087" customFormat="1" ht="48">
      <c r="A83" s="1136">
        <v>23</v>
      </c>
      <c r="B83" s="3572"/>
      <c r="C83" s="1050" t="s">
        <v>1538</v>
      </c>
      <c r="D83" s="1050" t="s">
        <v>1539</v>
      </c>
      <c r="E83" s="1121">
        <v>0.2</v>
      </c>
      <c r="F83" s="1136">
        <v>30</v>
      </c>
    </row>
    <row r="84" spans="1:6" s="1087" customFormat="1" ht="36">
      <c r="A84" s="1136">
        <v>24</v>
      </c>
      <c r="B84" s="3572"/>
      <c r="C84" s="1050" t="s">
        <v>1540</v>
      </c>
      <c r="D84" s="1050" t="s">
        <v>1541</v>
      </c>
      <c r="E84" s="1121">
        <v>0.2</v>
      </c>
      <c r="F84" s="1136">
        <v>30</v>
      </c>
    </row>
    <row r="85" spans="1:6" s="1087" customFormat="1" ht="36">
      <c r="A85" s="1136">
        <v>25</v>
      </c>
      <c r="B85" s="3572"/>
      <c r="C85" s="1050" t="s">
        <v>1542</v>
      </c>
      <c r="D85" s="1050" t="s">
        <v>1543</v>
      </c>
      <c r="E85" s="1121">
        <v>0.5</v>
      </c>
      <c r="F85" s="1136">
        <v>80</v>
      </c>
    </row>
    <row r="86" spans="1:6" s="1087" customFormat="1" ht="36">
      <c r="A86" s="1136">
        <v>26</v>
      </c>
      <c r="B86" s="3572"/>
      <c r="C86" s="1050" t="s">
        <v>1544</v>
      </c>
      <c r="D86" s="1050" t="s">
        <v>1545</v>
      </c>
      <c r="E86" s="1121">
        <v>0.2</v>
      </c>
      <c r="F86" s="1136">
        <v>30</v>
      </c>
    </row>
    <row r="87" spans="1:6" s="1087" customFormat="1" ht="36">
      <c r="A87" s="1136">
        <v>27</v>
      </c>
      <c r="B87" s="3572"/>
      <c r="C87" s="1050" t="s">
        <v>1546</v>
      </c>
      <c r="D87" s="1050" t="s">
        <v>1547</v>
      </c>
      <c r="E87" s="1121">
        <v>0.2</v>
      </c>
      <c r="F87" s="1136">
        <v>30</v>
      </c>
    </row>
    <row r="88" spans="1:6" s="1087" customFormat="1" ht="36">
      <c r="A88" s="1136">
        <v>28</v>
      </c>
      <c r="B88" s="3572"/>
      <c r="C88" s="1050" t="s">
        <v>1548</v>
      </c>
      <c r="D88" s="1050" t="s">
        <v>1549</v>
      </c>
      <c r="E88" s="1121">
        <v>0.2</v>
      </c>
      <c r="F88" s="1136">
        <v>30</v>
      </c>
    </row>
    <row r="89" spans="1:6" s="1087" customFormat="1" ht="24">
      <c r="A89" s="1136">
        <v>29</v>
      </c>
      <c r="B89" s="3572"/>
      <c r="C89" s="1050" t="s">
        <v>1550</v>
      </c>
      <c r="D89" s="1050" t="s">
        <v>1551</v>
      </c>
      <c r="E89" s="1121">
        <v>0.2</v>
      </c>
      <c r="F89" s="1136">
        <v>30</v>
      </c>
    </row>
    <row r="90" spans="1:6" s="1087" customFormat="1" ht="24">
      <c r="A90" s="1136">
        <v>30</v>
      </c>
      <c r="B90" s="3572"/>
      <c r="C90" s="1050" t="s">
        <v>1552</v>
      </c>
      <c r="D90" s="1050" t="s">
        <v>1553</v>
      </c>
      <c r="E90" s="1121">
        <v>0.2</v>
      </c>
      <c r="F90" s="1136">
        <v>30</v>
      </c>
    </row>
    <row r="91" spans="1:6" s="1087" customFormat="1" ht="36">
      <c r="A91" s="1136">
        <v>31</v>
      </c>
      <c r="B91" s="3572"/>
      <c r="C91" s="1050" t="s">
        <v>1554</v>
      </c>
      <c r="D91" s="1050" t="s">
        <v>1555</v>
      </c>
      <c r="E91" s="1121">
        <v>0.2</v>
      </c>
      <c r="F91" s="1136">
        <v>30</v>
      </c>
    </row>
    <row r="92" spans="1:6" s="1087" customFormat="1" ht="24">
      <c r="A92" s="1136">
        <v>32</v>
      </c>
      <c r="B92" s="3572" t="s">
        <v>1556</v>
      </c>
      <c r="C92" s="1136" t="s">
        <v>1557</v>
      </c>
      <c r="D92" s="1050" t="s">
        <v>1558</v>
      </c>
      <c r="E92" s="1121">
        <v>0.2</v>
      </c>
      <c r="F92" s="1136">
        <v>30</v>
      </c>
    </row>
    <row r="93" spans="1:6" s="1087" customFormat="1" ht="36">
      <c r="A93" s="1136">
        <v>33</v>
      </c>
      <c r="B93" s="3572"/>
      <c r="C93" s="1136" t="s">
        <v>1559</v>
      </c>
      <c r="D93" s="1050" t="s">
        <v>1560</v>
      </c>
      <c r="E93" s="1121">
        <v>0.2</v>
      </c>
      <c r="F93" s="1136">
        <v>30</v>
      </c>
    </row>
    <row r="94" spans="1:6" s="1087" customFormat="1" ht="48">
      <c r="A94" s="1136">
        <v>34</v>
      </c>
      <c r="B94" s="3572"/>
      <c r="C94" s="1136" t="s">
        <v>1561</v>
      </c>
      <c r="D94" s="1050" t="s">
        <v>1562</v>
      </c>
      <c r="E94" s="1121">
        <v>0.2</v>
      </c>
      <c r="F94" s="1136">
        <v>30</v>
      </c>
    </row>
    <row r="95" spans="1:6" s="1087" customFormat="1" ht="36">
      <c r="A95" s="1136">
        <v>35</v>
      </c>
      <c r="B95" s="3572"/>
      <c r="C95" s="1136" t="s">
        <v>1563</v>
      </c>
      <c r="D95" s="1050" t="s">
        <v>1564</v>
      </c>
      <c r="E95" s="1121">
        <v>0.2</v>
      </c>
      <c r="F95" s="1136">
        <v>30</v>
      </c>
    </row>
    <row r="96" spans="1:6" s="1087" customFormat="1" ht="48">
      <c r="A96" s="1136">
        <v>36</v>
      </c>
      <c r="B96" s="3572"/>
      <c r="C96" s="1050" t="s">
        <v>1565</v>
      </c>
      <c r="D96" s="1050" t="s">
        <v>1566</v>
      </c>
      <c r="E96" s="1121">
        <v>0.2</v>
      </c>
      <c r="F96" s="1136">
        <v>30</v>
      </c>
    </row>
    <row r="97" spans="1:6" s="1087" customFormat="1" ht="36">
      <c r="A97" s="1136">
        <v>37</v>
      </c>
      <c r="B97" s="3572"/>
      <c r="C97" s="1136" t="s">
        <v>1567</v>
      </c>
      <c r="D97" s="1050" t="s">
        <v>1568</v>
      </c>
      <c r="E97" s="1121">
        <v>0.2</v>
      </c>
      <c r="F97" s="1136">
        <v>30</v>
      </c>
    </row>
    <row r="98" spans="1:6" s="1087" customFormat="1" ht="36">
      <c r="A98" s="1136">
        <v>38</v>
      </c>
      <c r="B98" s="3572"/>
      <c r="C98" s="1136" t="s">
        <v>1569</v>
      </c>
      <c r="D98" s="1050" t="s">
        <v>1570</v>
      </c>
      <c r="E98" s="1121">
        <v>0.2</v>
      </c>
      <c r="F98" s="1136">
        <v>30</v>
      </c>
    </row>
    <row r="99" spans="1:6" s="1087" customFormat="1" ht="36">
      <c r="A99" s="1136">
        <v>39</v>
      </c>
      <c r="B99" s="3572" t="s">
        <v>1571</v>
      </c>
      <c r="C99" s="1136" t="s">
        <v>1572</v>
      </c>
      <c r="D99" s="1050" t="s">
        <v>1573</v>
      </c>
      <c r="E99" s="1121">
        <v>0.3</v>
      </c>
      <c r="F99" s="1136">
        <v>50</v>
      </c>
    </row>
    <row r="100" spans="1:6" s="1087" customFormat="1" ht="24">
      <c r="A100" s="1136">
        <v>40</v>
      </c>
      <c r="B100" s="3572"/>
      <c r="C100" s="1136" t="s">
        <v>1574</v>
      </c>
      <c r="D100" s="1050" t="s">
        <v>1575</v>
      </c>
      <c r="E100" s="1121">
        <v>0.2</v>
      </c>
      <c r="F100" s="1136">
        <v>30</v>
      </c>
    </row>
    <row r="101" spans="1:6" s="1087" customFormat="1" ht="36">
      <c r="A101" s="1136">
        <v>41</v>
      </c>
      <c r="B101" s="3572"/>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72" t="s">
        <v>1586</v>
      </c>
      <c r="C105" s="1136" t="s">
        <v>1587</v>
      </c>
      <c r="D105" s="1050" t="s">
        <v>1588</v>
      </c>
      <c r="E105" s="1121">
        <v>0.2</v>
      </c>
      <c r="F105" s="1136">
        <v>30</v>
      </c>
    </row>
    <row r="106" spans="1:6" s="1087" customFormat="1" ht="36">
      <c r="A106" s="1136">
        <v>46</v>
      </c>
      <c r="B106" s="3572"/>
      <c r="C106" s="1136" t="s">
        <v>1589</v>
      </c>
      <c r="D106" s="1050" t="s">
        <v>1590</v>
      </c>
      <c r="E106" s="1121">
        <v>0.2</v>
      </c>
      <c r="F106" s="1136">
        <v>30</v>
      </c>
    </row>
    <row r="107" spans="1:6" s="1087" customFormat="1" ht="36">
      <c r="A107" s="1136">
        <v>47</v>
      </c>
      <c r="B107" s="3572" t="s">
        <v>1591</v>
      </c>
      <c r="C107" s="1136" t="s">
        <v>1592</v>
      </c>
      <c r="D107" s="1050" t="s">
        <v>1593</v>
      </c>
      <c r="E107" s="1121">
        <v>0.3</v>
      </c>
      <c r="F107" s="1136">
        <v>50</v>
      </c>
    </row>
    <row r="108" spans="1:6" s="1087" customFormat="1" ht="36">
      <c r="A108" s="1136">
        <v>48</v>
      </c>
      <c r="B108" s="3572"/>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72" t="s">
        <v>1602</v>
      </c>
      <c r="C111" s="1136" t="s">
        <v>1603</v>
      </c>
      <c r="D111" s="1050" t="s">
        <v>1604</v>
      </c>
      <c r="E111" s="1121">
        <v>0.2</v>
      </c>
      <c r="F111" s="1136">
        <v>30</v>
      </c>
    </row>
    <row r="112" spans="1:6" s="1087" customFormat="1" ht="24">
      <c r="A112" s="1136">
        <v>52</v>
      </c>
      <c r="B112" s="3572"/>
      <c r="C112" s="1136" t="s">
        <v>1605</v>
      </c>
      <c r="D112" s="1050" t="s">
        <v>1606</v>
      </c>
      <c r="E112" s="1121">
        <v>0.2</v>
      </c>
      <c r="F112" s="1136">
        <v>30</v>
      </c>
    </row>
    <row r="113" spans="1:14" s="1087" customFormat="1" ht="24">
      <c r="A113" s="1136">
        <v>53</v>
      </c>
      <c r="B113" s="3572"/>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72" t="s">
        <v>1615</v>
      </c>
      <c r="C116" s="1136" t="s">
        <v>1616</v>
      </c>
      <c r="D116" s="1050" t="s">
        <v>1617</v>
      </c>
      <c r="E116" s="1121">
        <v>0.2</v>
      </c>
      <c r="F116" s="1136">
        <v>30</v>
      </c>
    </row>
    <row r="117" spans="1:14" ht="36">
      <c r="A117" s="1136">
        <v>57</v>
      </c>
      <c r="B117" s="3572"/>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71" t="s">
        <v>1624</v>
      </c>
      <c r="B121" s="3571"/>
      <c r="C121" s="3571"/>
      <c r="D121" s="3571"/>
      <c r="E121" s="3571"/>
      <c r="F121" s="3571"/>
      <c r="G121" s="3571"/>
      <c r="H121" s="3571"/>
      <c r="I121" s="3571"/>
      <c r="J121" s="3571"/>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86" t="s">
        <v>1030</v>
      </c>
      <c r="B1" s="3586"/>
      <c r="C1" s="3586"/>
      <c r="D1" s="3586"/>
      <c r="E1" s="3586"/>
      <c r="F1" s="3586"/>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87" t="s">
        <v>1043</v>
      </c>
      <c r="B2" s="3587"/>
      <c r="C2" s="3587"/>
      <c r="D2" s="3587"/>
      <c r="E2" s="3587"/>
      <c r="F2" s="3587"/>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88"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89"/>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90" t="s">
        <v>2067</v>
      </c>
      <c r="B1" s="3590"/>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1087</v>
      </c>
      <c r="B6" s="1772" t="s">
        <v>2076</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2077</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2078</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2079</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2080</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2081</v>
      </c>
      <c r="C72" s="1782"/>
      <c r="D72" s="1782"/>
      <c r="E72" s="1782"/>
      <c r="F72" s="1774">
        <v>0.05</v>
      </c>
    </row>
    <row r="73" spans="1:6" ht="14.25" thickBot="1">
      <c r="A73" s="1768" t="s">
        <v>916</v>
      </c>
      <c r="B73" s="1772" t="s">
        <v>2082</v>
      </c>
      <c r="C73" s="1782"/>
      <c r="D73" s="1782"/>
      <c r="E73" s="1782"/>
      <c r="F73" s="1774">
        <v>0.05</v>
      </c>
    </row>
    <row r="74" spans="1:6" ht="14.25" thickBot="1">
      <c r="A74" s="1768" t="s">
        <v>916</v>
      </c>
      <c r="B74" s="1772" t="s">
        <v>2083</v>
      </c>
      <c r="C74" s="1782"/>
      <c r="D74" s="1782"/>
      <c r="E74" s="1782"/>
      <c r="F74" s="1774">
        <v>0.05</v>
      </c>
    </row>
    <row r="75" spans="1:6" ht="14.25" thickBot="1">
      <c r="A75" s="1776" t="s">
        <v>916</v>
      </c>
      <c r="B75" s="1783" t="s">
        <v>2084</v>
      </c>
      <c r="C75" s="1779"/>
      <c r="D75" s="1779"/>
      <c r="E75" s="1779"/>
      <c r="F75" s="1784">
        <v>0.05</v>
      </c>
    </row>
    <row r="76" spans="1:6" ht="14.25" thickBot="1">
      <c r="A76" s="1768" t="s">
        <v>1398</v>
      </c>
      <c r="B76" s="1769" t="s">
        <v>2085</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2086</v>
      </c>
      <c r="C102" s="1782"/>
      <c r="D102" s="1782"/>
      <c r="E102" s="1782"/>
      <c r="F102" s="1774">
        <v>0.05</v>
      </c>
    </row>
    <row r="103" spans="1:6" ht="24.75" thickBot="1">
      <c r="A103" s="1768" t="s">
        <v>1398</v>
      </c>
      <c r="B103" s="1772" t="s">
        <v>2087</v>
      </c>
      <c r="C103" s="1782"/>
      <c r="D103" s="1782"/>
      <c r="E103" s="1782"/>
      <c r="F103" s="1774">
        <v>0.05</v>
      </c>
    </row>
    <row r="104" spans="1:6" ht="14.25" thickBot="1">
      <c r="A104" s="1768" t="s">
        <v>1398</v>
      </c>
      <c r="B104" s="1772" t="s">
        <v>2088</v>
      </c>
      <c r="C104" s="1782"/>
      <c r="D104" s="1782"/>
      <c r="E104" s="1782"/>
      <c r="F104" s="1774">
        <v>0.05</v>
      </c>
    </row>
    <row r="105" spans="1:6" ht="14.25" thickBot="1">
      <c r="A105" s="1768" t="s">
        <v>1398</v>
      </c>
      <c r="B105" s="1772" t="s">
        <v>2089</v>
      </c>
      <c r="C105" s="1782"/>
      <c r="D105" s="1782"/>
      <c r="E105" s="1782"/>
      <c r="F105" s="1774">
        <v>0.05</v>
      </c>
    </row>
    <row r="106" spans="1:6" ht="14.25" thickBot="1">
      <c r="A106" s="1768" t="s">
        <v>1398</v>
      </c>
      <c r="B106" s="1772" t="s">
        <v>2090</v>
      </c>
      <c r="C106" s="1782"/>
      <c r="D106" s="1782"/>
      <c r="E106" s="1782"/>
      <c r="F106" s="1774">
        <v>0.05</v>
      </c>
    </row>
    <row r="107" spans="1:6" ht="24.75" thickBot="1">
      <c r="A107" s="1768" t="s">
        <v>1398</v>
      </c>
      <c r="B107" s="1772" t="s">
        <v>2091</v>
      </c>
      <c r="C107" s="1782"/>
      <c r="D107" s="1782"/>
      <c r="E107" s="1782"/>
      <c r="F107" s="1774">
        <v>0.05</v>
      </c>
    </row>
    <row r="108" spans="1:6" ht="24.75" thickBot="1">
      <c r="A108" s="1768" t="s">
        <v>1398</v>
      </c>
      <c r="B108" s="1772" t="s">
        <v>2092</v>
      </c>
      <c r="C108" s="1782"/>
      <c r="D108" s="1782"/>
      <c r="E108" s="1782"/>
      <c r="F108" s="1774">
        <v>0.05</v>
      </c>
    </row>
    <row r="109" spans="1:6" ht="24.75" thickBot="1">
      <c r="A109" s="1776" t="s">
        <v>1398</v>
      </c>
      <c r="B109" s="1783" t="s">
        <v>2093</v>
      </c>
      <c r="C109" s="1779"/>
      <c r="D109" s="1779"/>
      <c r="E109" s="1779"/>
      <c r="F109" s="1784">
        <v>0.05</v>
      </c>
    </row>
    <row r="110" spans="1:6" ht="14.25" thickBot="1">
      <c r="A110" s="1768" t="s">
        <v>1400</v>
      </c>
      <c r="B110" s="1769" t="s">
        <v>2094</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2095</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2096</v>
      </c>
      <c r="C138" s="1773">
        <v>0.105</v>
      </c>
      <c r="D138" s="1773">
        <v>0.125</v>
      </c>
      <c r="E138" s="1773">
        <v>0.112</v>
      </c>
      <c r="F138" s="1781"/>
    </row>
    <row r="139" spans="1:6" ht="14.25" thickBot="1">
      <c r="A139" s="1768" t="s">
        <v>1400</v>
      </c>
      <c r="B139" s="1772" t="s">
        <v>2097</v>
      </c>
      <c r="C139" s="1773">
        <v>0.127</v>
      </c>
      <c r="D139" s="1773">
        <v>0.127</v>
      </c>
      <c r="E139" s="1773">
        <v>0.122</v>
      </c>
      <c r="F139" s="1774">
        <v>0.13</v>
      </c>
    </row>
    <row r="140" spans="1:6" ht="14.25" thickBot="1">
      <c r="A140" s="1768" t="s">
        <v>1400</v>
      </c>
      <c r="B140" s="1772" t="s">
        <v>2098</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2099</v>
      </c>
      <c r="C144" s="1786">
        <v>0.126</v>
      </c>
      <c r="D144" s="1786">
        <v>0.126</v>
      </c>
      <c r="E144" s="1786">
        <v>0.121</v>
      </c>
      <c r="F144" s="1781"/>
    </row>
    <row r="145" spans="1:6" ht="14.25" thickBot="1">
      <c r="A145" s="1776" t="s">
        <v>1400</v>
      </c>
      <c r="B145" s="1787" t="s">
        <v>2100</v>
      </c>
      <c r="C145" s="1788"/>
      <c r="D145" s="1788"/>
      <c r="E145" s="1788"/>
      <c r="F145" s="1789">
        <v>0.05</v>
      </c>
    </row>
    <row r="146" spans="1:6" ht="24.75" thickBot="1">
      <c r="A146" s="1790" t="s">
        <v>1400</v>
      </c>
      <c r="B146" s="1775" t="s">
        <v>2101</v>
      </c>
      <c r="C146" s="1782"/>
      <c r="D146" s="1782"/>
      <c r="E146" s="1782"/>
      <c r="F146" s="1791">
        <v>0.05</v>
      </c>
    </row>
    <row r="147" spans="1:6" ht="24.75" thickBot="1">
      <c r="A147" s="1768" t="s">
        <v>1400</v>
      </c>
      <c r="B147" s="1772" t="s">
        <v>2102</v>
      </c>
      <c r="C147" s="1782"/>
      <c r="D147" s="1782"/>
      <c r="E147" s="1782"/>
      <c r="F147" s="1774">
        <v>0.05</v>
      </c>
    </row>
    <row r="148" spans="1:6" ht="24.75" thickBot="1">
      <c r="A148" s="1768" t="s">
        <v>1400</v>
      </c>
      <c r="B148" s="1772" t="s">
        <v>2103</v>
      </c>
      <c r="C148" s="1782"/>
      <c r="D148" s="1782"/>
      <c r="E148" s="1782"/>
      <c r="F148" s="1774">
        <v>0.05</v>
      </c>
    </row>
    <row r="149" spans="1:6" ht="24.75" thickBot="1">
      <c r="A149" s="1768" t="s">
        <v>1400</v>
      </c>
      <c r="B149" s="1772" t="s">
        <v>2104</v>
      </c>
      <c r="C149" s="1782"/>
      <c r="D149" s="1782"/>
      <c r="E149" s="1782"/>
      <c r="F149" s="1774">
        <v>0.05</v>
      </c>
    </row>
    <row r="150" spans="1:6" ht="24.75" thickBot="1">
      <c r="A150" s="1768" t="s">
        <v>1400</v>
      </c>
      <c r="B150" s="1772" t="s">
        <v>2105</v>
      </c>
      <c r="C150" s="1782"/>
      <c r="D150" s="1782"/>
      <c r="E150" s="1782"/>
      <c r="F150" s="1774">
        <v>0.05</v>
      </c>
    </row>
    <row r="151" spans="1:6" ht="24.75" thickBot="1">
      <c r="A151" s="1768" t="s">
        <v>1400</v>
      </c>
      <c r="B151" s="1772" t="s">
        <v>2106</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2107</v>
      </c>
      <c r="C153" s="1782"/>
      <c r="D153" s="1782"/>
      <c r="E153" s="1782"/>
      <c r="F153" s="1774">
        <v>0.05</v>
      </c>
    </row>
    <row r="154" spans="1:6" ht="14.25" thickBot="1">
      <c r="A154" s="1768" t="s">
        <v>1400</v>
      </c>
      <c r="B154" s="1772" t="s">
        <v>2108</v>
      </c>
      <c r="C154" s="1782"/>
      <c r="D154" s="1782"/>
      <c r="E154" s="1782"/>
      <c r="F154" s="1774">
        <v>0.05</v>
      </c>
    </row>
    <row r="155" spans="1:6" ht="24.75" thickBot="1">
      <c r="A155" s="1768" t="s">
        <v>1400</v>
      </c>
      <c r="B155" s="1772" t="s">
        <v>2109</v>
      </c>
      <c r="C155" s="1782"/>
      <c r="D155" s="1782"/>
      <c r="E155" s="1782"/>
      <c r="F155" s="1774">
        <v>0.05</v>
      </c>
    </row>
    <row r="156" spans="1:6" ht="24.75" thickBot="1">
      <c r="A156" s="1768" t="s">
        <v>1400</v>
      </c>
      <c r="B156" s="1772" t="s">
        <v>2110</v>
      </c>
      <c r="C156" s="1782"/>
      <c r="D156" s="1782"/>
      <c r="E156" s="1782"/>
      <c r="F156" s="1774">
        <v>0.05</v>
      </c>
    </row>
    <row r="157" spans="1:6" ht="14.25" thickBot="1">
      <c r="A157" s="1776" t="s">
        <v>1400</v>
      </c>
      <c r="B157" s="1783" t="s">
        <v>2111</v>
      </c>
      <c r="C157" s="1779"/>
      <c r="D157" s="1779"/>
      <c r="E157" s="1779"/>
      <c r="F157" s="1784">
        <v>0.05</v>
      </c>
    </row>
    <row r="158" spans="1:6" ht="14.25" thickBot="1">
      <c r="A158" s="1768" t="s">
        <v>1402</v>
      </c>
      <c r="B158" s="1769" t="s">
        <v>2112</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2113</v>
      </c>
      <c r="C171" s="1773">
        <v>0.127</v>
      </c>
      <c r="D171" s="1773">
        <v>0.126</v>
      </c>
      <c r="E171" s="1773">
        <v>0.126</v>
      </c>
      <c r="F171" s="1774">
        <v>0.11799999999999999</v>
      </c>
    </row>
    <row r="172" spans="1:6" ht="14.25" thickBot="1">
      <c r="A172" s="1768" t="s">
        <v>1402</v>
      </c>
      <c r="B172" s="1772" t="s">
        <v>2114</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2115</v>
      </c>
      <c r="C174" s="1773">
        <v>0.13</v>
      </c>
      <c r="D174" s="1773">
        <v>0.13</v>
      </c>
      <c r="E174" s="1773">
        <v>0.13</v>
      </c>
      <c r="F174" s="1774">
        <v>0.13</v>
      </c>
    </row>
    <row r="175" spans="1:6" ht="14.25" thickBot="1">
      <c r="A175" s="1768" t="s">
        <v>1402</v>
      </c>
      <c r="B175" s="1772" t="s">
        <v>2116</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2117</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2118</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2119</v>
      </c>
      <c r="C185" s="1773">
        <v>0.127</v>
      </c>
      <c r="D185" s="1773">
        <v>0.127</v>
      </c>
      <c r="E185" s="1773">
        <v>0.128</v>
      </c>
      <c r="F185" s="1774">
        <v>0.13</v>
      </c>
    </row>
    <row r="186" spans="1:6" ht="24.75" thickBot="1">
      <c r="A186" s="1768" t="s">
        <v>1402</v>
      </c>
      <c r="B186" s="1772" t="s">
        <v>2120</v>
      </c>
      <c r="C186" s="1782"/>
      <c r="D186" s="1782"/>
      <c r="E186" s="1782"/>
      <c r="F186" s="1774">
        <v>0.05</v>
      </c>
    </row>
    <row r="187" spans="1:6" ht="14.25" thickBot="1">
      <c r="A187" s="1768" t="s">
        <v>1402</v>
      </c>
      <c r="B187" s="1772" t="s">
        <v>2121</v>
      </c>
      <c r="C187" s="1782"/>
      <c r="D187" s="1782"/>
      <c r="E187" s="1782"/>
      <c r="F187" s="1774">
        <v>0.05</v>
      </c>
    </row>
    <row r="188" spans="1:6" ht="14.25" thickBot="1">
      <c r="A188" s="1768" t="s">
        <v>1402</v>
      </c>
      <c r="B188" s="1772" t="s">
        <v>2122</v>
      </c>
      <c r="C188" s="1782"/>
      <c r="D188" s="1782"/>
      <c r="E188" s="1782"/>
      <c r="F188" s="1774">
        <v>0.05</v>
      </c>
    </row>
    <row r="189" spans="1:6" ht="24.75" thickBot="1">
      <c r="A189" s="1768" t="s">
        <v>1402</v>
      </c>
      <c r="B189" s="1772" t="s">
        <v>2123</v>
      </c>
      <c r="C189" s="1782"/>
      <c r="D189" s="1782"/>
      <c r="E189" s="1782"/>
      <c r="F189" s="1774">
        <v>0.05</v>
      </c>
    </row>
    <row r="190" spans="1:6" ht="24.75" thickBot="1">
      <c r="A190" s="1768" t="s">
        <v>1402</v>
      </c>
      <c r="B190" s="1772" t="s">
        <v>2124</v>
      </c>
      <c r="C190" s="1782"/>
      <c r="D190" s="1782"/>
      <c r="E190" s="1782"/>
      <c r="F190" s="1774">
        <v>0.05</v>
      </c>
    </row>
    <row r="191" spans="1:6" ht="24.75" thickBot="1">
      <c r="A191" s="1768" t="s">
        <v>1402</v>
      </c>
      <c r="B191" s="1772" t="s">
        <v>2125</v>
      </c>
      <c r="C191" s="1782"/>
      <c r="D191" s="1782"/>
      <c r="E191" s="1782"/>
      <c r="F191" s="1774">
        <v>0.05</v>
      </c>
    </row>
    <row r="192" spans="1:6" ht="24.75" thickBot="1">
      <c r="A192" s="1768" t="s">
        <v>1402</v>
      </c>
      <c r="B192" s="1772" t="s">
        <v>2126</v>
      </c>
      <c r="C192" s="1782"/>
      <c r="D192" s="1782"/>
      <c r="E192" s="1782"/>
      <c r="F192" s="1774">
        <v>0.05</v>
      </c>
    </row>
    <row r="193" spans="1:6" ht="24.75" thickBot="1">
      <c r="A193" s="1768" t="s">
        <v>1402</v>
      </c>
      <c r="B193" s="1772" t="s">
        <v>2127</v>
      </c>
      <c r="C193" s="1782"/>
      <c r="D193" s="1782"/>
      <c r="E193" s="1782"/>
      <c r="F193" s="1774">
        <v>0.05</v>
      </c>
    </row>
    <row r="194" spans="1:6" ht="24.75" thickBot="1">
      <c r="A194" s="1768" t="s">
        <v>1402</v>
      </c>
      <c r="B194" s="1772" t="s">
        <v>2128</v>
      </c>
      <c r="C194" s="1782"/>
      <c r="D194" s="1782"/>
      <c r="E194" s="1782"/>
      <c r="F194" s="1774">
        <v>0.05</v>
      </c>
    </row>
    <row r="195" spans="1:6" ht="14.25" thickBot="1">
      <c r="A195" s="1768" t="s">
        <v>1402</v>
      </c>
      <c r="B195" s="1772" t="s">
        <v>2129</v>
      </c>
      <c r="C195" s="1782"/>
      <c r="D195" s="1782"/>
      <c r="E195" s="1782"/>
      <c r="F195" s="1774">
        <v>0.05</v>
      </c>
    </row>
    <row r="196" spans="1:6" ht="24.75" thickBot="1">
      <c r="A196" s="1768" t="s">
        <v>1402</v>
      </c>
      <c r="B196" s="1772" t="s">
        <v>2130</v>
      </c>
      <c r="C196" s="1782"/>
      <c r="D196" s="1782"/>
      <c r="E196" s="1782"/>
      <c r="F196" s="1774">
        <v>0.05</v>
      </c>
    </row>
    <row r="197" spans="1:6" ht="24.75" thickBot="1">
      <c r="A197" s="1768" t="s">
        <v>1402</v>
      </c>
      <c r="B197" s="1772" t="s">
        <v>2131</v>
      </c>
      <c r="C197" s="1782"/>
      <c r="D197" s="1782"/>
      <c r="E197" s="1782"/>
      <c r="F197" s="1774">
        <v>0.05</v>
      </c>
    </row>
    <row r="198" spans="1:6" ht="24.75" thickBot="1">
      <c r="A198" s="1768" t="s">
        <v>1402</v>
      </c>
      <c r="B198" s="1772" t="s">
        <v>2132</v>
      </c>
      <c r="C198" s="1782"/>
      <c r="D198" s="1782"/>
      <c r="E198" s="1782"/>
      <c r="F198" s="1774">
        <v>0.05</v>
      </c>
    </row>
    <row r="199" spans="1:6" ht="24.75" thickBot="1">
      <c r="A199" s="1768" t="s">
        <v>1402</v>
      </c>
      <c r="B199" s="1772" t="s">
        <v>2133</v>
      </c>
      <c r="C199" s="1782"/>
      <c r="D199" s="1782"/>
      <c r="E199" s="1782"/>
      <c r="F199" s="1774">
        <v>0.05</v>
      </c>
    </row>
    <row r="200" spans="1:6" ht="24.75" thickBot="1">
      <c r="A200" s="1768" t="s">
        <v>1402</v>
      </c>
      <c r="B200" s="1772" t="s">
        <v>2134</v>
      </c>
      <c r="C200" s="1782"/>
      <c r="D200" s="1782"/>
      <c r="E200" s="1782"/>
      <c r="F200" s="1774">
        <v>0.05</v>
      </c>
    </row>
    <row r="201" spans="1:6" ht="24.75" thickBot="1">
      <c r="A201" s="1768" t="s">
        <v>1402</v>
      </c>
      <c r="B201" s="1772" t="s">
        <v>2135</v>
      </c>
      <c r="C201" s="1782"/>
      <c r="D201" s="1782"/>
      <c r="E201" s="1782"/>
      <c r="F201" s="1774">
        <v>0.05</v>
      </c>
    </row>
    <row r="202" spans="1:6" ht="24.75" thickBot="1">
      <c r="A202" s="1768" t="s">
        <v>1402</v>
      </c>
      <c r="B202" s="1772" t="s">
        <v>2136</v>
      </c>
      <c r="C202" s="1782"/>
      <c r="D202" s="1782"/>
      <c r="E202" s="1782"/>
      <c r="F202" s="1774">
        <v>0.05</v>
      </c>
    </row>
    <row r="203" spans="1:6" ht="24.75" thickBot="1">
      <c r="A203" s="1768" t="s">
        <v>1402</v>
      </c>
      <c r="B203" s="1772" t="s">
        <v>2137</v>
      </c>
      <c r="C203" s="1782"/>
      <c r="D203" s="1782"/>
      <c r="E203" s="1782"/>
      <c r="F203" s="1774">
        <v>0.05</v>
      </c>
    </row>
    <row r="204" spans="1:6" ht="14.25" thickBot="1">
      <c r="A204" s="1768" t="s">
        <v>1402</v>
      </c>
      <c r="B204" s="1772" t="s">
        <v>2138</v>
      </c>
      <c r="C204" s="1782"/>
      <c r="D204" s="1782"/>
      <c r="E204" s="1782"/>
      <c r="F204" s="1774">
        <v>0.05</v>
      </c>
    </row>
    <row r="205" spans="1:6" ht="14.25" thickBot="1">
      <c r="A205" s="1776" t="s">
        <v>1402</v>
      </c>
      <c r="B205" s="1783" t="s">
        <v>2139</v>
      </c>
      <c r="C205" s="1779"/>
      <c r="D205" s="1779"/>
      <c r="E205" s="1779"/>
      <c r="F205" s="1784">
        <v>0.05</v>
      </c>
    </row>
    <row r="206" spans="1:6" ht="14.25" thickBot="1">
      <c r="A206" s="1768" t="s">
        <v>1404</v>
      </c>
      <c r="B206" s="1769" t="s">
        <v>2140</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2141</v>
      </c>
      <c r="C210" s="1773">
        <v>0.15</v>
      </c>
      <c r="D210" s="1773">
        <v>0.15</v>
      </c>
      <c r="E210" s="1773">
        <v>0.15</v>
      </c>
      <c r="F210" s="1774">
        <v>0.13800000000000001</v>
      </c>
    </row>
    <row r="211" spans="1:6" ht="14.25" thickBot="1">
      <c r="A211" s="1768" t="s">
        <v>1404</v>
      </c>
      <c r="B211" s="1772" t="s">
        <v>2142</v>
      </c>
      <c r="C211" s="1773">
        <v>0.13700000000000001</v>
      </c>
      <c r="D211" s="1773">
        <v>0.13500000000000001</v>
      </c>
      <c r="E211" s="1773">
        <v>0.13600000000000001</v>
      </c>
      <c r="F211" s="1774">
        <v>0.1</v>
      </c>
    </row>
    <row r="212" spans="1:6" ht="14.25" thickBot="1">
      <c r="A212" s="1768" t="s">
        <v>1404</v>
      </c>
      <c r="B212" s="1772" t="s">
        <v>2143</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2144</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2145</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2146</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2147</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2148</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2149</v>
      </c>
      <c r="C231" s="1773">
        <v>0.128</v>
      </c>
      <c r="D231" s="1773">
        <v>0.125</v>
      </c>
      <c r="E231" s="1773">
        <v>0.13200000000000001</v>
      </c>
      <c r="F231" s="1781"/>
    </row>
    <row r="232" spans="1:6" ht="14.25" thickBot="1">
      <c r="A232" s="1768" t="s">
        <v>1404</v>
      </c>
      <c r="B232" s="1772" t="s">
        <v>2150</v>
      </c>
      <c r="C232" s="1773">
        <v>0.14499999999999999</v>
      </c>
      <c r="D232" s="1773">
        <v>0.14399999999999999</v>
      </c>
      <c r="E232" s="1773">
        <v>0.14599999999999999</v>
      </c>
      <c r="F232" s="1774">
        <v>0.13800000000000001</v>
      </c>
    </row>
    <row r="233" spans="1:6" ht="14.25" thickBot="1">
      <c r="A233" s="1768" t="s">
        <v>1404</v>
      </c>
      <c r="B233" s="1772" t="s">
        <v>2151</v>
      </c>
      <c r="C233" s="1773">
        <v>0.14499999999999999</v>
      </c>
      <c r="D233" s="1773">
        <v>0.14299999999999999</v>
      </c>
      <c r="E233" s="1773">
        <v>0.14199999999999999</v>
      </c>
      <c r="F233" s="1781"/>
    </row>
    <row r="234" spans="1:6" ht="14.25" thickBot="1">
      <c r="A234" s="1768" t="s">
        <v>1404</v>
      </c>
      <c r="B234" s="1772" t="s">
        <v>2152</v>
      </c>
      <c r="C234" s="1773">
        <v>0.14000000000000001</v>
      </c>
      <c r="D234" s="1773">
        <v>0.14000000000000001</v>
      </c>
      <c r="E234" s="1773">
        <v>0.14399999999999999</v>
      </c>
      <c r="F234" s="1781"/>
    </row>
    <row r="235" spans="1:6" ht="14.25" thickBot="1">
      <c r="A235" s="1768" t="s">
        <v>1404</v>
      </c>
      <c r="B235" s="1772" t="s">
        <v>2153</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2154</v>
      </c>
      <c r="C237" s="1782"/>
      <c r="D237" s="1782"/>
      <c r="E237" s="1782"/>
      <c r="F237" s="1774">
        <v>0.05</v>
      </c>
    </row>
    <row r="238" spans="1:6" ht="24.75" thickBot="1">
      <c r="A238" s="1768" t="s">
        <v>1404</v>
      </c>
      <c r="B238" s="1772" t="s">
        <v>2155</v>
      </c>
      <c r="C238" s="1782"/>
      <c r="D238" s="1782"/>
      <c r="E238" s="1782"/>
      <c r="F238" s="1774">
        <v>0.05</v>
      </c>
    </row>
    <row r="239" spans="1:6" ht="24.75" thickBot="1">
      <c r="A239" s="1768" t="s">
        <v>1404</v>
      </c>
      <c r="B239" s="1772" t="s">
        <v>2156</v>
      </c>
      <c r="C239" s="1782"/>
      <c r="D239" s="1782"/>
      <c r="E239" s="1782"/>
      <c r="F239" s="1774">
        <v>0.05</v>
      </c>
    </row>
    <row r="240" spans="1:6" ht="24.75" thickBot="1">
      <c r="A240" s="1768" t="s">
        <v>1404</v>
      </c>
      <c r="B240" s="1772" t="s">
        <v>2157</v>
      </c>
      <c r="C240" s="1782"/>
      <c r="D240" s="1782"/>
      <c r="E240" s="1782"/>
      <c r="F240" s="1774">
        <v>0.05</v>
      </c>
    </row>
    <row r="241" spans="1:6" ht="24.75" thickBot="1">
      <c r="A241" s="1768" t="s">
        <v>1404</v>
      </c>
      <c r="B241" s="1772" t="s">
        <v>2158</v>
      </c>
      <c r="C241" s="1782"/>
      <c r="D241" s="1782"/>
      <c r="E241" s="1782"/>
      <c r="F241" s="1774">
        <v>0.05</v>
      </c>
    </row>
    <row r="242" spans="1:6" ht="24.75" thickBot="1">
      <c r="A242" s="1768" t="s">
        <v>1404</v>
      </c>
      <c r="B242" s="1772" t="s">
        <v>2159</v>
      </c>
      <c r="C242" s="1782"/>
      <c r="D242" s="1782"/>
      <c r="E242" s="1782"/>
      <c r="F242" s="1774">
        <v>0.05</v>
      </c>
    </row>
    <row r="243" spans="1:6" ht="24.75" thickBot="1">
      <c r="A243" s="1768" t="s">
        <v>1404</v>
      </c>
      <c r="B243" s="1772" t="s">
        <v>2160</v>
      </c>
      <c r="C243" s="1782"/>
      <c r="D243" s="1782"/>
      <c r="E243" s="1782"/>
      <c r="F243" s="1774">
        <v>0.05</v>
      </c>
    </row>
    <row r="244" spans="1:6" ht="24.75" thickBot="1">
      <c r="A244" s="1776" t="s">
        <v>1404</v>
      </c>
      <c r="B244" s="1783" t="s">
        <v>2161</v>
      </c>
      <c r="C244" s="1779"/>
      <c r="D244" s="1779"/>
      <c r="E244" s="1779"/>
      <c r="F244" s="1784">
        <v>0.05</v>
      </c>
    </row>
    <row r="245" spans="1:6" ht="14.25" thickBot="1">
      <c r="A245" s="1768" t="s">
        <v>1406</v>
      </c>
      <c r="B245" s="1769" t="s">
        <v>2162</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2163</v>
      </c>
      <c r="C247" s="1773">
        <v>0.15</v>
      </c>
      <c r="D247" s="1773">
        <v>0.15</v>
      </c>
      <c r="E247" s="1773">
        <v>0.15</v>
      </c>
      <c r="F247" s="1774">
        <v>0.15</v>
      </c>
    </row>
    <row r="248" spans="1:6" ht="14.25" thickBot="1">
      <c r="A248" s="1768" t="s">
        <v>1406</v>
      </c>
      <c r="B248" s="1772" t="s">
        <v>2164</v>
      </c>
      <c r="C248" s="1773">
        <v>0.15</v>
      </c>
      <c r="D248" s="1773">
        <v>0.15</v>
      </c>
      <c r="E248" s="1773">
        <v>0.15</v>
      </c>
      <c r="F248" s="1774">
        <v>0.14000000000000001</v>
      </c>
    </row>
    <row r="249" spans="1:6" ht="14.25" thickBot="1">
      <c r="A249" s="1768" t="s">
        <v>1406</v>
      </c>
      <c r="B249" s="1772" t="s">
        <v>2165</v>
      </c>
      <c r="C249" s="1773">
        <v>0.15</v>
      </c>
      <c r="D249" s="1773">
        <v>0.14899999999999999</v>
      </c>
      <c r="E249" s="1773">
        <v>0.15</v>
      </c>
      <c r="F249" s="1774">
        <v>0.1</v>
      </c>
    </row>
    <row r="250" spans="1:6" ht="14.25" thickBot="1">
      <c r="A250" s="1768" t="s">
        <v>1406</v>
      </c>
      <c r="B250" s="1772" t="s">
        <v>2166</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2167</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2168</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2169</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2170</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2171</v>
      </c>
      <c r="C273" s="1773">
        <v>0.14199999999999999</v>
      </c>
      <c r="D273" s="1773">
        <v>0.14299999999999999</v>
      </c>
      <c r="E273" s="1773">
        <v>0.15</v>
      </c>
      <c r="F273" s="1774">
        <v>0.1</v>
      </c>
    </row>
    <row r="274" spans="1:6" ht="14.25" thickBot="1">
      <c r="A274" s="1768" t="s">
        <v>1406</v>
      </c>
      <c r="B274" s="1772" t="s">
        <v>2172</v>
      </c>
      <c r="C274" s="1773">
        <v>0.14799999999999999</v>
      </c>
      <c r="D274" s="1773">
        <v>0.14799999999999999</v>
      </c>
      <c r="E274" s="1773">
        <v>0.15</v>
      </c>
      <c r="F274" s="1774">
        <v>6.7000000000000004E-2</v>
      </c>
    </row>
    <row r="275" spans="1:6" ht="14.25" thickBot="1">
      <c r="A275" s="1768" t="s">
        <v>1406</v>
      </c>
      <c r="B275" s="1772" t="s">
        <v>2173</v>
      </c>
      <c r="C275" s="1773">
        <v>0.15</v>
      </c>
      <c r="D275" s="1773">
        <v>0.15</v>
      </c>
      <c r="E275" s="1773">
        <v>0.15</v>
      </c>
      <c r="F275" s="1774">
        <v>0.15</v>
      </c>
    </row>
    <row r="276" spans="1:6" ht="14.25" thickBot="1">
      <c r="A276" s="1768" t="s">
        <v>1406</v>
      </c>
      <c r="B276" s="1772" t="s">
        <v>2174</v>
      </c>
      <c r="C276" s="1773">
        <v>0.14499999999999999</v>
      </c>
      <c r="D276" s="1773">
        <v>0.14299999999999999</v>
      </c>
      <c r="E276" s="1773">
        <v>0.15</v>
      </c>
      <c r="F276" s="1774">
        <v>5.8999999999999997E-2</v>
      </c>
    </row>
    <row r="277" spans="1:6" ht="14.25" thickBot="1">
      <c r="A277" s="1768" t="s">
        <v>1406</v>
      </c>
      <c r="B277" s="1772" t="s">
        <v>2175</v>
      </c>
      <c r="C277" s="1773">
        <v>0.15</v>
      </c>
      <c r="D277" s="1773">
        <v>0.15</v>
      </c>
      <c r="E277" s="1773">
        <v>0.15</v>
      </c>
      <c r="F277" s="1774">
        <v>0.121</v>
      </c>
    </row>
    <row r="278" spans="1:6" ht="14.25" thickBot="1">
      <c r="A278" s="1768" t="s">
        <v>1406</v>
      </c>
      <c r="B278" s="1772" t="s">
        <v>2176</v>
      </c>
      <c r="C278" s="1773">
        <v>0.15</v>
      </c>
      <c r="D278" s="1773">
        <v>0.15</v>
      </c>
      <c r="E278" s="1773">
        <v>0.15</v>
      </c>
      <c r="F278" s="1774">
        <v>0.13800000000000001</v>
      </c>
    </row>
    <row r="279" spans="1:6" ht="24.75" thickBot="1">
      <c r="A279" s="1768" t="s">
        <v>1406</v>
      </c>
      <c r="B279" s="1772" t="s">
        <v>2177</v>
      </c>
      <c r="C279" s="1782"/>
      <c r="D279" s="1782"/>
      <c r="E279" s="1782"/>
      <c r="F279" s="1774">
        <v>0.05</v>
      </c>
    </row>
    <row r="280" spans="1:6" ht="24.75" thickBot="1">
      <c r="A280" s="1768" t="s">
        <v>1406</v>
      </c>
      <c r="B280" s="1772" t="s">
        <v>2178</v>
      </c>
      <c r="C280" s="1782"/>
      <c r="D280" s="1782"/>
      <c r="E280" s="1782"/>
      <c r="F280" s="1774">
        <v>0.05</v>
      </c>
    </row>
    <row r="281" spans="1:6" ht="24.75" thickBot="1">
      <c r="A281" s="1768" t="s">
        <v>1406</v>
      </c>
      <c r="B281" s="1772" t="s">
        <v>2179</v>
      </c>
      <c r="C281" s="1782"/>
      <c r="D281" s="1782"/>
      <c r="E281" s="1782"/>
      <c r="F281" s="1774">
        <v>0.05</v>
      </c>
    </row>
    <row r="282" spans="1:6" ht="24.75" thickBot="1">
      <c r="A282" s="1768" t="s">
        <v>1406</v>
      </c>
      <c r="B282" s="1772" t="s">
        <v>2180</v>
      </c>
      <c r="C282" s="1782"/>
      <c r="D282" s="1782"/>
      <c r="E282" s="1782"/>
      <c r="F282" s="1774">
        <v>0.05</v>
      </c>
    </row>
    <row r="283" spans="1:6" ht="24.75" thickBot="1">
      <c r="A283" s="1768" t="s">
        <v>1406</v>
      </c>
      <c r="B283" s="1772" t="s">
        <v>2181</v>
      </c>
      <c r="C283" s="1782"/>
      <c r="D283" s="1782"/>
      <c r="E283" s="1782"/>
      <c r="F283" s="1774">
        <v>0.05</v>
      </c>
    </row>
    <row r="284" spans="1:6" ht="24.75" thickBot="1">
      <c r="A284" s="1768" t="s">
        <v>1406</v>
      </c>
      <c r="B284" s="1772" t="s">
        <v>2182</v>
      </c>
      <c r="C284" s="1782"/>
      <c r="D284" s="1782"/>
      <c r="E284" s="1782"/>
      <c r="F284" s="1774">
        <v>0.05</v>
      </c>
    </row>
    <row r="285" spans="1:6" ht="24.75" thickBot="1">
      <c r="A285" s="1768" t="s">
        <v>1406</v>
      </c>
      <c r="B285" s="1772" t="s">
        <v>2183</v>
      </c>
      <c r="C285" s="1782"/>
      <c r="D285" s="1782"/>
      <c r="E285" s="1782"/>
      <c r="F285" s="1774">
        <v>0.05</v>
      </c>
    </row>
    <row r="286" spans="1:6" ht="24.75" thickBot="1">
      <c r="A286" s="1768" t="s">
        <v>1406</v>
      </c>
      <c r="B286" s="1772" t="s">
        <v>2184</v>
      </c>
      <c r="C286" s="1782"/>
      <c r="D286" s="1782"/>
      <c r="E286" s="1782"/>
      <c r="F286" s="1774">
        <v>0.05</v>
      </c>
    </row>
    <row r="287" spans="1:6" ht="24.75" thickBot="1">
      <c r="A287" s="1768" t="s">
        <v>1406</v>
      </c>
      <c r="B287" s="1772" t="s">
        <v>2185</v>
      </c>
      <c r="C287" s="1782"/>
      <c r="D287" s="1782"/>
      <c r="E287" s="1782"/>
      <c r="F287" s="1774">
        <v>0.05</v>
      </c>
    </row>
    <row r="288" spans="1:6" ht="24.75" thickBot="1">
      <c r="A288" s="1768" t="s">
        <v>1406</v>
      </c>
      <c r="B288" s="1772" t="s">
        <v>2186</v>
      </c>
      <c r="C288" s="1782"/>
      <c r="D288" s="1782"/>
      <c r="E288" s="1782"/>
      <c r="F288" s="1774">
        <v>0.05</v>
      </c>
    </row>
    <row r="289" spans="1:6" ht="24.75" thickBot="1">
      <c r="A289" s="1776" t="s">
        <v>1406</v>
      </c>
      <c r="B289" s="1783" t="s">
        <v>2187</v>
      </c>
      <c r="C289" s="1779"/>
      <c r="D289" s="1779"/>
      <c r="E289" s="1779"/>
      <c r="F289" s="1784">
        <v>0.05</v>
      </c>
    </row>
    <row r="290" spans="1:6" ht="14.25" thickBot="1">
      <c r="A290" s="1768" t="s">
        <v>1410</v>
      </c>
      <c r="B290" s="1769" t="s">
        <v>2188</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2189</v>
      </c>
      <c r="C292" s="1773">
        <v>0.15</v>
      </c>
      <c r="D292" s="1773">
        <v>0.15</v>
      </c>
      <c r="E292" s="1773">
        <v>0.15</v>
      </c>
      <c r="F292" s="1774">
        <v>0.14699999999999999</v>
      </c>
    </row>
    <row r="293" spans="1:6" ht="14.25" thickBot="1">
      <c r="A293" s="1768" t="s">
        <v>1410</v>
      </c>
      <c r="B293" s="1772" t="s">
        <v>2190</v>
      </c>
      <c r="C293" s="1782"/>
      <c r="D293" s="1782"/>
      <c r="E293" s="1782"/>
      <c r="F293" s="1774">
        <v>0.1</v>
      </c>
    </row>
    <row r="294" spans="1:6" ht="14.25" thickBot="1">
      <c r="A294" s="1768" t="s">
        <v>1410</v>
      </c>
      <c r="B294" s="1772" t="s">
        <v>2191</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2192</v>
      </c>
      <c r="C296" s="1773">
        <v>0.15</v>
      </c>
      <c r="D296" s="1773">
        <v>0.15</v>
      </c>
      <c r="E296" s="1773">
        <v>0.15</v>
      </c>
      <c r="F296" s="1774">
        <v>0.15</v>
      </c>
    </row>
    <row r="297" spans="1:6" ht="14.25" thickBot="1">
      <c r="A297" s="1768" t="s">
        <v>1410</v>
      </c>
      <c r="B297" s="1772" t="s">
        <v>2193</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2194</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2195</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2196</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2197</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2198</v>
      </c>
      <c r="C310" s="1773">
        <v>0.15</v>
      </c>
      <c r="D310" s="1773">
        <v>0.15</v>
      </c>
      <c r="E310" s="1773">
        <v>0.15</v>
      </c>
      <c r="F310" s="1774">
        <v>0.13700000000000001</v>
      </c>
    </row>
    <row r="311" spans="1:6" ht="14.25" thickBot="1">
      <c r="A311" s="1768" t="s">
        <v>1410</v>
      </c>
      <c r="B311" s="1772" t="s">
        <v>2199</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2200</v>
      </c>
      <c r="C313" s="1773">
        <v>0.15</v>
      </c>
      <c r="D313" s="1773">
        <v>0.15</v>
      </c>
      <c r="E313" s="1773">
        <v>0.15</v>
      </c>
      <c r="F313" s="1774">
        <v>0.15</v>
      </c>
    </row>
    <row r="314" spans="1:6" ht="24.75" thickBot="1">
      <c r="A314" s="1768" t="s">
        <v>1410</v>
      </c>
      <c r="B314" s="1772" t="s">
        <v>2201</v>
      </c>
      <c r="C314" s="1782"/>
      <c r="D314" s="1782"/>
      <c r="E314" s="1782"/>
      <c r="F314" s="1774">
        <v>0.05</v>
      </c>
    </row>
    <row r="315" spans="1:6" ht="24.75" thickBot="1">
      <c r="A315" s="1768" t="s">
        <v>1410</v>
      </c>
      <c r="B315" s="1772" t="s">
        <v>2202</v>
      </c>
      <c r="C315" s="1782"/>
      <c r="D315" s="1782"/>
      <c r="E315" s="1782"/>
      <c r="F315" s="1774">
        <v>0.05</v>
      </c>
    </row>
    <row r="316" spans="1:6" ht="24.75" thickBot="1">
      <c r="A316" s="1776" t="s">
        <v>1410</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1098</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1167</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1187</v>
      </c>
      <c r="C328" s="1773">
        <v>0.15</v>
      </c>
      <c r="D328" s="1773">
        <v>0.15</v>
      </c>
      <c r="E328" s="1773">
        <v>0.15</v>
      </c>
      <c r="F328" s="1774">
        <v>0.14099999999999999</v>
      </c>
    </row>
    <row r="329" spans="1:6" ht="14.25" thickBot="1">
      <c r="A329" s="1768" t="s">
        <v>2204</v>
      </c>
      <c r="B329" s="1772" t="s">
        <v>1197</v>
      </c>
      <c r="C329" s="1773">
        <v>0.15</v>
      </c>
      <c r="D329" s="1773">
        <v>0.15</v>
      </c>
      <c r="E329" s="1773">
        <v>0.15</v>
      </c>
      <c r="F329" s="1774">
        <v>0.15</v>
      </c>
    </row>
    <row r="330" spans="1:6" ht="14.25" thickBot="1">
      <c r="A330" s="1768" t="s">
        <v>2204</v>
      </c>
      <c r="B330" s="1772" t="s">
        <v>1207</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1227</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1247</v>
      </c>
      <c r="C334" s="1773">
        <v>0.15</v>
      </c>
      <c r="D334" s="1773">
        <v>0.15</v>
      </c>
      <c r="E334" s="1773">
        <v>0.15</v>
      </c>
      <c r="F334" s="1774">
        <v>0.15</v>
      </c>
    </row>
    <row r="335" spans="1:6" ht="14.25" thickBot="1">
      <c r="A335" s="1768" t="s">
        <v>2204</v>
      </c>
      <c r="B335" s="1772" t="s">
        <v>1257</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1275</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93" t="s">
        <v>2556</v>
      </c>
      <c r="C1" s="3593"/>
      <c r="D1" s="3593"/>
      <c r="E1" s="3593"/>
      <c r="F1" s="3593"/>
      <c r="G1" s="3592" t="s">
        <v>2557</v>
      </c>
      <c r="H1" s="3592"/>
      <c r="I1" s="3592"/>
      <c r="J1" s="3592"/>
      <c r="K1" s="3592"/>
      <c r="L1" s="3592"/>
      <c r="N1" s="3592" t="s">
        <v>2558</v>
      </c>
      <c r="O1" s="3592"/>
      <c r="P1" s="3592"/>
      <c r="Q1" s="3592"/>
      <c r="S1" s="3592" t="s">
        <v>2559</v>
      </c>
      <c r="T1" s="3592"/>
      <c r="U1" s="3592"/>
      <c r="V1" s="3592"/>
      <c r="X1" s="3591" t="s">
        <v>2619</v>
      </c>
      <c r="Y1" s="3592"/>
      <c r="Z1" s="3592"/>
      <c r="AA1" s="3592"/>
      <c r="AB1" s="3592"/>
      <c r="AD1" s="3591" t="s">
        <v>2623</v>
      </c>
      <c r="AE1" s="3592"/>
      <c r="AF1" s="3592"/>
      <c r="AG1" s="3592"/>
      <c r="AH1" s="3592"/>
    </row>
    <row r="2" spans="1:34" s="2864" customFormat="1" ht="14.25" thickBot="1">
      <c r="B2" s="2865" t="s">
        <v>2560</v>
      </c>
      <c r="C2" s="2865" t="s">
        <v>2621</v>
      </c>
      <c r="D2" s="2866" t="s">
        <v>1635</v>
      </c>
      <c r="E2" s="2866" t="s">
        <v>1937</v>
      </c>
      <c r="F2" s="2865" t="s">
        <v>2622</v>
      </c>
      <c r="G2" s="2867"/>
      <c r="I2" s="2865" t="s">
        <v>2922</v>
      </c>
      <c r="J2" s="2866" t="s">
        <v>2924</v>
      </c>
      <c r="K2" s="2866" t="s">
        <v>2925</v>
      </c>
      <c r="L2" s="2865" t="s">
        <v>2926</v>
      </c>
      <c r="N2" s="2865" t="s">
        <v>2560</v>
      </c>
      <c r="O2" s="2866" t="s">
        <v>2923</v>
      </c>
      <c r="P2" s="2866" t="s">
        <v>1937</v>
      </c>
      <c r="Q2" s="2865" t="s">
        <v>2622</v>
      </c>
      <c r="S2" s="2865" t="s">
        <v>2560</v>
      </c>
      <c r="T2" s="2866" t="s">
        <v>2923</v>
      </c>
      <c r="U2" s="2866" t="s">
        <v>1937</v>
      </c>
      <c r="V2" s="2865" t="s">
        <v>2622</v>
      </c>
      <c r="X2" s="2865" t="s">
        <v>2560</v>
      </c>
      <c r="Y2" s="2865" t="s">
        <v>2621</v>
      </c>
      <c r="Z2" s="2866" t="s">
        <v>1635</v>
      </c>
      <c r="AA2" s="2866" t="s">
        <v>1937</v>
      </c>
      <c r="AB2" s="2865" t="s">
        <v>2622</v>
      </c>
      <c r="AD2" s="2865" t="s">
        <v>2560</v>
      </c>
      <c r="AE2" s="2865" t="s">
        <v>2621</v>
      </c>
      <c r="AF2" s="2866" t="s">
        <v>1635</v>
      </c>
      <c r="AG2" s="2866" t="s">
        <v>1937</v>
      </c>
      <c r="AH2" s="2865" t="s">
        <v>2622</v>
      </c>
    </row>
    <row r="3" spans="1:34" s="2874" customFormat="1" ht="14.25">
      <c r="A3" s="2868" t="s">
        <v>2933</v>
      </c>
      <c r="B3" s="2869"/>
      <c r="C3" s="2869"/>
      <c r="D3" s="2870"/>
      <c r="E3" s="2870"/>
      <c r="F3" s="2869"/>
      <c r="G3" s="2871"/>
      <c r="H3" s="2872"/>
      <c r="I3" s="2873">
        <f>ROUND(AVERAGE($I4:$I31),2)</f>
        <v>1.79</v>
      </c>
      <c r="J3" s="2873">
        <f>ROUND(AVERAGE($J4:$J31),2)</f>
        <v>1.2</v>
      </c>
      <c r="K3" s="2873">
        <f>ROUND(AVERAGE($K4:$K31),2)</f>
        <v>1.97</v>
      </c>
      <c r="L3" s="2873">
        <f>ROUND(AVERAGE($L4:$L31),2)</f>
        <v>1.27</v>
      </c>
      <c r="N3" s="2871"/>
      <c r="S3" s="2871"/>
      <c r="W3" s="2875"/>
      <c r="X3" s="2876">
        <f>ROUND(SUMPRODUCT(PRODUCT(1+N3:N$30)),4)</f>
        <v>1.5652999999999999</v>
      </c>
      <c r="Y3" s="2876">
        <f>ROUND(SUMPRODUCT(PRODUCT(1+O3:O$30)),4)</f>
        <v>1.3472</v>
      </c>
      <c r="Z3" s="2876">
        <f t="shared" ref="Z3:Z28" si="0">Y3</f>
        <v>1.3472</v>
      </c>
      <c r="AA3" s="2876">
        <f>ROUND(SUMPRODUCT(PRODUCT(1+P3:P$30)),4)</f>
        <v>1.6335999999999999</v>
      </c>
      <c r="AB3" s="2876">
        <f>ROUND(SUMPRODUCT(PRODUCT(1+Q3:Q$30)),4)</f>
        <v>1.3880999999999999</v>
      </c>
      <c r="AD3" s="2877">
        <f>ROUND(AVERAGE(I3:I$31)/100,4)</f>
        <v>1.7899999999999999E-2</v>
      </c>
      <c r="AE3" s="2877">
        <f>ROUND(AVERAGE(J3:J$31)/100,4)</f>
        <v>1.2E-2</v>
      </c>
      <c r="AF3" s="2877">
        <f t="shared" ref="AF3:AF29" si="1">AE3</f>
        <v>1.2E-2</v>
      </c>
      <c r="AG3" s="2877">
        <f>ROUND(AVERAGE(K3:K$31)/100,4)</f>
        <v>1.9699999999999999E-2</v>
      </c>
      <c r="AH3" s="2877">
        <f>ROUND(AVERAGE(L3:L$31)/100,4)</f>
        <v>1.2699999999999999E-2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2964</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2934</v>
      </c>
      <c r="X5" s="2895">
        <f>ROUND(IF(项目基本情况!B7="出让",SUMPRODUCT(PRODUCT(1+N5:N$31)),SUMPRODUCT(PRODUCT(1+N5:N$30))),4)</f>
        <v>1.5652999999999999</v>
      </c>
      <c r="Y5" s="2895">
        <f>ROUND(IF(项目基本情况!B7="出让",SUMPRODUCT(PRODUCT(1+O5:O$31)),SUMPRODUCT(PRODUCT(1+O5:O$30))),4)</f>
        <v>1.3472</v>
      </c>
      <c r="Z5" s="2895">
        <f t="shared" ref="Z5" si="11">Y5</f>
        <v>1.3472</v>
      </c>
      <c r="AA5" s="2895">
        <f>ROUND(IF(项目基本情况!B7="出让",SUMPRODUCT(PRODUCT(1+P5:P$31)),SUMPRODUCT(PRODUCT(1+P5:P$30))),4)</f>
        <v>1.6335999999999999</v>
      </c>
      <c r="AB5" s="2895">
        <f>ROUND(IF(项目基本情况!B7="出让",SUMPRODUCT(PRODUCT(1+Q5:Q$31)),SUMPRODUCT(PRODUCT(1+Q5:Q$30))),4)</f>
        <v>1.3880999999999999</v>
      </c>
      <c r="AD5" s="2896">
        <f>ROUND(AVERAGE(I5:I$31)/100,4)</f>
        <v>1.7899999999999999E-2</v>
      </c>
      <c r="AE5" s="2896">
        <f>ROUND(AVERAGE(J5:J$31)/100,4)</f>
        <v>1.2E-2</v>
      </c>
      <c r="AF5" s="2896">
        <f t="shared" ref="AF5" si="12">AE5</f>
        <v>1.2E-2</v>
      </c>
      <c r="AG5" s="2896">
        <f>ROUND(AVERAGE(K5:K$31)/100,4)</f>
        <v>1.9699999999999999E-2</v>
      </c>
      <c r="AH5" s="2896">
        <f>ROUND(AVERAGE(L5:L$31)/100,4)</f>
        <v>1.2699999999999999E-2</v>
      </c>
    </row>
    <row r="6" spans="1:34" s="2904" customFormat="1">
      <c r="A6" s="2897" t="s">
        <v>2963</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2</v>
      </c>
      <c r="I6" s="2861">
        <v>0.31</v>
      </c>
      <c r="J6" s="2861">
        <v>-0.78</v>
      </c>
      <c r="K6" s="2861">
        <v>0.5</v>
      </c>
      <c r="L6" s="2862">
        <v>0.47</v>
      </c>
      <c r="M6" s="2885"/>
      <c r="N6" s="2900">
        <f t="shared" ref="N6" si="18">I6/100</f>
        <v>3.0999999999999999E-3</v>
      </c>
      <c r="O6" s="2886">
        <f t="shared" ref="O6" si="19">J6/100</f>
        <v>-7.8000000000000005E-3</v>
      </c>
      <c r="P6" s="2886">
        <f t="shared" ref="P6" si="20">K6/100</f>
        <v>5.0000000000000001E-3</v>
      </c>
      <c r="Q6" s="2886">
        <f t="shared" ref="Q6" si="21">L6/100</f>
        <v>4.6999999999999993E-3</v>
      </c>
      <c r="R6" s="2901"/>
      <c r="S6" s="2902"/>
      <c r="T6" s="2903"/>
      <c r="U6" s="2903"/>
      <c r="V6" s="2903"/>
      <c r="W6" s="2885"/>
      <c r="X6" s="2885">
        <f>ROUND(IF(项目基本情况!B8="出让",SUMPRODUCT(PRODUCT(1+N6:N$31)),SUMPRODUCT(PRODUCT(1+N6:N$30))),4)</f>
        <v>1.5652999999999999</v>
      </c>
      <c r="Y6" s="2885">
        <f>ROUND(IF(项目基本情况!B8="出让",SUMPRODUCT(PRODUCT(1+O6:O$31)),SUMPRODUCT(PRODUCT(1+O6:O$30))),4)</f>
        <v>1.3472</v>
      </c>
      <c r="Z6" s="2885">
        <f t="shared" ref="Z6" si="22">Y6</f>
        <v>1.3472</v>
      </c>
      <c r="AA6" s="2885">
        <f>ROUND(IF(项目基本情况!B8="出让",SUMPRODUCT(PRODUCT(1+P6:P$31)),SUMPRODUCT(PRODUCT(1+P6:P$30))),4)</f>
        <v>1.6335999999999999</v>
      </c>
      <c r="AB6" s="2885">
        <f>ROUND(IF(项目基本情况!B8="出让",SUMPRODUCT(PRODUCT(1+Q6:Q$31)),SUMPRODUCT(PRODUCT(1+Q6:Q$30))),4)</f>
        <v>1.3880999999999999</v>
      </c>
      <c r="AC6" s="2885"/>
      <c r="AD6" s="2886">
        <f>ROUND(AVERAGE(I6:I$31)/100,4)</f>
        <v>1.8599999999999998E-2</v>
      </c>
      <c r="AE6" s="2886">
        <f>ROUND(AVERAGE(J6:J$31)/100,4)</f>
        <v>1.2500000000000001E-2</v>
      </c>
      <c r="AF6" s="2886">
        <f t="shared" ref="AF6" si="23">AE6</f>
        <v>1.2500000000000001E-2</v>
      </c>
      <c r="AG6" s="2886">
        <f>ROUND(AVERAGE(K6:K$31)/100,4)</f>
        <v>2.0400000000000001E-2</v>
      </c>
      <c r="AH6" s="2886">
        <f>ROUND(AVERAGE(L6:L$31)/100,4)</f>
        <v>1.32E-2</v>
      </c>
    </row>
    <row r="7" spans="1:34" s="2904" customFormat="1">
      <c r="A7" s="2897" t="s">
        <v>2961</v>
      </c>
      <c r="B7" s="2898">
        <f t="shared" ref="B7" si="24">B8*(1+N7)</f>
        <v>479.92259063878413</v>
      </c>
      <c r="C7" s="2898">
        <f t="shared" ref="C7" si="25">C8*(1+O7)</f>
        <v>350.02082268341775</v>
      </c>
      <c r="D7" s="2898">
        <f t="shared" ref="D7" si="26">C7</f>
        <v>350.02082268341775</v>
      </c>
      <c r="E7" s="2898">
        <f t="shared" ref="E7" si="27">E8*(1+P7)</f>
        <v>687.42265944181099</v>
      </c>
      <c r="F7" s="2898">
        <f t="shared" ref="F7" si="28">F8*(1+Q7)</f>
        <v>317.63846657708956</v>
      </c>
      <c r="G7" s="2881">
        <v>2020</v>
      </c>
      <c r="H7" s="2899">
        <v>1</v>
      </c>
      <c r="I7" s="2861">
        <v>0.12</v>
      </c>
      <c r="J7" s="2861">
        <v>-0.4</v>
      </c>
      <c r="K7" s="2861">
        <v>0.21</v>
      </c>
      <c r="L7" s="2862">
        <v>0.27</v>
      </c>
      <c r="M7" s="2885"/>
      <c r="N7" s="2900">
        <f t="shared" ref="N7" si="29">I7/100</f>
        <v>1.1999999999999999E-3</v>
      </c>
      <c r="O7" s="2886">
        <f t="shared" ref="O7" si="30">J7/100</f>
        <v>-4.0000000000000001E-3</v>
      </c>
      <c r="P7" s="2886">
        <f t="shared" ref="P7" si="31">K7/100</f>
        <v>2.0999999999999999E-3</v>
      </c>
      <c r="Q7" s="2886">
        <f t="shared" ref="Q7" si="32">L7/100</f>
        <v>2.7000000000000001E-3</v>
      </c>
      <c r="R7" s="2901"/>
      <c r="S7" s="2902">
        <f>B7/B8-1</f>
        <v>1.2000000000000899E-3</v>
      </c>
      <c r="T7" s="2903">
        <f>C7/C8-1</f>
        <v>-4.0000000000000036E-3</v>
      </c>
      <c r="U7" s="2903">
        <f>E7/E8-1</f>
        <v>2.0999999999999908E-3</v>
      </c>
      <c r="V7" s="2903">
        <f>F7/F8-1</f>
        <v>2.6999999999999247E-3</v>
      </c>
      <c r="W7" s="2885"/>
      <c r="X7" s="2885">
        <f>ROUND(IF(项目基本情况!B8="出让",SUMPRODUCT(PRODUCT(1+N7:N$31)),SUMPRODUCT(PRODUCT(1+N7:N$30))),4)</f>
        <v>1.5605</v>
      </c>
      <c r="Y7" s="2885">
        <f>ROUND(IF(项目基本情况!B8="出让",SUMPRODUCT(PRODUCT(1+O7:O$31)),SUMPRODUCT(PRODUCT(1+O7:O$30))),4)</f>
        <v>1.3577999999999999</v>
      </c>
      <c r="Z7" s="2885">
        <f t="shared" ref="Z7" si="33">Y7</f>
        <v>1.3577999999999999</v>
      </c>
      <c r="AA7" s="2885">
        <f>ROUND(IF(项目基本情况!B8="出让",SUMPRODUCT(PRODUCT(1+P7:P$31)),SUMPRODUCT(PRODUCT(1+P7:P$30))),4)</f>
        <v>1.6254999999999999</v>
      </c>
      <c r="AB7" s="2885">
        <f>ROUND(IF(项目基本情况!B8="出让",SUMPRODUCT(PRODUCT(1+Q7:Q$31)),SUMPRODUCT(PRODUCT(1+Q7:Q$30))),4)</f>
        <v>1.3815999999999999</v>
      </c>
      <c r="AC7" s="2885"/>
      <c r="AD7" s="2886">
        <f>ROUND(AVERAGE(I7:I$31)/100,4)</f>
        <v>1.9199999999999998E-2</v>
      </c>
      <c r="AE7" s="2886">
        <f>ROUND(AVERAGE(J7:J$31)/100,4)</f>
        <v>1.3299999999999999E-2</v>
      </c>
      <c r="AF7" s="2886">
        <f t="shared" ref="AF7" si="34">AE7</f>
        <v>1.3299999999999999E-2</v>
      </c>
      <c r="AG7" s="2886">
        <f>ROUND(AVERAGE(K7:K$31)/100,4)</f>
        <v>2.1100000000000001E-2</v>
      </c>
      <c r="AH7" s="2886">
        <f>ROUND(AVERAGE(L7:L$31)/100,4)</f>
        <v>1.3599999999999999E-2</v>
      </c>
    </row>
    <row r="8" spans="1:34" s="2904" customFormat="1">
      <c r="A8" s="2897" t="s">
        <v>2958</v>
      </c>
      <c r="B8" s="2898">
        <f t="shared" ref="B8" si="35">B9*(1+N8)</f>
        <v>479.34737379023579</v>
      </c>
      <c r="C8" s="2898">
        <f t="shared" ref="C8" si="36">C9*(1+O8)</f>
        <v>351.4265287986122</v>
      </c>
      <c r="D8" s="2898">
        <f t="shared" ref="D8" si="37">C8</f>
        <v>351.4265287986122</v>
      </c>
      <c r="E8" s="2898">
        <f t="shared" ref="E8" si="38">E9*(1+P8)</f>
        <v>685.98209703803116</v>
      </c>
      <c r="F8" s="2898">
        <f t="shared" ref="F8" si="39">F9*(1+Q8)</f>
        <v>316.78315206651001</v>
      </c>
      <c r="G8" s="2881">
        <v>2019</v>
      </c>
      <c r="H8" s="2899">
        <v>4</v>
      </c>
      <c r="I8" s="2899">
        <v>0.45</v>
      </c>
      <c r="J8" s="2899">
        <v>-0.12</v>
      </c>
      <c r="K8" s="2899">
        <v>0.54</v>
      </c>
      <c r="L8" s="2905">
        <v>0.48</v>
      </c>
      <c r="M8" s="2885"/>
      <c r="N8" s="2900">
        <f t="shared" ref="N8" si="40">I8/100</f>
        <v>4.5000000000000005E-3</v>
      </c>
      <c r="O8" s="2886">
        <f t="shared" ref="O8" si="41">J8/100</f>
        <v>-1.1999999999999999E-3</v>
      </c>
      <c r="P8" s="2886">
        <f t="shared" ref="P8" si="42">K8/100</f>
        <v>5.4000000000000003E-3</v>
      </c>
      <c r="Q8" s="2886">
        <f t="shared" ref="Q8" si="43">L8/100</f>
        <v>4.7999999999999996E-3</v>
      </c>
      <c r="R8" s="2901"/>
      <c r="S8" s="2902"/>
      <c r="T8" s="2903"/>
      <c r="U8" s="2903"/>
      <c r="V8" s="2903"/>
      <c r="W8" s="2885"/>
      <c r="X8" s="2885">
        <f>ROUND(IF(项目基本情况!B8="出让",SUMPRODUCT(PRODUCT(1+N8:N$31)),SUMPRODUCT(PRODUCT(1+N8:N$30))),4)</f>
        <v>1.5586</v>
      </c>
      <c r="Y8" s="2885">
        <f>ROUND(IF(项目基本情况!B8="出让",SUMPRODUCT(PRODUCT(1+O8:O$31)),SUMPRODUCT(PRODUCT(1+O8:O$30))),4)</f>
        <v>1.3633</v>
      </c>
      <c r="Z8" s="2885">
        <f t="shared" ref="Z8" si="44">Y8</f>
        <v>1.3633</v>
      </c>
      <c r="AA8" s="2885">
        <f>ROUND(IF(项目基本情况!B8="出让",SUMPRODUCT(PRODUCT(1+P8:P$31)),SUMPRODUCT(PRODUCT(1+P8:P$30))),4)</f>
        <v>1.6221000000000001</v>
      </c>
      <c r="AB8" s="2885">
        <f>ROUND(IF(项目基本情况!B8="出让",SUMPRODUCT(PRODUCT(1+Q8:Q$31)),SUMPRODUCT(PRODUCT(1+Q8:Q$30))),4)</f>
        <v>1.3777999999999999</v>
      </c>
      <c r="AC8" s="2885"/>
      <c r="AD8" s="2886">
        <f>ROUND(AVERAGE(I8:I$31)/100,4)</f>
        <v>0.02</v>
      </c>
      <c r="AE8" s="2886">
        <f>ROUND(AVERAGE(J8:J$31)/100,4)</f>
        <v>1.4E-2</v>
      </c>
      <c r="AF8" s="2886">
        <f t="shared" ref="AF8" si="45">AE8</f>
        <v>1.4E-2</v>
      </c>
      <c r="AG8" s="2886">
        <f>ROUND(AVERAGE(K8:K$31)/100,4)</f>
        <v>2.1899999999999999E-2</v>
      </c>
      <c r="AH8" s="2886">
        <f>ROUND(AVERAGE(L8:L$31)/100,4)</f>
        <v>1.4E-2</v>
      </c>
    </row>
    <row r="9" spans="1:34" s="2904" customFormat="1" ht="13.5" thickBot="1">
      <c r="A9" s="2897" t="s">
        <v>2957</v>
      </c>
      <c r="B9" s="2898">
        <f t="shared" ref="B9" si="46">B10*(1+N9)</f>
        <v>477.19997390765138</v>
      </c>
      <c r="C9" s="2898">
        <f t="shared" ref="C9" si="47">C10*(1+O9)</f>
        <v>351.84874729536665</v>
      </c>
      <c r="D9" s="2898">
        <f t="shared" ref="D9" si="48">C9</f>
        <v>351.84874729536665</v>
      </c>
      <c r="E9" s="2898">
        <f t="shared" ref="E9" si="49">E10*(1+P9)</f>
        <v>682.29768951465201</v>
      </c>
      <c r="F9" s="2898">
        <f t="shared" ref="F9" si="50">F10*(1+Q9)</f>
        <v>315.26985675409043</v>
      </c>
      <c r="G9" s="2881">
        <v>2019</v>
      </c>
      <c r="H9" s="2899">
        <v>3</v>
      </c>
      <c r="I9" s="2899">
        <v>0.61</v>
      </c>
      <c r="J9" s="2899">
        <v>0.67</v>
      </c>
      <c r="K9" s="2899">
        <v>0.6</v>
      </c>
      <c r="L9" s="2905">
        <v>1.03</v>
      </c>
      <c r="M9" s="2885"/>
      <c r="N9" s="2900">
        <f t="shared" ref="N9" si="51">I9/100</f>
        <v>6.0999999999999995E-3</v>
      </c>
      <c r="O9" s="2886">
        <f t="shared" ref="O9" si="52">J9/100</f>
        <v>6.7000000000000002E-3</v>
      </c>
      <c r="P9" s="2886">
        <f t="shared" ref="P9" si="53">K9/100</f>
        <v>6.0000000000000001E-3</v>
      </c>
      <c r="Q9" s="2886">
        <f t="shared" ref="Q9" si="54">L9/100</f>
        <v>1.03E-2</v>
      </c>
      <c r="R9" s="2901"/>
      <c r="S9" s="2902"/>
      <c r="T9" s="2903"/>
      <c r="U9" s="2903"/>
      <c r="V9" s="2903"/>
      <c r="W9" s="2885"/>
      <c r="X9" s="2885">
        <f>ROUND(IF(项目基本情况!B8="出让",SUMPRODUCT(PRODUCT(1+N9:N$31)),SUMPRODUCT(PRODUCT(1+N9:N$30))),4)</f>
        <v>1.5516000000000001</v>
      </c>
      <c r="Y9" s="2885">
        <f>ROUND(IF(项目基本情况!B8="出让",SUMPRODUCT(PRODUCT(1+O9:O$31)),SUMPRODUCT(PRODUCT(1+O9:O$30))),4)</f>
        <v>1.3649</v>
      </c>
      <c r="Z9" s="2885">
        <f t="shared" ref="Z9" si="55">Y9</f>
        <v>1.3649</v>
      </c>
      <c r="AA9" s="2885">
        <f>ROUND(IF(项目基本情况!B8="出让",SUMPRODUCT(PRODUCT(1+P9:P$31)),SUMPRODUCT(PRODUCT(1+P9:P$30))),4)</f>
        <v>1.6133999999999999</v>
      </c>
      <c r="AB9" s="2885">
        <f>ROUND(IF(项目基本情况!B8="出让",SUMPRODUCT(PRODUCT(1+Q9:Q$31)),SUMPRODUCT(PRODUCT(1+Q9:Q$30))),4)</f>
        <v>1.3713</v>
      </c>
      <c r="AC9" s="2885"/>
      <c r="AD9" s="2886">
        <f>ROUND(AVERAGE(I9:I$31)/100,4)</f>
        <v>2.07E-2</v>
      </c>
      <c r="AE9" s="2886">
        <f>ROUND(AVERAGE(J9:J$31)/100,4)</f>
        <v>1.47E-2</v>
      </c>
      <c r="AF9" s="2886">
        <f t="shared" ref="AF9" si="56">AE9</f>
        <v>1.47E-2</v>
      </c>
      <c r="AG9" s="2886">
        <f>ROUND(AVERAGE(K9:K$31)/100,4)</f>
        <v>2.2599999999999999E-2</v>
      </c>
      <c r="AH9" s="2886">
        <f>ROUND(AVERAGE(L9:L$31)/100,4)</f>
        <v>1.44E-2</v>
      </c>
    </row>
    <row r="10" spans="1:34" s="2904" customFormat="1">
      <c r="A10" s="2897" t="s">
        <v>2954</v>
      </c>
      <c r="B10" s="2898">
        <f t="shared" ref="B10:B15" si="57">B11*(1+N10)</f>
        <v>474.30670301923408</v>
      </c>
      <c r="C10" s="2898">
        <f t="shared" ref="C10" si="58">C11*(1+O10)</f>
        <v>349.50705005996491</v>
      </c>
      <c r="D10" s="2898">
        <f t="shared" ref="D10" si="59">C10</f>
        <v>349.50705005996491</v>
      </c>
      <c r="E10" s="2898">
        <f t="shared" ref="E10" si="60">E11*(1+P10)</f>
        <v>678.22831959706957</v>
      </c>
      <c r="F10" s="2898">
        <f t="shared" ref="F10" si="61">F11*(1+Q10)</f>
        <v>312.0556832169558</v>
      </c>
      <c r="G10" s="2881">
        <v>2019</v>
      </c>
      <c r="H10" s="2906">
        <v>2</v>
      </c>
      <c r="I10" s="2906">
        <v>1.53</v>
      </c>
      <c r="J10" s="2906">
        <v>1.01</v>
      </c>
      <c r="K10" s="2906">
        <v>1.62</v>
      </c>
      <c r="L10" s="2907">
        <v>1.25</v>
      </c>
      <c r="M10" s="2885"/>
      <c r="N10" s="2900">
        <f t="shared" ref="N10" si="62">I10/100</f>
        <v>1.5300000000000001E-2</v>
      </c>
      <c r="O10" s="2886">
        <f t="shared" ref="O10" si="63">J10/100</f>
        <v>1.01E-2</v>
      </c>
      <c r="P10" s="2886">
        <f t="shared" ref="P10" si="64">K10/100</f>
        <v>1.6200000000000003E-2</v>
      </c>
      <c r="Q10" s="2886">
        <f t="shared" ref="Q10" si="65">L10/100</f>
        <v>1.2500000000000001E-2</v>
      </c>
      <c r="R10" s="2901"/>
      <c r="S10" s="2902"/>
      <c r="T10" s="2903"/>
      <c r="U10" s="2903"/>
      <c r="V10" s="2903"/>
      <c r="W10" s="2885"/>
      <c r="X10" s="2885">
        <f>ROUND(IF(项目基本情况!B8="出让",SUMPRODUCT(PRODUCT(1+N10:N$31)),SUMPRODUCT(PRODUCT(1+N10:N$30))),4)</f>
        <v>1.5422</v>
      </c>
      <c r="Y10" s="2885">
        <f>ROUND(IF(项目基本情况!B8="出让",SUMPRODUCT(PRODUCT(1+O10:O$31)),SUMPRODUCT(PRODUCT(1+O10:O$30))),4)</f>
        <v>1.3557999999999999</v>
      </c>
      <c r="Z10" s="2885">
        <f t="shared" ref="Z10" si="66">Y10</f>
        <v>1.3557999999999999</v>
      </c>
      <c r="AA10" s="2885">
        <f>ROUND(IF(项目基本情况!B8="出让",SUMPRODUCT(PRODUCT(1+P10:P$31)),SUMPRODUCT(PRODUCT(1+P10:P$30))),4)</f>
        <v>1.6036999999999999</v>
      </c>
      <c r="AB10" s="2885">
        <f>ROUND(IF(项目基本情况!B8="出让",SUMPRODUCT(PRODUCT(1+Q10:Q$31)),SUMPRODUCT(PRODUCT(1+Q10:Q$30))),4)</f>
        <v>1.3573</v>
      </c>
      <c r="AC10" s="2885"/>
      <c r="AD10" s="2886">
        <f>ROUND(AVERAGE(I10:I$31)/100,4)</f>
        <v>2.1299999999999999E-2</v>
      </c>
      <c r="AE10" s="2886">
        <f>ROUND(AVERAGE(J10:J$31)/100,4)</f>
        <v>1.4999999999999999E-2</v>
      </c>
      <c r="AF10" s="2886">
        <f t="shared" ref="AF10" si="67">AE10</f>
        <v>1.4999999999999999E-2</v>
      </c>
      <c r="AG10" s="2886">
        <f>ROUND(AVERAGE(K10:K$31)/100,4)</f>
        <v>2.3300000000000001E-2</v>
      </c>
      <c r="AH10" s="2886">
        <f>ROUND(AVERAGE(L10:L$31)/100,4)</f>
        <v>1.46E-2</v>
      </c>
    </row>
    <row r="11" spans="1:34" s="2904" customFormat="1" ht="13.5" thickBot="1">
      <c r="A11" s="2897" t="s">
        <v>2953</v>
      </c>
      <c r="B11" s="2898">
        <f t="shared" si="57"/>
        <v>467.15916775261894</v>
      </c>
      <c r="C11" s="2898">
        <f t="shared" ref="C11" si="68">C12*(1+O11)</f>
        <v>346.01232557169084</v>
      </c>
      <c r="D11" s="2898">
        <f t="shared" ref="D11" si="69">C11</f>
        <v>346.01232557169084</v>
      </c>
      <c r="E11" s="2898">
        <f t="shared" ref="E11" si="70">E12*(1+P11)</f>
        <v>667.41617752122568</v>
      </c>
      <c r="F11" s="2898">
        <f t="shared" ref="F11" si="71">F12*(1+Q11)</f>
        <v>308.20314391798104</v>
      </c>
      <c r="G11" s="2881">
        <v>2019</v>
      </c>
      <c r="H11" s="2899">
        <v>1</v>
      </c>
      <c r="I11" s="2899">
        <v>0.6</v>
      </c>
      <c r="J11" s="2899">
        <v>0.37</v>
      </c>
      <c r="K11" s="2899">
        <v>0.63</v>
      </c>
      <c r="L11" s="2905">
        <v>1.1299999999999999</v>
      </c>
      <c r="M11" s="2885"/>
      <c r="N11" s="2900">
        <f t="shared" ref="N11" si="72">I11/100</f>
        <v>6.0000000000000001E-3</v>
      </c>
      <c r="O11" s="2886">
        <f t="shared" ref="O11" si="73">J11/100</f>
        <v>3.7000000000000002E-3</v>
      </c>
      <c r="P11" s="2886">
        <f t="shared" ref="P11" si="74">K11/100</f>
        <v>6.3E-3</v>
      </c>
      <c r="Q11" s="2886">
        <f t="shared" ref="Q11" si="75">L11/100</f>
        <v>1.1299999999999999E-2</v>
      </c>
      <c r="R11" s="2901"/>
      <c r="S11" s="2902">
        <f>B11/B12-1</f>
        <v>6.0000000000000053E-3</v>
      </c>
      <c r="T11" s="2903">
        <f>C11/C12-1</f>
        <v>3.7000000000000366E-3</v>
      </c>
      <c r="U11" s="2903">
        <f>E11/E12-1</f>
        <v>6.2999999999999723E-3</v>
      </c>
      <c r="V11" s="2903">
        <f>F11/F12-1</f>
        <v>1.1300000000000088E-2</v>
      </c>
      <c r="W11" s="2885"/>
      <c r="X11" s="2885">
        <f>ROUND(IF(项目基本情况!B8="出让",SUMPRODUCT(PRODUCT(1+N11:N$31)),SUMPRODUCT(PRODUCT(1+N11:N$30))),4)</f>
        <v>1.5189999999999999</v>
      </c>
      <c r="Y11" s="2885">
        <f>ROUND(IF(项目基本情况!B8="出让",SUMPRODUCT(PRODUCT(1+O11:O$31)),SUMPRODUCT(PRODUCT(1+O11:O$30))),4)</f>
        <v>1.3423</v>
      </c>
      <c r="Z11" s="2885">
        <f t="shared" ref="Z11" si="76">Y11</f>
        <v>1.3423</v>
      </c>
      <c r="AA11" s="2885">
        <f>ROUND(IF(项目基本情况!B8="出让",SUMPRODUCT(PRODUCT(1+P11:P$31)),SUMPRODUCT(PRODUCT(1+P11:P$30))),4)</f>
        <v>1.5782</v>
      </c>
      <c r="AB11" s="2885">
        <f>ROUND(IF(项目基本情况!B8="出让",SUMPRODUCT(PRODUCT(1+Q11:Q$31)),SUMPRODUCT(PRODUCT(1+Q11:Q$30))),4)</f>
        <v>1.3405</v>
      </c>
      <c r="AC11" s="2885"/>
      <c r="AD11" s="2886">
        <f>ROUND(AVERAGE(I11:I$31)/100,4)</f>
        <v>2.1600000000000001E-2</v>
      </c>
      <c r="AE11" s="2886">
        <f>ROUND(AVERAGE(J11:J$31)/100,4)</f>
        <v>1.5299999999999999E-2</v>
      </c>
      <c r="AF11" s="2886">
        <f t="shared" ref="AF11" si="77">AE11</f>
        <v>1.5299999999999999E-2</v>
      </c>
      <c r="AG11" s="2886">
        <f>ROUND(AVERAGE(K11:K$31)/100,4)</f>
        <v>2.3699999999999999E-2</v>
      </c>
      <c r="AH11" s="2886">
        <f>ROUND(AVERAGE(L11:L$31)/100,4)</f>
        <v>1.47E-2</v>
      </c>
    </row>
    <row r="12" spans="1:34" s="2904" customFormat="1">
      <c r="A12" s="2897" t="s">
        <v>2950</v>
      </c>
      <c r="B12" s="2908">
        <f t="shared" si="57"/>
        <v>464.37293017158942</v>
      </c>
      <c r="C12" s="2908">
        <f t="shared" ref="C12" si="78">C13*(1+O12)</f>
        <v>344.73679941385956</v>
      </c>
      <c r="D12" s="2908">
        <f t="shared" ref="D12" si="79">C12</f>
        <v>344.73679941385956</v>
      </c>
      <c r="E12" s="2908">
        <f t="shared" ref="E12" si="80">E13*(1+P12)</f>
        <v>663.2377795103107</v>
      </c>
      <c r="F12" s="2909">
        <f t="shared" ref="F12" si="81">F13*(1+Q12)</f>
        <v>304.75936311478398</v>
      </c>
      <c r="G12" s="3595">
        <v>2018</v>
      </c>
      <c r="H12" s="2906">
        <v>4</v>
      </c>
      <c r="I12" s="2906">
        <v>0.96</v>
      </c>
      <c r="J12" s="2906">
        <v>1.03</v>
      </c>
      <c r="K12" s="2906">
        <v>0.92</v>
      </c>
      <c r="L12" s="2907">
        <v>1.29</v>
      </c>
      <c r="M12" s="2885"/>
      <c r="N12" s="2900">
        <f t="shared" ref="N12" si="82">I12/100</f>
        <v>9.5999999999999992E-3</v>
      </c>
      <c r="O12" s="2886">
        <f t="shared" ref="O12" si="83">J12/100</f>
        <v>1.03E-2</v>
      </c>
      <c r="P12" s="2886">
        <f t="shared" ref="P12" si="84">K12/100</f>
        <v>9.1999999999999998E-3</v>
      </c>
      <c r="Q12" s="2886">
        <f t="shared" ref="Q12" si="85">L12/100</f>
        <v>1.29E-2</v>
      </c>
      <c r="R12" s="2901"/>
      <c r="S12" s="2910"/>
      <c r="T12" s="2911"/>
      <c r="U12" s="2911"/>
      <c r="V12" s="2911"/>
      <c r="W12" s="2885"/>
      <c r="X12" s="2885">
        <f>ROUND(SUMPRODUCT(PRODUCT(1+N12:N$30)),4)</f>
        <v>1.5099</v>
      </c>
      <c r="Y12" s="2885">
        <f>ROUND(SUMPRODUCT(PRODUCT(1+O12:O$30)),4)</f>
        <v>1.3372999999999999</v>
      </c>
      <c r="Z12" s="2885">
        <f t="shared" ref="Z12" si="86">Y12</f>
        <v>1.3372999999999999</v>
      </c>
      <c r="AA12" s="2885">
        <f>ROUND(SUMPRODUCT(PRODUCT(1+P12:P$30)),4)</f>
        <v>1.5683</v>
      </c>
      <c r="AB12" s="2885">
        <f>ROUND(SUMPRODUCT(PRODUCT(1+Q12:Q$30)),4)</f>
        <v>1.3255999999999999</v>
      </c>
      <c r="AC12" s="2885"/>
      <c r="AD12" s="2886">
        <f>ROUND(AVERAGE(I12:I$31)/100,4)</f>
        <v>2.24E-2</v>
      </c>
      <c r="AE12" s="2886">
        <f>ROUND(AVERAGE(J12:J$31)/100,4)</f>
        <v>1.5800000000000002E-2</v>
      </c>
      <c r="AF12" s="2886">
        <f t="shared" ref="AF12" si="87">AE12</f>
        <v>1.5800000000000002E-2</v>
      </c>
      <c r="AG12" s="2886">
        <f>ROUND(AVERAGE(K12:K$31)/100,4)</f>
        <v>2.4500000000000001E-2</v>
      </c>
      <c r="AH12" s="2886">
        <f>ROUND(AVERAGE(L12:L$31)/100,4)</f>
        <v>1.49E-2</v>
      </c>
    </row>
    <row r="13" spans="1:34" s="2904" customFormat="1" ht="14.45" customHeight="1">
      <c r="A13" s="2897" t="s">
        <v>2943</v>
      </c>
      <c r="B13" s="2898">
        <f t="shared" si="57"/>
        <v>459.95733971036987</v>
      </c>
      <c r="C13" s="2898">
        <f t="shared" ref="C13" si="88">C14*(1+O13)</f>
        <v>341.22221064422405</v>
      </c>
      <c r="D13" s="2898">
        <f t="shared" ref="D13" si="89">C13</f>
        <v>341.22221064422405</v>
      </c>
      <c r="E13" s="2898">
        <f t="shared" ref="E13" si="90">E14*(1+P13)</f>
        <v>657.19161663724799</v>
      </c>
      <c r="F13" s="2898">
        <f t="shared" ref="F13" si="91">F14*(1+Q13)</f>
        <v>300.87803644464805</v>
      </c>
      <c r="G13" s="3595"/>
      <c r="H13" s="2899">
        <v>3</v>
      </c>
      <c r="I13" s="2899">
        <v>1.51</v>
      </c>
      <c r="J13" s="2899">
        <v>1.41</v>
      </c>
      <c r="K13" s="2899">
        <v>1.52</v>
      </c>
      <c r="L13" s="2905">
        <v>1.74</v>
      </c>
      <c r="M13" s="2885"/>
      <c r="N13" s="2900">
        <f t="shared" ref="N13" si="92">I13/100</f>
        <v>1.5100000000000001E-2</v>
      </c>
      <c r="O13" s="2886">
        <f t="shared" ref="O13" si="93">J13/100</f>
        <v>1.41E-2</v>
      </c>
      <c r="P13" s="2886">
        <f t="shared" ref="P13" si="94">K13/100</f>
        <v>1.52E-2</v>
      </c>
      <c r="Q13" s="2886">
        <f t="shared" ref="Q13" si="95">L13/100</f>
        <v>1.7399999999999999E-2</v>
      </c>
      <c r="R13" s="2901"/>
      <c r="S13" s="2900"/>
      <c r="T13" s="2886"/>
      <c r="U13" s="2886"/>
      <c r="V13" s="2886"/>
      <c r="W13" s="2885"/>
      <c r="X13" s="2885">
        <f>ROUND(SUMPRODUCT(PRODUCT(1+N13:N$30)),4)</f>
        <v>1.4956</v>
      </c>
      <c r="Y13" s="2885">
        <f>ROUND(SUMPRODUCT(PRODUCT(1+O13:O$30)),4)</f>
        <v>1.3237000000000001</v>
      </c>
      <c r="Z13" s="2885">
        <f t="shared" ref="Z13" si="96">Y13</f>
        <v>1.3237000000000001</v>
      </c>
      <c r="AA13" s="2885">
        <f>ROUND(SUMPRODUCT(PRODUCT(1+P13:P$30)),4)</f>
        <v>1.554</v>
      </c>
      <c r="AB13" s="2885">
        <f>ROUND(SUMPRODUCT(PRODUCT(1+Q13:Q$30)),4)</f>
        <v>1.3087</v>
      </c>
      <c r="AC13" s="2885"/>
      <c r="AD13" s="2886">
        <f>ROUND(AVERAGE(I13:I$31)/100,4)</f>
        <v>2.3099999999999999E-2</v>
      </c>
      <c r="AE13" s="2886">
        <f>ROUND(AVERAGE(J13:J$31)/100,4)</f>
        <v>1.61E-2</v>
      </c>
      <c r="AF13" s="2886">
        <f t="shared" ref="AF13" si="97">AE13</f>
        <v>1.61E-2</v>
      </c>
      <c r="AG13" s="2886">
        <f>ROUND(AVERAGE(K13:K$31)/100,4)</f>
        <v>2.53E-2</v>
      </c>
      <c r="AH13" s="2886">
        <f>ROUND(AVERAGE(L13:L$31)/100,4)</f>
        <v>1.4999999999999999E-2</v>
      </c>
    </row>
    <row r="14" spans="1:34" s="2904" customFormat="1" ht="14.45" customHeight="1">
      <c r="A14" s="2897" t="s">
        <v>2944</v>
      </c>
      <c r="B14" s="2898">
        <f t="shared" si="57"/>
        <v>453.11529869999993</v>
      </c>
      <c r="C14" s="2898">
        <f t="shared" ref="C14" si="98">C15*(1+O14)</f>
        <v>336.47787264000004</v>
      </c>
      <c r="D14" s="2898">
        <f t="shared" ref="D14" si="99">C14</f>
        <v>336.47787264000004</v>
      </c>
      <c r="E14" s="2898">
        <f t="shared" ref="E14" si="100">E15*(1+P14)</f>
        <v>647.35186823999993</v>
      </c>
      <c r="F14" s="2898">
        <f t="shared" ref="F14" si="101">F15*(1+Q14)</f>
        <v>295.73229452000004</v>
      </c>
      <c r="G14" s="3595"/>
      <c r="H14" s="2912">
        <v>2</v>
      </c>
      <c r="I14" s="2912">
        <v>1.49</v>
      </c>
      <c r="J14" s="2912">
        <v>0.96</v>
      </c>
      <c r="K14" s="2912">
        <v>1.58</v>
      </c>
      <c r="L14" s="2913">
        <v>2.44</v>
      </c>
      <c r="M14" s="2885"/>
      <c r="N14" s="2900">
        <f t="shared" ref="N14" si="102">I14/100</f>
        <v>1.49E-2</v>
      </c>
      <c r="O14" s="2886">
        <f t="shared" ref="O14" si="103">J14/100</f>
        <v>9.5999999999999992E-3</v>
      </c>
      <c r="P14" s="2886">
        <f t="shared" ref="P14" si="104">K14/100</f>
        <v>1.5800000000000002E-2</v>
      </c>
      <c r="Q14" s="2886">
        <f t="shared" ref="Q14" si="105">L14/100</f>
        <v>2.4399999999999998E-2</v>
      </c>
      <c r="R14" s="2901"/>
      <c r="S14" s="2900"/>
      <c r="T14" s="2886"/>
      <c r="U14" s="2886"/>
      <c r="V14" s="2886"/>
      <c r="W14" s="2885"/>
      <c r="X14" s="2885">
        <f>ROUND(SUMPRODUCT(PRODUCT(1+N14:N$30)),4)</f>
        <v>1.4733000000000001</v>
      </c>
      <c r="Y14" s="2885">
        <f>ROUND(SUMPRODUCT(PRODUCT(1+O14:O$30)),4)</f>
        <v>1.3052999999999999</v>
      </c>
      <c r="Z14" s="2885">
        <f t="shared" ref="Z14" si="106">Y14</f>
        <v>1.3052999999999999</v>
      </c>
      <c r="AA14" s="2885">
        <f>ROUND(SUMPRODUCT(PRODUCT(1+P14:P$30)),4)</f>
        <v>1.5306999999999999</v>
      </c>
      <c r="AB14" s="2885">
        <f>ROUND(SUMPRODUCT(PRODUCT(1+Q14:Q$30)),4)</f>
        <v>1.2863</v>
      </c>
      <c r="AC14" s="2885"/>
      <c r="AD14" s="2886">
        <f>ROUND(AVERAGE(I14:I$31)/100,4)</f>
        <v>2.35E-2</v>
      </c>
      <c r="AE14" s="2886">
        <f>ROUND(AVERAGE(J14:J$31)/100,4)</f>
        <v>1.6199999999999999E-2</v>
      </c>
      <c r="AF14" s="2886">
        <f t="shared" ref="AF14" si="107">AE14</f>
        <v>1.6199999999999999E-2</v>
      </c>
      <c r="AG14" s="2886">
        <f>ROUND(AVERAGE(K14:K$31)/100,4)</f>
        <v>2.5899999999999999E-2</v>
      </c>
      <c r="AH14" s="2886">
        <f>ROUND(AVERAGE(L14:L$31)/100,4)</f>
        <v>1.49E-2</v>
      </c>
    </row>
    <row r="15" spans="1:34" s="2904" customFormat="1" ht="15" customHeight="1" thickBot="1">
      <c r="A15" s="2897" t="s">
        <v>2940</v>
      </c>
      <c r="B15" s="2898">
        <f t="shared" si="57"/>
        <v>446.46299999999997</v>
      </c>
      <c r="C15" s="2898">
        <f t="shared" ref="C15" si="108">C16*(1+O15)</f>
        <v>333.27840000000003</v>
      </c>
      <c r="D15" s="2898">
        <f t="shared" ref="D15:D20" si="109">C15</f>
        <v>333.27840000000003</v>
      </c>
      <c r="E15" s="2898">
        <f t="shared" ref="E15" si="110">E16*(1+P15)</f>
        <v>637.28279999999995</v>
      </c>
      <c r="F15" s="2898">
        <f t="shared" ref="F15" si="111">F16*(1+Q15)</f>
        <v>288.68830000000003</v>
      </c>
      <c r="G15" s="3601"/>
      <c r="H15" s="2899">
        <v>1</v>
      </c>
      <c r="I15" s="2899">
        <v>1.7</v>
      </c>
      <c r="J15" s="2899">
        <v>1.92</v>
      </c>
      <c r="K15" s="2899">
        <v>1.64</v>
      </c>
      <c r="L15" s="2905">
        <v>2.0099999999999998</v>
      </c>
      <c r="M15" s="2885"/>
      <c r="N15" s="2900">
        <f t="shared" ref="N15:N20" si="112">I15/100</f>
        <v>1.7000000000000001E-2</v>
      </c>
      <c r="O15" s="2886">
        <f t="shared" ref="O15" si="113">J15/100</f>
        <v>1.9199999999999998E-2</v>
      </c>
      <c r="P15" s="2886">
        <f t="shared" ref="P15" si="114">K15/100</f>
        <v>1.6399999999999998E-2</v>
      </c>
      <c r="Q15" s="2886">
        <f t="shared" ref="Q15" si="115">L15/100</f>
        <v>2.0099999999999996E-2</v>
      </c>
      <c r="R15" s="2901"/>
      <c r="S15" s="2902">
        <f>B15/B16-1</f>
        <v>1.6999999999999904E-2</v>
      </c>
      <c r="T15" s="2903">
        <f>C15/C16-1</f>
        <v>1.9200000000000106E-2</v>
      </c>
      <c r="U15" s="2903">
        <f>E15/E16-1</f>
        <v>1.639999999999997E-2</v>
      </c>
      <c r="V15" s="2903">
        <f>F15/F16-1</f>
        <v>2.0100000000000007E-2</v>
      </c>
      <c r="W15" s="2885"/>
      <c r="X15" s="2885">
        <f>ROUND(SUMPRODUCT(PRODUCT(1+N15:N$30)),4)</f>
        <v>1.4517</v>
      </c>
      <c r="Y15" s="2885">
        <f>ROUND(SUMPRODUCT(PRODUCT(1+O15:O$30)),4)</f>
        <v>1.2928999999999999</v>
      </c>
      <c r="Z15" s="2885">
        <f t="shared" ref="Z15" si="116">Y15</f>
        <v>1.2928999999999999</v>
      </c>
      <c r="AA15" s="2885">
        <f>ROUND(SUMPRODUCT(PRODUCT(1+P15:P$30)),4)</f>
        <v>1.5068999999999999</v>
      </c>
      <c r="AB15" s="2885">
        <f>ROUND(SUMPRODUCT(PRODUCT(1+Q15:Q$30)),4)</f>
        <v>1.2557</v>
      </c>
      <c r="AC15" s="2885"/>
      <c r="AD15" s="2886">
        <f>ROUND(AVERAGE(I15:I$31)/100,4)</f>
        <v>2.4E-2</v>
      </c>
      <c r="AE15" s="2886">
        <f>ROUND(AVERAGE(J15:J$31)/100,4)</f>
        <v>1.66E-2</v>
      </c>
      <c r="AF15" s="2886">
        <f t="shared" ref="AF15" si="117">AE15</f>
        <v>1.66E-2</v>
      </c>
      <c r="AG15" s="2886">
        <f>ROUND(AVERAGE(K15:K$31)/100,4)</f>
        <v>2.6499999999999999E-2</v>
      </c>
      <c r="AH15" s="2886">
        <f>ROUND(AVERAGE(L15:L$31)/100,4)</f>
        <v>1.43E-2</v>
      </c>
    </row>
    <row r="16" spans="1:34">
      <c r="A16" s="2897" t="s">
        <v>2932</v>
      </c>
      <c r="B16" s="2914">
        <v>439</v>
      </c>
      <c r="C16" s="2914">
        <v>327</v>
      </c>
      <c r="D16" s="2914">
        <f t="shared" si="109"/>
        <v>327</v>
      </c>
      <c r="E16" s="2914">
        <v>627</v>
      </c>
      <c r="F16" s="2915">
        <v>283</v>
      </c>
      <c r="G16" s="3600">
        <v>2017</v>
      </c>
      <c r="H16" s="2906">
        <v>4</v>
      </c>
      <c r="I16" s="2906">
        <v>1.71</v>
      </c>
      <c r="J16" s="2906">
        <v>1.78</v>
      </c>
      <c r="K16" s="2906">
        <v>1.71</v>
      </c>
      <c r="L16" s="2907">
        <v>1.43</v>
      </c>
      <c r="N16" s="2916">
        <f t="shared" si="112"/>
        <v>1.7100000000000001E-2</v>
      </c>
      <c r="O16" s="2917">
        <f t="shared" ref="O16" si="118">J16/100</f>
        <v>1.78E-2</v>
      </c>
      <c r="P16" s="2917">
        <f t="shared" ref="P16" si="119">K16/100</f>
        <v>1.7100000000000001E-2</v>
      </c>
      <c r="Q16" s="2917">
        <f t="shared" ref="Q16" si="120">L16/100</f>
        <v>1.43E-2</v>
      </c>
      <c r="R16" s="2901"/>
      <c r="S16" s="2910"/>
      <c r="T16" s="2911"/>
      <c r="U16" s="2911"/>
      <c r="V16" s="2911"/>
      <c r="X16" s="2885">
        <f>ROUND(SUMPRODUCT(PRODUCT(1+N16:N$30)),4)</f>
        <v>1.4274</v>
      </c>
      <c r="Y16" s="2885">
        <f>ROUND(SUMPRODUCT(PRODUCT(1+O16:O$30)),4)</f>
        <v>1.2685</v>
      </c>
      <c r="Z16" s="2885">
        <f t="shared" si="0"/>
        <v>1.2685</v>
      </c>
      <c r="AA16" s="2885">
        <f>ROUND(SUMPRODUCT(PRODUCT(1+P16:P$30)),4)</f>
        <v>1.4825999999999999</v>
      </c>
      <c r="AB16" s="2885">
        <f>ROUND(SUMPRODUCT(PRODUCT(1+Q16:Q$30)),4)</f>
        <v>1.2309000000000001</v>
      </c>
      <c r="AD16" s="2886">
        <f>ROUND(AVERAGE(I16:I$31)/100,4)</f>
        <v>2.4500000000000001E-2</v>
      </c>
      <c r="AE16" s="2886">
        <f>ROUND(AVERAGE(J16:J$31)/100,4)</f>
        <v>1.6500000000000001E-2</v>
      </c>
      <c r="AF16" s="2886">
        <f t="shared" si="1"/>
        <v>1.6500000000000001E-2</v>
      </c>
      <c r="AG16" s="2886">
        <f>ROUND(AVERAGE(K16:K$31)/100,4)</f>
        <v>2.7099999999999999E-2</v>
      </c>
      <c r="AH16" s="2886">
        <f>ROUND(AVERAGE(L16:L$31)/100,4)</f>
        <v>1.3899999999999999E-2</v>
      </c>
    </row>
    <row r="17" spans="1:34" s="2904" customFormat="1" ht="14.45" customHeight="1">
      <c r="A17" s="2897" t="s">
        <v>2935</v>
      </c>
      <c r="B17" s="2898">
        <f t="shared" ref="B17:C19" si="121">B18*(1+N17)</f>
        <v>431.80730811680002</v>
      </c>
      <c r="C17" s="2898">
        <f t="shared" si="121"/>
        <v>320.57880516480003</v>
      </c>
      <c r="D17" s="2898">
        <f t="shared" si="109"/>
        <v>320.57880516480003</v>
      </c>
      <c r="E17" s="2898">
        <f t="shared" ref="E17:F19" si="122">E18*(1+P17)</f>
        <v>615.96110553196797</v>
      </c>
      <c r="F17" s="2898">
        <f t="shared" si="122"/>
        <v>279.46777300108801</v>
      </c>
      <c r="G17" s="3595"/>
      <c r="H17" s="2899">
        <v>3</v>
      </c>
      <c r="I17" s="2899">
        <v>2.98</v>
      </c>
      <c r="J17" s="2899">
        <v>2.11</v>
      </c>
      <c r="K17" s="2899">
        <v>3.24</v>
      </c>
      <c r="L17" s="2905">
        <v>1.72</v>
      </c>
      <c r="M17" s="2885"/>
      <c r="N17" s="2900">
        <f t="shared" si="112"/>
        <v>2.98E-2</v>
      </c>
      <c r="O17" s="2918">
        <f t="shared" ref="O17:O18" si="123">J17/100</f>
        <v>2.1099999999999997E-2</v>
      </c>
      <c r="P17" s="2918">
        <f t="shared" ref="P17:P18" si="124">K17/100</f>
        <v>3.2400000000000005E-2</v>
      </c>
      <c r="Q17" s="2918">
        <f t="shared" ref="Q17:Q18" si="125">L17/100</f>
        <v>1.72E-2</v>
      </c>
      <c r="R17" s="2901"/>
      <c r="S17" s="2900"/>
      <c r="T17" s="2886"/>
      <c r="U17" s="2886"/>
      <c r="V17" s="2886"/>
      <c r="W17" s="2885"/>
      <c r="X17" s="2885">
        <f>ROUND(SUMPRODUCT(PRODUCT(1+N17:N$30)),4)</f>
        <v>1.4034</v>
      </c>
      <c r="Y17" s="2885">
        <f>ROUND(SUMPRODUCT(PRODUCT(1+O17:O$30)),4)</f>
        <v>1.2463</v>
      </c>
      <c r="Z17" s="2885">
        <f t="shared" si="0"/>
        <v>1.2463</v>
      </c>
      <c r="AA17" s="2885">
        <f>ROUND(SUMPRODUCT(PRODUCT(1+P17:P$30)),4)</f>
        <v>1.4577</v>
      </c>
      <c r="AB17" s="2885">
        <f>ROUND(SUMPRODUCT(PRODUCT(1+Q17:Q$30)),4)</f>
        <v>1.2136</v>
      </c>
      <c r="AC17" s="2885"/>
      <c r="AD17" s="2886">
        <f>ROUND(AVERAGE(I17:I$31)/100,4)</f>
        <v>2.4899999999999999E-2</v>
      </c>
      <c r="AE17" s="2886">
        <f>ROUND(AVERAGE(J17:J$31)/100,4)</f>
        <v>1.6400000000000001E-2</v>
      </c>
      <c r="AF17" s="2886">
        <f t="shared" si="1"/>
        <v>1.6400000000000001E-2</v>
      </c>
      <c r="AG17" s="2886">
        <f>ROUND(AVERAGE(K17:K$31)/100,4)</f>
        <v>2.7799999999999998E-2</v>
      </c>
      <c r="AH17" s="2886">
        <f>ROUND(AVERAGE(L17:L$31)/100,4)</f>
        <v>1.3899999999999999E-2</v>
      </c>
    </row>
    <row r="18" spans="1:34" s="2863" customFormat="1" ht="14.45" customHeight="1">
      <c r="A18" s="2897" t="s">
        <v>2561</v>
      </c>
      <c r="B18" s="2898">
        <f t="shared" si="121"/>
        <v>419.31181600000002</v>
      </c>
      <c r="C18" s="2898">
        <f t="shared" si="121"/>
        <v>313.95436800000004</v>
      </c>
      <c r="D18" s="2898">
        <f t="shared" si="109"/>
        <v>313.95436800000004</v>
      </c>
      <c r="E18" s="2898">
        <f t="shared" si="122"/>
        <v>596.63028431999999</v>
      </c>
      <c r="F18" s="2898">
        <f t="shared" si="122"/>
        <v>274.74220703999998</v>
      </c>
      <c r="G18" s="3595"/>
      <c r="H18" s="2912">
        <v>2</v>
      </c>
      <c r="I18" s="2912">
        <v>3.4</v>
      </c>
      <c r="J18" s="2912">
        <v>2</v>
      </c>
      <c r="K18" s="2912">
        <v>3.82</v>
      </c>
      <c r="L18" s="2913">
        <v>1.68</v>
      </c>
      <c r="N18" s="2900">
        <f t="shared" si="112"/>
        <v>3.4000000000000002E-2</v>
      </c>
      <c r="O18" s="2918">
        <f t="shared" si="123"/>
        <v>0.02</v>
      </c>
      <c r="P18" s="2918">
        <f t="shared" si="124"/>
        <v>3.8199999999999998E-2</v>
      </c>
      <c r="Q18" s="2918">
        <f t="shared" si="125"/>
        <v>1.6799999999999999E-2</v>
      </c>
      <c r="S18" s="2900"/>
      <c r="T18" s="2886"/>
      <c r="U18" s="2886"/>
      <c r="V18" s="2886"/>
      <c r="X18" s="2885">
        <f>ROUND(SUMPRODUCT(PRODUCT(1+N18:N$30)),4)</f>
        <v>1.3628</v>
      </c>
      <c r="Y18" s="2885">
        <f>ROUND(SUMPRODUCT(PRODUCT(1+O18:O$30)),4)</f>
        <v>1.2205999999999999</v>
      </c>
      <c r="Z18" s="2885">
        <f t="shared" si="0"/>
        <v>1.2205999999999999</v>
      </c>
      <c r="AA18" s="2885">
        <f>ROUND(SUMPRODUCT(PRODUCT(1+P18:P$30)),4)</f>
        <v>1.4118999999999999</v>
      </c>
      <c r="AB18" s="2885">
        <f>ROUND(SUMPRODUCT(PRODUCT(1+Q18:Q$30)),4)</f>
        <v>1.1930000000000001</v>
      </c>
      <c r="AD18" s="2886">
        <f>ROUND(AVERAGE(I18:I$31)/100,4)</f>
        <v>2.46E-2</v>
      </c>
      <c r="AE18" s="2886">
        <f>ROUND(AVERAGE(J18:J$31)/100,4)</f>
        <v>1.6E-2</v>
      </c>
      <c r="AF18" s="2886">
        <f t="shared" si="1"/>
        <v>1.6E-2</v>
      </c>
      <c r="AG18" s="2886">
        <f>ROUND(AVERAGE(K18:K$31)/100,4)</f>
        <v>2.75E-2</v>
      </c>
      <c r="AH18" s="2886">
        <f>ROUND(AVERAGE(L18:L$31)/100,4)</f>
        <v>1.37E-2</v>
      </c>
    </row>
    <row r="19" spans="1:34" s="2904" customFormat="1" ht="15" customHeight="1" thickBot="1">
      <c r="A19" s="2897" t="s">
        <v>2562</v>
      </c>
      <c r="B19" s="2898">
        <f t="shared" si="121"/>
        <v>405.524</v>
      </c>
      <c r="C19" s="2898">
        <f t="shared" si="121"/>
        <v>307.79840000000002</v>
      </c>
      <c r="D19" s="2898">
        <f t="shared" si="109"/>
        <v>307.79840000000002</v>
      </c>
      <c r="E19" s="2898">
        <f t="shared" si="122"/>
        <v>574.67759999999998</v>
      </c>
      <c r="F19" s="2898">
        <f t="shared" si="122"/>
        <v>270.20280000000002</v>
      </c>
      <c r="G19" s="3601"/>
      <c r="H19" s="2899">
        <v>1</v>
      </c>
      <c r="I19" s="2899">
        <v>3.45</v>
      </c>
      <c r="J19" s="2899">
        <v>1.92</v>
      </c>
      <c r="K19" s="2899">
        <v>3.92</v>
      </c>
      <c r="L19" s="2905">
        <v>1.58</v>
      </c>
      <c r="M19" s="2885"/>
      <c r="N19" s="2902">
        <f t="shared" si="112"/>
        <v>3.4500000000000003E-2</v>
      </c>
      <c r="O19" s="2903">
        <f t="shared" ref="O19" si="126">J19/100</f>
        <v>1.9199999999999998E-2</v>
      </c>
      <c r="P19" s="2903">
        <f t="shared" ref="P19" si="127">K19/100</f>
        <v>3.9199999999999999E-2</v>
      </c>
      <c r="Q19" s="2903">
        <f t="shared" ref="Q19" si="128">L19/100</f>
        <v>1.5800000000000002E-2</v>
      </c>
      <c r="R19" s="2901"/>
      <c r="S19" s="2902">
        <f>B19/B20-1</f>
        <v>3.4499999999999975E-2</v>
      </c>
      <c r="T19" s="2903">
        <f>C19/C20-1</f>
        <v>1.9200000000000106E-2</v>
      </c>
      <c r="U19" s="2903">
        <f>E19/E20-1</f>
        <v>3.9199999999999902E-2</v>
      </c>
      <c r="V19" s="2903">
        <f>F19/F20-1</f>
        <v>1.5800000000000036E-2</v>
      </c>
      <c r="W19" s="2885"/>
      <c r="X19" s="2885">
        <f>ROUND(SUMPRODUCT(PRODUCT(1+N19:N$30)),4)</f>
        <v>1.3180000000000001</v>
      </c>
      <c r="Y19" s="2885">
        <f>ROUND(SUMPRODUCT(PRODUCT(1+O19:O$30)),4)</f>
        <v>1.1966000000000001</v>
      </c>
      <c r="Z19" s="2885">
        <f t="shared" si="0"/>
        <v>1.1966000000000001</v>
      </c>
      <c r="AA19" s="2885">
        <f>ROUND(SUMPRODUCT(PRODUCT(1+P19:P$30)),4)</f>
        <v>1.36</v>
      </c>
      <c r="AB19" s="2885">
        <f>ROUND(SUMPRODUCT(PRODUCT(1+Q19:Q$30)),4)</f>
        <v>1.1733</v>
      </c>
      <c r="AC19" s="2885"/>
      <c r="AD19" s="2886">
        <f>ROUND(AVERAGE(I19:I$31)/100,4)</f>
        <v>2.3900000000000001E-2</v>
      </c>
      <c r="AE19" s="2886">
        <f>ROUND(AVERAGE(J19:J$31)/100,4)</f>
        <v>1.5699999999999999E-2</v>
      </c>
      <c r="AF19" s="2886">
        <f t="shared" si="1"/>
        <v>1.5699999999999999E-2</v>
      </c>
      <c r="AG19" s="2886">
        <f>ROUND(AVERAGE(K19:K$31)/100,4)</f>
        <v>2.6599999999999999E-2</v>
      </c>
      <c r="AH19" s="2886">
        <f>ROUND(AVERAGE(L19:L$31)/100,4)</f>
        <v>1.34E-2</v>
      </c>
    </row>
    <row r="20" spans="1:34">
      <c r="A20" s="2897" t="s">
        <v>961</v>
      </c>
      <c r="B20" s="2919">
        <v>392</v>
      </c>
      <c r="C20" s="2919">
        <v>302</v>
      </c>
      <c r="D20" s="2919">
        <f t="shared" si="109"/>
        <v>302</v>
      </c>
      <c r="E20" s="2919">
        <v>553</v>
      </c>
      <c r="F20" s="2920">
        <v>266</v>
      </c>
      <c r="G20" s="3600">
        <v>2016</v>
      </c>
      <c r="H20" s="2906">
        <v>4</v>
      </c>
      <c r="I20" s="2906">
        <v>4.5599999999999996</v>
      </c>
      <c r="J20" s="2906">
        <v>2.15</v>
      </c>
      <c r="K20" s="2906">
        <v>5.32</v>
      </c>
      <c r="L20" s="2907">
        <v>1.57</v>
      </c>
      <c r="N20" s="2900">
        <f t="shared" si="112"/>
        <v>4.5599999999999995E-2</v>
      </c>
      <c r="O20" s="2886">
        <f t="shared" ref="O20:Q35" si="129">J20/100</f>
        <v>2.1499999999999998E-2</v>
      </c>
      <c r="P20" s="2886">
        <f t="shared" si="129"/>
        <v>5.3200000000000004E-2</v>
      </c>
      <c r="Q20" s="2886">
        <f t="shared" si="129"/>
        <v>1.5700000000000002E-2</v>
      </c>
      <c r="R20" s="2901"/>
      <c r="S20" s="2910"/>
      <c r="T20" s="2911"/>
      <c r="U20" s="2911"/>
      <c r="V20" s="2911"/>
      <c r="X20" s="2885">
        <f>ROUND(SUMPRODUCT(PRODUCT(1+N20:N$30)),4)</f>
        <v>1.274</v>
      </c>
      <c r="Y20" s="2885">
        <f>ROUND(SUMPRODUCT(PRODUCT(1+O20:O$30)),4)</f>
        <v>1.1740999999999999</v>
      </c>
      <c r="Z20" s="2885">
        <f t="shared" si="0"/>
        <v>1.1740999999999999</v>
      </c>
      <c r="AA20" s="2885">
        <f>ROUND(SUMPRODUCT(PRODUCT(1+P20:P$30)),4)</f>
        <v>1.3087</v>
      </c>
      <c r="AB20" s="2885">
        <f>ROUND(SUMPRODUCT(PRODUCT(1+Q20:Q$30)),4)</f>
        <v>1.1551</v>
      </c>
      <c r="AD20" s="2886">
        <f>ROUND(AVERAGE(I20:I$31)/100,4)</f>
        <v>2.3E-2</v>
      </c>
      <c r="AE20" s="2886">
        <f>ROUND(AVERAGE(J20:J$31)/100,4)</f>
        <v>1.55E-2</v>
      </c>
      <c r="AF20" s="2886">
        <f t="shared" si="1"/>
        <v>1.55E-2</v>
      </c>
      <c r="AG20" s="2886">
        <f>ROUND(AVERAGE(K20:K$31)/100,4)</f>
        <v>2.5600000000000001E-2</v>
      </c>
      <c r="AH20" s="2886">
        <f>ROUND(AVERAGE(L20:L$31)/100,4)</f>
        <v>1.32E-2</v>
      </c>
    </row>
    <row r="21" spans="1:34">
      <c r="A21" s="2897" t="s">
        <v>960</v>
      </c>
      <c r="B21" s="2898">
        <f t="shared" ref="B21:C23" si="130">B20/(1+N20)</f>
        <v>374.90436113236416</v>
      </c>
      <c r="C21" s="2898">
        <f t="shared" si="130"/>
        <v>295.64366128242779</v>
      </c>
      <c r="D21" s="2898">
        <f t="shared" ref="D21:D80" si="131">C21</f>
        <v>295.64366128242779</v>
      </c>
      <c r="E21" s="2898">
        <f t="shared" ref="E21:F23" si="132">E20/(1+P20)</f>
        <v>525.06646410938095</v>
      </c>
      <c r="F21" s="2898">
        <f t="shared" si="132"/>
        <v>261.88835286009646</v>
      </c>
      <c r="G21" s="3595"/>
      <c r="H21" s="2899">
        <v>3</v>
      </c>
      <c r="I21" s="2899">
        <v>4.12</v>
      </c>
      <c r="J21" s="2899">
        <v>2</v>
      </c>
      <c r="K21" s="2899">
        <v>4.79</v>
      </c>
      <c r="L21" s="2905">
        <v>1.97</v>
      </c>
      <c r="N21" s="2900">
        <f t="shared" ref="N21:Q55" si="133">I21/100</f>
        <v>4.1200000000000001E-2</v>
      </c>
      <c r="O21" s="2886">
        <f t="shared" si="129"/>
        <v>0.02</v>
      </c>
      <c r="P21" s="2886">
        <f t="shared" si="129"/>
        <v>4.7899999999999998E-2</v>
      </c>
      <c r="Q21" s="2886">
        <f t="shared" si="129"/>
        <v>1.9699999999999999E-2</v>
      </c>
      <c r="R21" s="2901"/>
      <c r="S21" s="2900"/>
      <c r="T21" s="2886"/>
      <c r="U21" s="2886"/>
      <c r="V21" s="2886"/>
      <c r="X21" s="2885">
        <f>ROUND(SUMPRODUCT(PRODUCT(1+N21:N$30)),4)</f>
        <v>1.2184999999999999</v>
      </c>
      <c r="Y21" s="2885">
        <f>ROUND(SUMPRODUCT(PRODUCT(1+O21:O$30)),4)</f>
        <v>1.1494</v>
      </c>
      <c r="Z21" s="2885">
        <f t="shared" si="0"/>
        <v>1.1494</v>
      </c>
      <c r="AA21" s="2885">
        <f>ROUND(SUMPRODUCT(PRODUCT(1+P21:P$30)),4)</f>
        <v>1.2425999999999999</v>
      </c>
      <c r="AB21" s="2885">
        <f>ROUND(SUMPRODUCT(PRODUCT(1+Q21:Q$30)),4)</f>
        <v>1.1372</v>
      </c>
      <c r="AD21" s="2886">
        <f>ROUND(AVERAGE(I21:I$31)/100,4)</f>
        <v>2.0899999999999998E-2</v>
      </c>
      <c r="AE21" s="2886">
        <f>ROUND(AVERAGE(J21:J$31)/100,4)</f>
        <v>1.49E-2</v>
      </c>
      <c r="AF21" s="2886">
        <f t="shared" si="1"/>
        <v>1.49E-2</v>
      </c>
      <c r="AG21" s="2886">
        <f>ROUND(AVERAGE(K21:K$31)/100,4)</f>
        <v>2.3099999999999999E-2</v>
      </c>
      <c r="AH21" s="2886">
        <f>ROUND(AVERAGE(L21:L$31)/100,4)</f>
        <v>1.2999999999999999E-2</v>
      </c>
    </row>
    <row r="22" spans="1:34">
      <c r="A22" s="2897" t="s">
        <v>950</v>
      </c>
      <c r="B22" s="2898">
        <f t="shared" si="130"/>
        <v>360.06949782209392</v>
      </c>
      <c r="C22" s="2898">
        <f t="shared" si="130"/>
        <v>289.84672674747821</v>
      </c>
      <c r="D22" s="2898">
        <f t="shared" si="131"/>
        <v>289.84672674747821</v>
      </c>
      <c r="E22" s="2898">
        <f t="shared" si="132"/>
        <v>501.06543001181495</v>
      </c>
      <c r="F22" s="2898">
        <f t="shared" si="132"/>
        <v>256.82882500744967</v>
      </c>
      <c r="G22" s="3595"/>
      <c r="H22" s="2912">
        <v>2</v>
      </c>
      <c r="I22" s="2912">
        <v>3.85</v>
      </c>
      <c r="J22" s="2912">
        <v>1.95</v>
      </c>
      <c r="K22" s="2912">
        <v>4.4800000000000004</v>
      </c>
      <c r="L22" s="2913">
        <v>1.41</v>
      </c>
      <c r="N22" s="2900">
        <f t="shared" si="133"/>
        <v>3.85E-2</v>
      </c>
      <c r="O22" s="2886">
        <f t="shared" si="129"/>
        <v>1.95E-2</v>
      </c>
      <c r="P22" s="2886">
        <f t="shared" si="129"/>
        <v>4.4800000000000006E-2</v>
      </c>
      <c r="Q22" s="2886">
        <f t="shared" si="129"/>
        <v>1.41E-2</v>
      </c>
      <c r="R22" s="2901"/>
      <c r="S22" s="2900"/>
      <c r="T22" s="2886"/>
      <c r="U22" s="2886"/>
      <c r="V22" s="2886"/>
      <c r="X22" s="2885">
        <f>ROUND(SUMPRODUCT(PRODUCT(1+N22:N$30)),4)</f>
        <v>1.1702999999999999</v>
      </c>
      <c r="Y22" s="2885">
        <f>ROUND(SUMPRODUCT(PRODUCT(1+O22:O$30)),4)</f>
        <v>1.1269</v>
      </c>
      <c r="Z22" s="2885">
        <f t="shared" si="0"/>
        <v>1.1269</v>
      </c>
      <c r="AA22" s="2885">
        <f>ROUND(SUMPRODUCT(PRODUCT(1+P22:P$30)),4)</f>
        <v>1.1858</v>
      </c>
      <c r="AB22" s="2885">
        <f>ROUND(SUMPRODUCT(PRODUCT(1+Q22:Q$30)),4)</f>
        <v>1.1152</v>
      </c>
      <c r="AD22" s="2886">
        <f>ROUND(AVERAGE(I22:I$31)/100,4)</f>
        <v>1.89E-2</v>
      </c>
      <c r="AE22" s="2886">
        <f>ROUND(AVERAGE(J22:J$31)/100,4)</f>
        <v>1.44E-2</v>
      </c>
      <c r="AF22" s="2886">
        <f t="shared" si="1"/>
        <v>1.44E-2</v>
      </c>
      <c r="AG22" s="2886">
        <f>ROUND(AVERAGE(K22:K$31)/100,4)</f>
        <v>2.06E-2</v>
      </c>
      <c r="AH22" s="2886">
        <f>ROUND(AVERAGE(L22:L$31)/100,4)</f>
        <v>1.23E-2</v>
      </c>
    </row>
    <row r="23" spans="1:34" ht="13.5" thickBot="1">
      <c r="A23" s="2897" t="s">
        <v>959</v>
      </c>
      <c r="B23" s="2898">
        <f t="shared" si="130"/>
        <v>346.720748986128</v>
      </c>
      <c r="C23" s="2898">
        <f t="shared" si="130"/>
        <v>284.30282172386285</v>
      </c>
      <c r="D23" s="2898">
        <f t="shared" si="131"/>
        <v>284.30282172386285</v>
      </c>
      <c r="E23" s="2898">
        <f t="shared" si="132"/>
        <v>479.58023546306947</v>
      </c>
      <c r="F23" s="2898">
        <f t="shared" si="132"/>
        <v>253.25788877571213</v>
      </c>
      <c r="G23" s="3596"/>
      <c r="H23" s="2899">
        <v>1</v>
      </c>
      <c r="I23" s="2899">
        <v>4.09</v>
      </c>
      <c r="J23" s="2899">
        <v>2.93</v>
      </c>
      <c r="K23" s="2899">
        <v>4.54</v>
      </c>
      <c r="L23" s="2905">
        <v>1.48</v>
      </c>
      <c r="N23" s="2900">
        <f t="shared" si="133"/>
        <v>4.0899999999999999E-2</v>
      </c>
      <c r="O23" s="2886">
        <f t="shared" si="129"/>
        <v>2.9300000000000003E-2</v>
      </c>
      <c r="P23" s="2886">
        <f t="shared" si="129"/>
        <v>4.5400000000000003E-2</v>
      </c>
      <c r="Q23" s="2886">
        <f t="shared" si="129"/>
        <v>1.4800000000000001E-2</v>
      </c>
      <c r="R23" s="2901"/>
      <c r="S23" s="2902">
        <f>B23/B24-1</f>
        <v>4.1203450408792808E-2</v>
      </c>
      <c r="T23" s="2903">
        <f>C23/C24-1</f>
        <v>2.6363977342465095E-2</v>
      </c>
      <c r="U23" s="2903">
        <f>E23/E24-1</f>
        <v>4.4837114298626357E-2</v>
      </c>
      <c r="V23" s="2903">
        <f>F23/F24-1</f>
        <v>1.7099954922538574E-2</v>
      </c>
      <c r="X23" s="2885">
        <f>ROUND(SUMPRODUCT(PRODUCT(1+N23:N$30)),4)</f>
        <v>1.1269</v>
      </c>
      <c r="Y23" s="2885">
        <f>ROUND(SUMPRODUCT(PRODUCT(1+O23:O$30)),4)</f>
        <v>1.1052999999999999</v>
      </c>
      <c r="Z23" s="2885">
        <f t="shared" si="0"/>
        <v>1.1052999999999999</v>
      </c>
      <c r="AA23" s="2885">
        <f>ROUND(SUMPRODUCT(PRODUCT(1+P23:P$30)),4)</f>
        <v>1.1349</v>
      </c>
      <c r="AB23" s="2885">
        <f>ROUND(SUMPRODUCT(PRODUCT(1+Q23:Q$30)),4)</f>
        <v>1.0996999999999999</v>
      </c>
      <c r="AD23" s="2886">
        <f>ROUND(AVERAGE(I23:I$31)/100,4)</f>
        <v>1.67E-2</v>
      </c>
      <c r="AE23" s="2886">
        <f>ROUND(AVERAGE(J23:J$31)/100,4)</f>
        <v>1.38E-2</v>
      </c>
      <c r="AF23" s="2886">
        <f t="shared" si="1"/>
        <v>1.38E-2</v>
      </c>
      <c r="AG23" s="2886">
        <f>ROUND(AVERAGE(K23:K$31)/100,4)</f>
        <v>1.7899999999999999E-2</v>
      </c>
      <c r="AH23" s="2886">
        <f>ROUND(AVERAGE(L23:L$31)/100,4)</f>
        <v>1.21E-2</v>
      </c>
    </row>
    <row r="24" spans="1:34" ht="13.5" thickBot="1">
      <c r="A24" s="2897" t="s">
        <v>958</v>
      </c>
      <c r="B24" s="2919">
        <v>333</v>
      </c>
      <c r="C24" s="2919">
        <v>277</v>
      </c>
      <c r="D24" s="2919">
        <f t="shared" si="131"/>
        <v>277</v>
      </c>
      <c r="E24" s="2919">
        <v>459</v>
      </c>
      <c r="F24" s="2920">
        <v>249</v>
      </c>
      <c r="G24" s="3594">
        <v>2015</v>
      </c>
      <c r="H24" s="2921">
        <v>4</v>
      </c>
      <c r="I24" s="2921">
        <v>1.63</v>
      </c>
      <c r="J24" s="2921">
        <v>1.1100000000000001</v>
      </c>
      <c r="K24" s="2921">
        <v>1.77</v>
      </c>
      <c r="L24" s="2922">
        <v>1.89</v>
      </c>
      <c r="N24" s="2916">
        <f t="shared" si="133"/>
        <v>1.6299999999999999E-2</v>
      </c>
      <c r="O24" s="2917">
        <f t="shared" si="129"/>
        <v>1.11E-2</v>
      </c>
      <c r="P24" s="2917">
        <f t="shared" si="129"/>
        <v>1.77E-2</v>
      </c>
      <c r="Q24" s="2917">
        <f t="shared" si="129"/>
        <v>1.89E-2</v>
      </c>
      <c r="R24" s="2901"/>
      <c r="X24" s="2885">
        <f>ROUND(SUMPRODUCT(PRODUCT(1+N24:N$30)),4)</f>
        <v>1.0826</v>
      </c>
      <c r="Y24" s="2885">
        <f>ROUND(SUMPRODUCT(PRODUCT(1+O24:O$30)),4)</f>
        <v>1.0738000000000001</v>
      </c>
      <c r="Z24" s="2885">
        <f t="shared" si="0"/>
        <v>1.0738000000000001</v>
      </c>
      <c r="AA24" s="2885">
        <f>ROUND(SUMPRODUCT(PRODUCT(1+P24:P$30)),4)</f>
        <v>1.0855999999999999</v>
      </c>
      <c r="AB24" s="2885">
        <f>ROUND(SUMPRODUCT(PRODUCT(1+Q24:Q$30)),4)</f>
        <v>1.0837000000000001</v>
      </c>
      <c r="AD24" s="2886">
        <f>ROUND(AVERAGE(I24:I$31)/100,4)</f>
        <v>1.37E-2</v>
      </c>
      <c r="AE24" s="2886">
        <f>ROUND(AVERAGE(J24:J$31)/100,4)</f>
        <v>1.1900000000000001E-2</v>
      </c>
      <c r="AF24" s="2886">
        <f t="shared" si="1"/>
        <v>1.1900000000000001E-2</v>
      </c>
      <c r="AG24" s="2886">
        <f>ROUND(AVERAGE(K24:K$31)/100,4)</f>
        <v>1.4500000000000001E-2</v>
      </c>
      <c r="AH24" s="2886">
        <f>ROUND(AVERAGE(L24:L$31)/100,4)</f>
        <v>1.18E-2</v>
      </c>
    </row>
    <row r="25" spans="1:34">
      <c r="A25" s="2897" t="s">
        <v>957</v>
      </c>
      <c r="B25" s="2898">
        <f t="shared" ref="B25:C27" si="134">B24/(1+N24)</f>
        <v>327.65915576109415</v>
      </c>
      <c r="C25" s="2898">
        <f t="shared" si="134"/>
        <v>273.95905449510434</v>
      </c>
      <c r="D25" s="2898">
        <f t="shared" si="131"/>
        <v>273.95905449510434</v>
      </c>
      <c r="E25" s="2898">
        <f t="shared" ref="E25:F27" si="135">E24/(1+P24)</f>
        <v>451.01699911565294</v>
      </c>
      <c r="F25" s="2898">
        <f t="shared" si="135"/>
        <v>244.38119540681129</v>
      </c>
      <c r="G25" s="3595"/>
      <c r="H25" s="2924">
        <v>3</v>
      </c>
      <c r="I25" s="2924">
        <v>1.65</v>
      </c>
      <c r="J25" s="2924">
        <v>0.92</v>
      </c>
      <c r="K25" s="2924">
        <v>1.88</v>
      </c>
      <c r="L25" s="2925">
        <v>1.26</v>
      </c>
      <c r="N25" s="2900">
        <f t="shared" si="133"/>
        <v>1.6500000000000001E-2</v>
      </c>
      <c r="O25" s="2918">
        <f t="shared" si="129"/>
        <v>9.1999999999999998E-3</v>
      </c>
      <c r="P25" s="2918">
        <f t="shared" si="129"/>
        <v>1.8799999999999997E-2</v>
      </c>
      <c r="Q25" s="2918">
        <f t="shared" si="129"/>
        <v>1.26E-2</v>
      </c>
      <c r="R25" s="2901"/>
      <c r="S25" s="2900"/>
      <c r="T25" s="2886"/>
      <c r="U25" s="2886"/>
      <c r="V25" s="2886"/>
      <c r="X25" s="2885">
        <f>ROUND(SUMPRODUCT(PRODUCT(1+N25:N$30)),4)</f>
        <v>1.0651999999999999</v>
      </c>
      <c r="Y25" s="2885">
        <f>ROUND(SUMPRODUCT(PRODUCT(1+O25:O$30)),4)</f>
        <v>1.0621</v>
      </c>
      <c r="Z25" s="2885">
        <f t="shared" si="0"/>
        <v>1.0621</v>
      </c>
      <c r="AA25" s="2885">
        <f>ROUND(SUMPRODUCT(PRODUCT(1+P25:P$30)),4)</f>
        <v>1.0668</v>
      </c>
      <c r="AB25" s="2885">
        <f>ROUND(SUMPRODUCT(PRODUCT(1+Q25:Q$30)),4)</f>
        <v>1.0636000000000001</v>
      </c>
      <c r="AD25" s="2886">
        <f>ROUND(AVERAGE(I25:I$31)/100,4)</f>
        <v>1.3299999999999999E-2</v>
      </c>
      <c r="AE25" s="2886">
        <f>ROUND(AVERAGE(J25:J$31)/100,4)</f>
        <v>1.2E-2</v>
      </c>
      <c r="AF25" s="2886">
        <f t="shared" si="1"/>
        <v>1.2E-2</v>
      </c>
      <c r="AG25" s="2886">
        <f>ROUND(AVERAGE(K25:K$31)/100,4)</f>
        <v>1.4E-2</v>
      </c>
      <c r="AH25" s="2886">
        <f>ROUND(AVERAGE(L25:L$31)/100,4)</f>
        <v>1.0800000000000001E-2</v>
      </c>
    </row>
    <row r="26" spans="1:34">
      <c r="A26" s="2897" t="s">
        <v>956</v>
      </c>
      <c r="B26" s="2898">
        <f t="shared" si="134"/>
        <v>322.34053690220776</v>
      </c>
      <c r="C26" s="2898">
        <f t="shared" si="134"/>
        <v>271.46160770422546</v>
      </c>
      <c r="D26" s="2898">
        <f t="shared" si="131"/>
        <v>271.46160770422546</v>
      </c>
      <c r="E26" s="2898">
        <f t="shared" si="135"/>
        <v>442.69434542172456</v>
      </c>
      <c r="F26" s="2898">
        <f t="shared" si="135"/>
        <v>241.34030753190925</v>
      </c>
      <c r="G26" s="3595"/>
      <c r="H26" s="2912">
        <v>2</v>
      </c>
      <c r="I26" s="2912">
        <v>0.77</v>
      </c>
      <c r="J26" s="2912">
        <v>0.69</v>
      </c>
      <c r="K26" s="2912">
        <v>0.8</v>
      </c>
      <c r="L26" s="2913">
        <v>0.88</v>
      </c>
      <c r="N26" s="2900">
        <f t="shared" si="133"/>
        <v>7.7000000000000002E-3</v>
      </c>
      <c r="O26" s="2918">
        <f t="shared" si="129"/>
        <v>6.8999999999999999E-3</v>
      </c>
      <c r="P26" s="2918">
        <f t="shared" si="129"/>
        <v>8.0000000000000002E-3</v>
      </c>
      <c r="Q26" s="2918">
        <f t="shared" si="129"/>
        <v>8.8000000000000005E-3</v>
      </c>
      <c r="R26" s="2901"/>
      <c r="S26" s="2900"/>
      <c r="T26" s="2886"/>
      <c r="U26" s="2886"/>
      <c r="V26" s="2886"/>
      <c r="X26" s="2885">
        <f>ROUND(SUMPRODUCT(PRODUCT(1+N26:N$30)),4)</f>
        <v>1.048</v>
      </c>
      <c r="Y26" s="2885">
        <f>ROUND(SUMPRODUCT(PRODUCT(1+O26:O$30)),4)</f>
        <v>1.0524</v>
      </c>
      <c r="Z26" s="2885">
        <f t="shared" si="0"/>
        <v>1.0524</v>
      </c>
      <c r="AA26" s="2885">
        <f>ROUND(SUMPRODUCT(PRODUCT(1+P26:P$30)),4)</f>
        <v>1.0470999999999999</v>
      </c>
      <c r="AB26" s="2885">
        <f>ROUND(SUMPRODUCT(PRODUCT(1+Q26:Q$30)),4)</f>
        <v>1.0504</v>
      </c>
      <c r="AD26" s="2886">
        <f>ROUND(AVERAGE(I26:I$31)/100,4)</f>
        <v>1.2800000000000001E-2</v>
      </c>
      <c r="AE26" s="2886">
        <f>ROUND(AVERAGE(J26:J$31)/100,4)</f>
        <v>1.2500000000000001E-2</v>
      </c>
      <c r="AF26" s="2886">
        <f t="shared" si="1"/>
        <v>1.2500000000000001E-2</v>
      </c>
      <c r="AG26" s="2886">
        <f>ROUND(AVERAGE(K26:K$31)/100,4)</f>
        <v>1.32E-2</v>
      </c>
      <c r="AH26" s="2886">
        <f>ROUND(AVERAGE(L26:L$31)/100,4)</f>
        <v>1.0500000000000001E-2</v>
      </c>
    </row>
    <row r="27" spans="1:34">
      <c r="A27" s="2897" t="s">
        <v>955</v>
      </c>
      <c r="B27" s="2898">
        <f t="shared" si="134"/>
        <v>319.87748030386797</v>
      </c>
      <c r="C27" s="2898">
        <f t="shared" si="134"/>
        <v>269.60135833173649</v>
      </c>
      <c r="D27" s="2898">
        <f t="shared" si="131"/>
        <v>269.60135833173649</v>
      </c>
      <c r="E27" s="2898">
        <f t="shared" si="135"/>
        <v>439.18089823583784</v>
      </c>
      <c r="F27" s="2898">
        <f t="shared" si="135"/>
        <v>239.23503918706311</v>
      </c>
      <c r="G27" s="3596"/>
      <c r="H27" s="2899">
        <v>1</v>
      </c>
      <c r="I27" s="2899">
        <v>0.51</v>
      </c>
      <c r="J27" s="2899">
        <v>0.54</v>
      </c>
      <c r="K27" s="2899">
        <v>0.48</v>
      </c>
      <c r="L27" s="2905">
        <v>0.93</v>
      </c>
      <c r="N27" s="2902">
        <f t="shared" si="133"/>
        <v>5.1000000000000004E-3</v>
      </c>
      <c r="O27" s="2903">
        <f t="shared" si="129"/>
        <v>5.4000000000000003E-3</v>
      </c>
      <c r="P27" s="2903">
        <f t="shared" si="129"/>
        <v>4.7999999999999996E-3</v>
      </c>
      <c r="Q27" s="2903">
        <f t="shared" si="129"/>
        <v>9.300000000000001E-3</v>
      </c>
      <c r="R27" s="2901"/>
      <c r="S27" s="2902">
        <f>B27/B28-1</f>
        <v>5.9040261127922822E-3</v>
      </c>
      <c r="T27" s="2903">
        <f>C27/C28-1</f>
        <v>5.9752176557332781E-3</v>
      </c>
      <c r="U27" s="2903">
        <f>E27/E28-1</f>
        <v>4.9906138119859556E-3</v>
      </c>
      <c r="V27" s="2903">
        <f>F27/F28-1</f>
        <v>9.4305450930933787E-3</v>
      </c>
      <c r="X27" s="2885">
        <f>ROUND(SUMPRODUCT(PRODUCT(1+N27:N$30)),4)</f>
        <v>1.0399</v>
      </c>
      <c r="Y27" s="2885">
        <f>ROUND(SUMPRODUCT(PRODUCT(1+O27:O$30)),4)</f>
        <v>1.0451999999999999</v>
      </c>
      <c r="Z27" s="2885">
        <f t="shared" si="0"/>
        <v>1.0451999999999999</v>
      </c>
      <c r="AA27" s="2885">
        <f>ROUND(SUMPRODUCT(PRODUCT(1+P27:P$30)),4)</f>
        <v>1.0387999999999999</v>
      </c>
      <c r="AB27" s="2885">
        <f>ROUND(SUMPRODUCT(PRODUCT(1+Q27:Q$30)),4)</f>
        <v>1.0411999999999999</v>
      </c>
      <c r="AD27" s="2886">
        <f>ROUND(AVERAGE(I27:I$31)/100,4)</f>
        <v>1.38E-2</v>
      </c>
      <c r="AE27" s="2886">
        <f>ROUND(AVERAGE(J27:J$31)/100,4)</f>
        <v>1.3599999999999999E-2</v>
      </c>
      <c r="AF27" s="2886">
        <f t="shared" si="1"/>
        <v>1.3599999999999999E-2</v>
      </c>
      <c r="AG27" s="2886">
        <f>ROUND(AVERAGE(K27:K$31)/100,4)</f>
        <v>1.4200000000000001E-2</v>
      </c>
      <c r="AH27" s="2886">
        <f>ROUND(AVERAGE(L27:L$31)/100,4)</f>
        <v>1.0800000000000001E-2</v>
      </c>
    </row>
    <row r="28" spans="1:34" ht="13.5" thickBot="1">
      <c r="A28" s="2897" t="s">
        <v>954</v>
      </c>
      <c r="B28" s="2926">
        <v>318</v>
      </c>
      <c r="C28" s="2926">
        <v>268</v>
      </c>
      <c r="D28" s="2926">
        <f t="shared" si="131"/>
        <v>268</v>
      </c>
      <c r="E28" s="2926">
        <v>437</v>
      </c>
      <c r="F28" s="2927">
        <v>237</v>
      </c>
      <c r="G28" s="3594">
        <v>2014</v>
      </c>
      <c r="H28" s="2921">
        <v>4</v>
      </c>
      <c r="I28" s="2921">
        <v>0.21</v>
      </c>
      <c r="J28" s="2921">
        <v>0.41</v>
      </c>
      <c r="K28" s="2921">
        <v>0.12</v>
      </c>
      <c r="L28" s="2922">
        <v>0.89</v>
      </c>
      <c r="N28" s="2900">
        <f t="shared" si="133"/>
        <v>2.0999999999999999E-3</v>
      </c>
      <c r="O28" s="2886">
        <f t="shared" si="129"/>
        <v>4.0999999999999995E-3</v>
      </c>
      <c r="P28" s="2886">
        <f t="shared" si="129"/>
        <v>1.1999999999999999E-3</v>
      </c>
      <c r="Q28" s="2886">
        <f t="shared" si="129"/>
        <v>8.8999999999999999E-3</v>
      </c>
      <c r="R28" s="2901"/>
      <c r="S28" s="2910"/>
      <c r="T28" s="2911"/>
      <c r="U28" s="2911"/>
      <c r="V28" s="2911"/>
      <c r="X28" s="2885">
        <f>ROUND(SUMPRODUCT(PRODUCT(1+N28:N$30)),4)</f>
        <v>1.0347</v>
      </c>
      <c r="Y28" s="2885">
        <f>ROUND(SUMPRODUCT(PRODUCT(1+O28:O$30)),4)</f>
        <v>1.0395000000000001</v>
      </c>
      <c r="Z28" s="2885">
        <f t="shared" si="0"/>
        <v>1.0395000000000001</v>
      </c>
      <c r="AA28" s="2885">
        <f>ROUND(SUMPRODUCT(PRODUCT(1+P28:P$30)),4)</f>
        <v>1.0338000000000001</v>
      </c>
      <c r="AB28" s="2885">
        <f>ROUND(SUMPRODUCT(PRODUCT(1+Q28:Q$30)),4)</f>
        <v>1.0316000000000001</v>
      </c>
      <c r="AD28" s="2886">
        <f>ROUND(AVERAGE(I28:I$31)/100,4)</f>
        <v>1.6E-2</v>
      </c>
      <c r="AE28" s="2886">
        <f>ROUND(AVERAGE(J28:J$31)/100,4)</f>
        <v>1.5599999999999999E-2</v>
      </c>
      <c r="AF28" s="2886">
        <f t="shared" si="1"/>
        <v>1.5599999999999999E-2</v>
      </c>
      <c r="AG28" s="2886">
        <f>ROUND(AVERAGE(K28:K$31)/100,4)</f>
        <v>1.66E-2</v>
      </c>
      <c r="AH28" s="2886">
        <f>ROUND(AVERAGE(L28:L$31)/100,4)</f>
        <v>1.12E-2</v>
      </c>
    </row>
    <row r="29" spans="1:34">
      <c r="A29" s="2897" t="s">
        <v>953</v>
      </c>
      <c r="B29" s="2898">
        <f t="shared" ref="B29:C31" si="136">B28/(1+N28)</f>
        <v>317.33359944117353</v>
      </c>
      <c r="C29" s="2898">
        <f t="shared" si="136"/>
        <v>266.90568668459315</v>
      </c>
      <c r="D29" s="2898">
        <f t="shared" si="131"/>
        <v>266.90568668459315</v>
      </c>
      <c r="E29" s="2898">
        <f t="shared" ref="E29:F31" si="137">E28/(1+P28)</f>
        <v>436.47622852576905</v>
      </c>
      <c r="F29" s="2898">
        <f t="shared" si="137"/>
        <v>234.90930716622066</v>
      </c>
      <c r="G29" s="3595"/>
      <c r="H29" s="2928">
        <v>3</v>
      </c>
      <c r="I29" s="2928">
        <v>0.83</v>
      </c>
      <c r="J29" s="2928">
        <v>1.47</v>
      </c>
      <c r="K29" s="2928">
        <v>0.65</v>
      </c>
      <c r="L29" s="2929">
        <v>0.72</v>
      </c>
      <c r="N29" s="2900">
        <f t="shared" si="133"/>
        <v>8.3000000000000001E-3</v>
      </c>
      <c r="O29" s="2886">
        <f t="shared" si="129"/>
        <v>1.47E-2</v>
      </c>
      <c r="P29" s="2886">
        <f t="shared" si="129"/>
        <v>6.5000000000000006E-3</v>
      </c>
      <c r="Q29" s="2886">
        <f t="shared" si="129"/>
        <v>7.1999999999999998E-3</v>
      </c>
      <c r="R29" s="2901"/>
      <c r="S29" s="2900"/>
      <c r="T29" s="2886"/>
      <c r="U29" s="2886"/>
      <c r="V29" s="2886"/>
      <c r="X29" s="2885">
        <f>ROUND(SUMPRODUCT(PRODUCT(1+N29:N$30)),4)</f>
        <v>1.0325</v>
      </c>
      <c r="Y29" s="2885">
        <f>ROUND(SUMPRODUCT(PRODUCT(1+O29:O$30)),4)</f>
        <v>1.0353000000000001</v>
      </c>
      <c r="Z29" s="2885">
        <f t="shared" ref="Z29:Z30" si="138">Y29</f>
        <v>1.0353000000000001</v>
      </c>
      <c r="AA29" s="2885">
        <f>ROUND(SUMPRODUCT(PRODUCT(1+P29:P$30)),4)</f>
        <v>1.0326</v>
      </c>
      <c r="AB29" s="2885">
        <f>ROUND(SUMPRODUCT(PRODUCT(1+Q29:Q$30)),4)</f>
        <v>1.0225</v>
      </c>
      <c r="AD29" s="2886">
        <f>ROUND(AVERAGE(I29:I$31)/100,4)</f>
        <v>2.07E-2</v>
      </c>
      <c r="AE29" s="2886">
        <f>ROUND(AVERAGE(J29:J$31)/100,4)</f>
        <v>1.95E-2</v>
      </c>
      <c r="AF29" s="2886">
        <f t="shared" si="1"/>
        <v>1.95E-2</v>
      </c>
      <c r="AG29" s="2886">
        <f>ROUND(AVERAGE(K29:K$31)/100,4)</f>
        <v>2.1700000000000001E-2</v>
      </c>
      <c r="AH29" s="2886">
        <f>ROUND(AVERAGE(L29:L$31)/100,4)</f>
        <v>1.2E-2</v>
      </c>
    </row>
    <row r="30" spans="1:34" ht="13.5" thickBot="1">
      <c r="A30" s="2897" t="s">
        <v>952</v>
      </c>
      <c r="B30" s="2898">
        <f t="shared" si="136"/>
        <v>314.72141172386546</v>
      </c>
      <c r="C30" s="2898">
        <f t="shared" si="136"/>
        <v>263.03901319069001</v>
      </c>
      <c r="D30" s="2898">
        <f t="shared" si="131"/>
        <v>263.03901319069001</v>
      </c>
      <c r="E30" s="2898">
        <f t="shared" si="137"/>
        <v>433.65745506782821</v>
      </c>
      <c r="F30" s="2898">
        <f t="shared" si="137"/>
        <v>233.23005080045735</v>
      </c>
      <c r="G30" s="3595"/>
      <c r="H30" s="2921">
        <v>2</v>
      </c>
      <c r="I30" s="2921">
        <v>2.4</v>
      </c>
      <c r="J30" s="2921">
        <v>2.0299999999999998</v>
      </c>
      <c r="K30" s="2921">
        <v>2.59</v>
      </c>
      <c r="L30" s="2922">
        <v>1.52</v>
      </c>
      <c r="N30" s="2900">
        <f t="shared" si="133"/>
        <v>2.4E-2</v>
      </c>
      <c r="O30" s="2886">
        <f t="shared" si="129"/>
        <v>2.0299999999999999E-2</v>
      </c>
      <c r="P30" s="2886">
        <f t="shared" si="129"/>
        <v>2.5899999999999999E-2</v>
      </c>
      <c r="Q30" s="2886">
        <f t="shared" si="129"/>
        <v>1.52E-2</v>
      </c>
      <c r="R30" s="2901"/>
      <c r="S30" s="2900"/>
      <c r="T30" s="2886"/>
      <c r="U30" s="2886"/>
      <c r="V30" s="2886"/>
      <c r="X30" s="2885">
        <f>1+N30</f>
        <v>1.024</v>
      </c>
      <c r="Y30" s="2885">
        <f>1+O30</f>
        <v>1.0203</v>
      </c>
      <c r="Z30" s="2885">
        <f t="shared" si="138"/>
        <v>1.0203</v>
      </c>
      <c r="AA30" s="2885">
        <f>1+P30</f>
        <v>1.0259</v>
      </c>
      <c r="AB30" s="2885">
        <f>1+Q30</f>
        <v>1.0152000000000001</v>
      </c>
      <c r="AD30" s="2886">
        <f>ROUND(AVERAGE(I30:I$31)/100,4)</f>
        <v>2.69E-2</v>
      </c>
      <c r="AE30" s="2886">
        <f>ROUND(AVERAGE(J30:J$31)/100,4)</f>
        <v>2.1899999999999999E-2</v>
      </c>
      <c r="AF30" s="2886">
        <f t="shared" ref="AF30" si="139">AE30</f>
        <v>2.1899999999999999E-2</v>
      </c>
      <c r="AG30" s="2886">
        <f>ROUND(AVERAGE(K30:K$31)/100,4)</f>
        <v>2.9399999999999999E-2</v>
      </c>
      <c r="AH30" s="2886">
        <f>ROUND(AVERAGE(L30:L$31)/100,4)</f>
        <v>1.44E-2</v>
      </c>
    </row>
    <row r="31" spans="1:34" s="2934" customFormat="1" ht="13.5" thickBot="1">
      <c r="A31" s="2930" t="s">
        <v>951</v>
      </c>
      <c r="B31" s="2931">
        <f t="shared" si="136"/>
        <v>307.34512863658733</v>
      </c>
      <c r="C31" s="2931">
        <f t="shared" si="136"/>
        <v>257.80556031626975</v>
      </c>
      <c r="D31" s="2931">
        <f t="shared" si="131"/>
        <v>257.80556031626975</v>
      </c>
      <c r="E31" s="2931">
        <f t="shared" si="137"/>
        <v>422.70928459677179</v>
      </c>
      <c r="F31" s="2931">
        <f t="shared" si="137"/>
        <v>229.73803270336617</v>
      </c>
      <c r="G31" s="3596"/>
      <c r="H31" s="2932">
        <v>1</v>
      </c>
      <c r="I31" s="2932">
        <v>2.97</v>
      </c>
      <c r="J31" s="2932">
        <v>2.34</v>
      </c>
      <c r="K31" s="2932">
        <v>3.28</v>
      </c>
      <c r="L31" s="2933">
        <v>1.36</v>
      </c>
      <c r="N31" s="2935">
        <f t="shared" si="133"/>
        <v>2.9700000000000001E-2</v>
      </c>
      <c r="O31" s="2936">
        <f t="shared" si="129"/>
        <v>2.3399999999999997E-2</v>
      </c>
      <c r="P31" s="2936">
        <f t="shared" si="129"/>
        <v>3.2799999999999996E-2</v>
      </c>
      <c r="Q31" s="2936">
        <f t="shared" si="129"/>
        <v>1.3600000000000001E-2</v>
      </c>
      <c r="R31" s="2937"/>
      <c r="S31" s="2938">
        <f>B31/B32-1</f>
        <v>2.7910129219355539E-2</v>
      </c>
      <c r="T31" s="2939">
        <f>C31/C32-1</f>
        <v>2.3037937762975247E-2</v>
      </c>
      <c r="U31" s="2939">
        <f>E31/E32-1</f>
        <v>3.3519033243940788E-2</v>
      </c>
      <c r="V31" s="2939">
        <f>F31/F32-1</f>
        <v>1.2061818076502862E-2</v>
      </c>
      <c r="W31" s="2940" t="s">
        <v>2620</v>
      </c>
      <c r="X31" s="2941">
        <v>1</v>
      </c>
      <c r="Y31" s="2941">
        <v>1</v>
      </c>
      <c r="Z31" s="2941">
        <v>1</v>
      </c>
      <c r="AA31" s="2941">
        <v>1</v>
      </c>
      <c r="AB31" s="2941">
        <v>1</v>
      </c>
      <c r="AD31" s="2936">
        <f>I31/100</f>
        <v>2.9700000000000001E-2</v>
      </c>
      <c r="AE31" s="2936">
        <f>J31/100</f>
        <v>2.3399999999999997E-2</v>
      </c>
      <c r="AF31" s="2936">
        <f>AE31</f>
        <v>2.3399999999999997E-2</v>
      </c>
      <c r="AG31" s="2936">
        <f>K31/100</f>
        <v>3.2799999999999996E-2</v>
      </c>
      <c r="AH31" s="2936">
        <f>L31/100</f>
        <v>1.3600000000000001E-2</v>
      </c>
    </row>
    <row r="32" spans="1:34" ht="13.5" thickBot="1">
      <c r="A32" s="2897" t="s">
        <v>2563</v>
      </c>
      <c r="B32" s="2919">
        <v>299</v>
      </c>
      <c r="C32" s="2919">
        <v>252</v>
      </c>
      <c r="D32" s="2919">
        <f t="shared" si="131"/>
        <v>252</v>
      </c>
      <c r="E32" s="2919">
        <v>409</v>
      </c>
      <c r="F32" s="2920">
        <v>227</v>
      </c>
      <c r="G32" s="3597">
        <v>2013</v>
      </c>
      <c r="H32" s="2942">
        <v>4</v>
      </c>
      <c r="I32" s="2942">
        <v>1.83</v>
      </c>
      <c r="J32" s="2942">
        <v>1.68</v>
      </c>
      <c r="K32" s="2942">
        <v>1.97</v>
      </c>
      <c r="L32" s="2943">
        <v>0.87</v>
      </c>
      <c r="N32" s="2916">
        <f t="shared" si="133"/>
        <v>1.83E-2</v>
      </c>
      <c r="O32" s="2917">
        <f t="shared" si="129"/>
        <v>1.6799999999999999E-2</v>
      </c>
      <c r="P32" s="2917">
        <f t="shared" si="129"/>
        <v>1.9699999999999999E-2</v>
      </c>
      <c r="Q32" s="2917">
        <f t="shared" si="129"/>
        <v>8.6999999999999994E-3</v>
      </c>
      <c r="R32" s="2901"/>
      <c r="S32" s="2910"/>
      <c r="T32" s="2911"/>
      <c r="U32" s="2911"/>
      <c r="V32" s="2911"/>
      <c r="X32" s="2911"/>
      <c r="Y32" s="2911"/>
      <c r="Z32" s="2911"/>
    </row>
    <row r="33" spans="1:26">
      <c r="A33" s="2897" t="s">
        <v>2564</v>
      </c>
      <c r="B33" s="2898">
        <f t="shared" ref="B33:C35" si="140">B32/(1+N32)</f>
        <v>293.62663262299913</v>
      </c>
      <c r="C33" s="2898">
        <f t="shared" si="140"/>
        <v>247.83634933123525</v>
      </c>
      <c r="D33" s="2898">
        <f t="shared" si="131"/>
        <v>247.83634933123525</v>
      </c>
      <c r="E33" s="2898">
        <f t="shared" ref="E33:F35" si="141">E32/(1+P32)</f>
        <v>401.09836226341076</v>
      </c>
      <c r="F33" s="2898">
        <f t="shared" si="141"/>
        <v>225.04213343908003</v>
      </c>
      <c r="G33" s="3598"/>
      <c r="H33" s="2924">
        <v>3</v>
      </c>
      <c r="I33" s="2924">
        <v>1.86</v>
      </c>
      <c r="J33" s="2924">
        <v>1.72</v>
      </c>
      <c r="K33" s="2924">
        <v>1.98</v>
      </c>
      <c r="L33" s="2925">
        <v>0.88</v>
      </c>
      <c r="N33" s="2900">
        <f t="shared" si="133"/>
        <v>1.8600000000000002E-2</v>
      </c>
      <c r="O33" s="2918">
        <f t="shared" si="129"/>
        <v>1.72E-2</v>
      </c>
      <c r="P33" s="2918">
        <f t="shared" si="129"/>
        <v>1.9799999999999998E-2</v>
      </c>
      <c r="Q33" s="2918">
        <f t="shared" si="129"/>
        <v>8.8000000000000005E-3</v>
      </c>
      <c r="R33" s="2901"/>
      <c r="S33" s="2900"/>
      <c r="T33" s="2886"/>
      <c r="U33" s="2886"/>
      <c r="V33" s="2886"/>
    </row>
    <row r="34" spans="1:26">
      <c r="A34" s="2897" t="s">
        <v>2565</v>
      </c>
      <c r="B34" s="2898">
        <f t="shared" si="140"/>
        <v>288.2649053828776</v>
      </c>
      <c r="C34" s="2898">
        <f t="shared" si="140"/>
        <v>243.64564425013293</v>
      </c>
      <c r="D34" s="2898">
        <f t="shared" si="131"/>
        <v>243.64564425013293</v>
      </c>
      <c r="E34" s="2898">
        <f t="shared" si="141"/>
        <v>393.31080825986544</v>
      </c>
      <c r="F34" s="2898">
        <f t="shared" si="141"/>
        <v>223.07903790551154</v>
      </c>
      <c r="G34" s="3598"/>
      <c r="H34" s="2912">
        <v>2</v>
      </c>
      <c r="I34" s="2912">
        <v>2.04</v>
      </c>
      <c r="J34" s="2912">
        <v>2.33</v>
      </c>
      <c r="K34" s="2912">
        <v>2.0699999999999998</v>
      </c>
      <c r="L34" s="2913">
        <v>0.69</v>
      </c>
      <c r="N34" s="2900">
        <f t="shared" si="133"/>
        <v>2.0400000000000001E-2</v>
      </c>
      <c r="O34" s="2918">
        <f t="shared" si="129"/>
        <v>2.3300000000000001E-2</v>
      </c>
      <c r="P34" s="2918">
        <f t="shared" si="129"/>
        <v>2.07E-2</v>
      </c>
      <c r="Q34" s="2918">
        <f t="shared" si="129"/>
        <v>6.8999999999999999E-3</v>
      </c>
      <c r="R34" s="2901"/>
      <c r="S34" s="2900"/>
      <c r="T34" s="2886"/>
      <c r="U34" s="2886"/>
      <c r="V34" s="2886"/>
      <c r="X34" s="2944"/>
      <c r="Y34" s="2945"/>
    </row>
    <row r="35" spans="1:26">
      <c r="A35" s="2897" t="s">
        <v>2566</v>
      </c>
      <c r="B35" s="2898">
        <f t="shared" si="140"/>
        <v>282.50186729015837</v>
      </c>
      <c r="C35" s="2898">
        <f t="shared" si="140"/>
        <v>238.09796174155468</v>
      </c>
      <c r="D35" s="2898">
        <f t="shared" si="131"/>
        <v>238.09796174155468</v>
      </c>
      <c r="E35" s="2898">
        <f t="shared" si="141"/>
        <v>385.33438646014054</v>
      </c>
      <c r="F35" s="2898">
        <f t="shared" si="141"/>
        <v>221.55034055567739</v>
      </c>
      <c r="G35" s="3599"/>
      <c r="H35" s="2899">
        <v>1</v>
      </c>
      <c r="I35" s="2899">
        <v>1.67</v>
      </c>
      <c r="J35" s="2899">
        <v>1.31</v>
      </c>
      <c r="K35" s="2899">
        <v>1.85</v>
      </c>
      <c r="L35" s="2905">
        <v>0.96</v>
      </c>
      <c r="N35" s="2902">
        <f t="shared" si="133"/>
        <v>1.67E-2</v>
      </c>
      <c r="O35" s="2903">
        <f t="shared" si="129"/>
        <v>1.3100000000000001E-2</v>
      </c>
      <c r="P35" s="2903">
        <f t="shared" si="129"/>
        <v>1.8500000000000003E-2</v>
      </c>
      <c r="Q35" s="2903">
        <f t="shared" si="129"/>
        <v>9.5999999999999992E-3</v>
      </c>
      <c r="R35" s="2901"/>
      <c r="S35" s="2902">
        <f>B35/B36-1</f>
        <v>1.6193767230785472E-2</v>
      </c>
      <c r="T35" s="2903">
        <f>C35/C36-1</f>
        <v>1.7512657015190891E-2</v>
      </c>
      <c r="U35" s="2903">
        <f>E35/E36-1</f>
        <v>1.6713420739157048E-2</v>
      </c>
      <c r="V35" s="2903">
        <f>F35/F36-1</f>
        <v>7.0470025258062563E-3</v>
      </c>
      <c r="X35" s="2946"/>
      <c r="Y35" s="2886"/>
      <c r="Z35" s="2886"/>
    </row>
    <row r="36" spans="1:26" ht="13.5" thickBot="1">
      <c r="A36" s="2897" t="s">
        <v>2567</v>
      </c>
      <c r="B36" s="2947">
        <v>278</v>
      </c>
      <c r="C36" s="2947">
        <v>234</v>
      </c>
      <c r="D36" s="2947">
        <f t="shared" si="131"/>
        <v>234</v>
      </c>
      <c r="E36" s="2947">
        <v>379</v>
      </c>
      <c r="F36" s="2948">
        <v>220</v>
      </c>
      <c r="G36" s="3594">
        <v>2012</v>
      </c>
      <c r="H36" s="2921">
        <v>4</v>
      </c>
      <c r="I36" s="2921">
        <v>0.91</v>
      </c>
      <c r="J36" s="2921">
        <v>0.68</v>
      </c>
      <c r="K36" s="2921">
        <v>0.98</v>
      </c>
      <c r="L36" s="2922">
        <v>0.9</v>
      </c>
      <c r="N36" s="2900">
        <f t="shared" si="133"/>
        <v>9.1000000000000004E-3</v>
      </c>
      <c r="O36" s="2886">
        <f t="shared" si="133"/>
        <v>6.8000000000000005E-3</v>
      </c>
      <c r="P36" s="2886">
        <f t="shared" si="133"/>
        <v>9.7999999999999997E-3</v>
      </c>
      <c r="Q36" s="2886">
        <f t="shared" si="133"/>
        <v>9.0000000000000011E-3</v>
      </c>
      <c r="R36" s="2901"/>
      <c r="S36" s="2910"/>
      <c r="T36" s="2911"/>
      <c r="U36" s="2911"/>
      <c r="V36" s="2911"/>
      <c r="X36" s="2911"/>
      <c r="Y36" s="2911"/>
      <c r="Z36" s="2911"/>
    </row>
    <row r="37" spans="1:26">
      <c r="A37" s="2897" t="s">
        <v>2568</v>
      </c>
      <c r="B37" s="2898">
        <f>B36/(1+N36)</f>
        <v>275.49301357645425</v>
      </c>
      <c r="C37" s="2898">
        <f>C36/(1+O36)</f>
        <v>232.41954707985698</v>
      </c>
      <c r="D37" s="2898">
        <f t="shared" si="131"/>
        <v>232.41954707985698</v>
      </c>
      <c r="E37" s="2898">
        <f t="shared" ref="E37:F39" si="142">E36/(1+P36)</f>
        <v>375.32184591008121</v>
      </c>
      <c r="F37" s="2898">
        <f t="shared" si="142"/>
        <v>218.03766105054513</v>
      </c>
      <c r="G37" s="3595"/>
      <c r="H37" s="2924">
        <v>3</v>
      </c>
      <c r="I37" s="2924">
        <v>0.09</v>
      </c>
      <c r="J37" s="2924">
        <v>0.28999999999999998</v>
      </c>
      <c r="K37" s="2924">
        <v>-0.01</v>
      </c>
      <c r="L37" s="2925">
        <v>0.57999999999999996</v>
      </c>
      <c r="N37" s="2900">
        <f t="shared" si="133"/>
        <v>8.9999999999999998E-4</v>
      </c>
      <c r="O37" s="2886">
        <f t="shared" si="133"/>
        <v>2.8999999999999998E-3</v>
      </c>
      <c r="P37" s="2886">
        <f t="shared" si="133"/>
        <v>-1E-4</v>
      </c>
      <c r="Q37" s="2886">
        <f t="shared" si="133"/>
        <v>5.7999999999999996E-3</v>
      </c>
      <c r="R37" s="2901"/>
      <c r="S37" s="2900"/>
      <c r="T37" s="2886"/>
      <c r="U37" s="2886"/>
      <c r="V37" s="2886"/>
    </row>
    <row r="38" spans="1:26">
      <c r="A38" s="2897" t="s">
        <v>2569</v>
      </c>
      <c r="B38" s="2898">
        <f>B37/(1+N37)</f>
        <v>275.24529281292263</v>
      </c>
      <c r="C38" s="2898">
        <f>C37/(1+O37)</f>
        <v>231.74747938962707</v>
      </c>
      <c r="D38" s="2898">
        <f t="shared" si="131"/>
        <v>231.74747938962707</v>
      </c>
      <c r="E38" s="2898">
        <f t="shared" si="142"/>
        <v>375.35938184826603</v>
      </c>
      <c r="F38" s="2898">
        <f t="shared" si="142"/>
        <v>216.78033510692495</v>
      </c>
      <c r="G38" s="3595"/>
      <c r="H38" s="2912">
        <v>2</v>
      </c>
      <c r="I38" s="2912">
        <v>0.02</v>
      </c>
      <c r="J38" s="2912">
        <v>0.12</v>
      </c>
      <c r="K38" s="2912">
        <v>-0.08</v>
      </c>
      <c r="L38" s="2913">
        <v>1.24</v>
      </c>
      <c r="N38" s="2900">
        <f t="shared" si="133"/>
        <v>2.0000000000000001E-4</v>
      </c>
      <c r="O38" s="2886">
        <f t="shared" si="133"/>
        <v>1.1999999999999999E-3</v>
      </c>
      <c r="P38" s="2886">
        <f t="shared" si="133"/>
        <v>-8.0000000000000004E-4</v>
      </c>
      <c r="Q38" s="2886">
        <f t="shared" si="133"/>
        <v>1.24E-2</v>
      </c>
      <c r="R38" s="2901"/>
      <c r="S38" s="2900"/>
      <c r="T38" s="2886"/>
      <c r="U38" s="2886"/>
      <c r="V38" s="2886"/>
    </row>
    <row r="39" spans="1:26" ht="13.5" thickBot="1">
      <c r="A39" s="2897" t="s">
        <v>2570</v>
      </c>
      <c r="B39" s="2898">
        <f>B38/(1+N38)</f>
        <v>275.19025476197027</v>
      </c>
      <c r="C39" s="2949">
        <v>232</v>
      </c>
      <c r="D39" s="2949">
        <f t="shared" si="131"/>
        <v>232</v>
      </c>
      <c r="E39" s="2898">
        <f t="shared" si="142"/>
        <v>375.65990977608692</v>
      </c>
      <c r="F39" s="2898">
        <f t="shared" si="142"/>
        <v>214.12518283971252</v>
      </c>
      <c r="G39" s="3596"/>
      <c r="H39" s="2899">
        <v>1</v>
      </c>
      <c r="I39" s="2899">
        <v>0.02</v>
      </c>
      <c r="J39" s="2899">
        <v>0.13</v>
      </c>
      <c r="K39" s="2899">
        <v>-0.04</v>
      </c>
      <c r="L39" s="2905">
        <v>0.46</v>
      </c>
      <c r="N39" s="2900">
        <f t="shared" si="133"/>
        <v>2.0000000000000001E-4</v>
      </c>
      <c r="O39" s="2886">
        <f t="shared" si="133"/>
        <v>1.2999999999999999E-3</v>
      </c>
      <c r="P39" s="2886">
        <f t="shared" si="133"/>
        <v>-4.0000000000000002E-4</v>
      </c>
      <c r="Q39" s="2886">
        <f t="shared" si="133"/>
        <v>4.5999999999999999E-3</v>
      </c>
      <c r="R39" s="2901"/>
      <c r="S39" s="2902">
        <f>B39/B40-1</f>
        <v>6.9183549807361189E-4</v>
      </c>
      <c r="T39" s="2903">
        <f>C39/C40-1</f>
        <v>0</v>
      </c>
      <c r="U39" s="2903">
        <f>E39/E40-1</f>
        <v>-9.0449527636460303E-4</v>
      </c>
      <c r="V39" s="2903">
        <f>F39/F40-1</f>
        <v>5.2825485432512753E-3</v>
      </c>
      <c r="X39" s="2886"/>
      <c r="Y39" s="2886"/>
      <c r="Z39" s="2886"/>
    </row>
    <row r="40" spans="1:26" ht="13.5" thickBot="1">
      <c r="A40" s="2897" t="s">
        <v>2571</v>
      </c>
      <c r="B40" s="2919">
        <v>275</v>
      </c>
      <c r="C40" s="2919">
        <v>232</v>
      </c>
      <c r="D40" s="2919">
        <f t="shared" si="131"/>
        <v>232</v>
      </c>
      <c r="E40" s="2919">
        <v>376</v>
      </c>
      <c r="F40" s="2920">
        <v>213</v>
      </c>
      <c r="G40" s="3594">
        <v>2011</v>
      </c>
      <c r="H40" s="2921">
        <v>4</v>
      </c>
      <c r="I40" s="2921">
        <v>-0.2</v>
      </c>
      <c r="J40" s="2921">
        <v>0.04</v>
      </c>
      <c r="K40" s="2921">
        <v>-0.34</v>
      </c>
      <c r="L40" s="2922">
        <v>0.46</v>
      </c>
      <c r="N40" s="2916">
        <f t="shared" si="133"/>
        <v>-2E-3</v>
      </c>
      <c r="O40" s="2917">
        <f t="shared" si="133"/>
        <v>4.0000000000000002E-4</v>
      </c>
      <c r="P40" s="2917">
        <f t="shared" si="133"/>
        <v>-3.4000000000000002E-3</v>
      </c>
      <c r="Q40" s="2917">
        <f t="shared" si="133"/>
        <v>4.5999999999999999E-3</v>
      </c>
      <c r="R40" s="2901"/>
      <c r="S40" s="2910"/>
      <c r="T40" s="2911"/>
      <c r="U40" s="2911"/>
      <c r="V40" s="2911"/>
      <c r="X40" s="2911"/>
      <c r="Y40" s="2911"/>
      <c r="Z40" s="2911"/>
    </row>
    <row r="41" spans="1:26">
      <c r="A41" s="2897" t="s">
        <v>2572</v>
      </c>
      <c r="B41" s="2898">
        <f t="shared" ref="B41:C43" si="143">B40/(1+N40)</f>
        <v>275.55110220440883</v>
      </c>
      <c r="C41" s="2898">
        <f t="shared" si="143"/>
        <v>231.90723710515795</v>
      </c>
      <c r="D41" s="2898">
        <f t="shared" si="131"/>
        <v>231.90723710515795</v>
      </c>
      <c r="E41" s="2898">
        <f t="shared" ref="E41:F43" si="144">E40/(1+P40)</f>
        <v>377.28276138872161</v>
      </c>
      <c r="F41" s="2898">
        <f t="shared" si="144"/>
        <v>212.02468644236512</v>
      </c>
      <c r="G41" s="3595">
        <v>2011</v>
      </c>
      <c r="H41" s="2924">
        <v>3</v>
      </c>
      <c r="I41" s="2924">
        <v>0.13</v>
      </c>
      <c r="J41" s="2924">
        <v>0.75</v>
      </c>
      <c r="K41" s="2924">
        <v>-0.08</v>
      </c>
      <c r="L41" s="2925">
        <v>0.53</v>
      </c>
      <c r="N41" s="2900">
        <f t="shared" si="133"/>
        <v>1.2999999999999999E-3</v>
      </c>
      <c r="O41" s="2918">
        <f t="shared" si="133"/>
        <v>7.4999999999999997E-3</v>
      </c>
      <c r="P41" s="2918">
        <f t="shared" si="133"/>
        <v>-8.0000000000000004E-4</v>
      </c>
      <c r="Q41" s="2918">
        <f t="shared" si="133"/>
        <v>5.3E-3</v>
      </c>
      <c r="R41" s="2901"/>
      <c r="S41" s="2900"/>
      <c r="T41" s="2886"/>
      <c r="U41" s="2886"/>
      <c r="V41" s="2886"/>
    </row>
    <row r="42" spans="1:26">
      <c r="A42" s="2897" t="s">
        <v>2573</v>
      </c>
      <c r="B42" s="2898">
        <f t="shared" si="143"/>
        <v>275.19335084830601</v>
      </c>
      <c r="C42" s="2898">
        <f t="shared" si="143"/>
        <v>230.18088050139744</v>
      </c>
      <c r="D42" s="2898">
        <f t="shared" si="131"/>
        <v>230.18088050139744</v>
      </c>
      <c r="E42" s="2898">
        <f t="shared" si="144"/>
        <v>377.58482925212331</v>
      </c>
      <c r="F42" s="2898">
        <f t="shared" si="144"/>
        <v>210.90687997847917</v>
      </c>
      <c r="G42" s="3595">
        <v>2011</v>
      </c>
      <c r="H42" s="2912">
        <v>2</v>
      </c>
      <c r="I42" s="2912">
        <v>-0.4</v>
      </c>
      <c r="J42" s="2912">
        <v>0.17</v>
      </c>
      <c r="K42" s="2912">
        <v>-0.57999999999999996</v>
      </c>
      <c r="L42" s="2913">
        <v>-0.2</v>
      </c>
      <c r="N42" s="2900">
        <f t="shared" si="133"/>
        <v>-4.0000000000000001E-3</v>
      </c>
      <c r="O42" s="2918">
        <f t="shared" si="133"/>
        <v>1.7000000000000001E-3</v>
      </c>
      <c r="P42" s="2918">
        <f t="shared" si="133"/>
        <v>-5.7999999999999996E-3</v>
      </c>
      <c r="Q42" s="2918">
        <f t="shared" si="133"/>
        <v>-2E-3</v>
      </c>
      <c r="R42" s="2901"/>
      <c r="S42" s="2900"/>
      <c r="T42" s="2886"/>
      <c r="U42" s="2886"/>
      <c r="V42" s="2886"/>
    </row>
    <row r="43" spans="1:26" ht="13.5" thickBot="1">
      <c r="A43" s="2897" t="s">
        <v>2574</v>
      </c>
      <c r="B43" s="2898">
        <f t="shared" si="143"/>
        <v>276.29854502841971</v>
      </c>
      <c r="C43" s="2898">
        <f t="shared" si="143"/>
        <v>229.79023709833027</v>
      </c>
      <c r="D43" s="2898">
        <f t="shared" si="131"/>
        <v>229.79023709833027</v>
      </c>
      <c r="E43" s="2898">
        <f t="shared" si="144"/>
        <v>379.78759731655936</v>
      </c>
      <c r="F43" s="2898">
        <f t="shared" si="144"/>
        <v>211.32953905659235</v>
      </c>
      <c r="G43" s="3596">
        <v>2011</v>
      </c>
      <c r="H43" s="2899">
        <v>1</v>
      </c>
      <c r="I43" s="2899">
        <v>2.65</v>
      </c>
      <c r="J43" s="2899">
        <v>3.76</v>
      </c>
      <c r="K43" s="2899">
        <v>1.89</v>
      </c>
      <c r="L43" s="2905">
        <v>7.95</v>
      </c>
      <c r="N43" s="2902">
        <f t="shared" si="133"/>
        <v>2.6499999999999999E-2</v>
      </c>
      <c r="O43" s="2903">
        <f t="shared" si="133"/>
        <v>3.7599999999999995E-2</v>
      </c>
      <c r="P43" s="2903">
        <f t="shared" si="133"/>
        <v>1.89E-2</v>
      </c>
      <c r="Q43" s="2903">
        <f t="shared" si="133"/>
        <v>7.9500000000000001E-2</v>
      </c>
      <c r="R43" s="2901"/>
      <c r="S43" s="2902">
        <f>B43/B44-1</f>
        <v>2.713213765211786E-2</v>
      </c>
      <c r="T43" s="2903">
        <f>C43/C44-1</f>
        <v>3.9774828499231862E-2</v>
      </c>
      <c r="U43" s="2903">
        <f>E43/E44-1</f>
        <v>1.8197311840641772E-2</v>
      </c>
      <c r="V43" s="2903">
        <f>F43/F44-1</f>
        <v>7.8211933962205826E-2</v>
      </c>
      <c r="X43" s="2886"/>
      <c r="Y43" s="2886"/>
      <c r="Z43" s="2886"/>
    </row>
    <row r="44" spans="1:26" ht="13.5" thickBot="1">
      <c r="A44" s="2897" t="s">
        <v>2575</v>
      </c>
      <c r="B44" s="2919">
        <v>269</v>
      </c>
      <c r="C44" s="2919">
        <v>221</v>
      </c>
      <c r="D44" s="2919">
        <f t="shared" si="131"/>
        <v>221</v>
      </c>
      <c r="E44" s="2919">
        <v>373</v>
      </c>
      <c r="F44" s="2920">
        <v>196</v>
      </c>
      <c r="G44" s="3594">
        <v>2010</v>
      </c>
      <c r="H44" s="2921">
        <v>4</v>
      </c>
      <c r="I44" s="2921">
        <v>5.72</v>
      </c>
      <c r="J44" s="2921">
        <v>6.57</v>
      </c>
      <c r="K44" s="2921">
        <v>5.72</v>
      </c>
      <c r="L44" s="2922">
        <v>2.72</v>
      </c>
      <c r="N44" s="2900">
        <f t="shared" si="133"/>
        <v>5.7200000000000001E-2</v>
      </c>
      <c r="O44" s="2886">
        <f t="shared" si="133"/>
        <v>6.5700000000000008E-2</v>
      </c>
      <c r="P44" s="2886">
        <f t="shared" si="133"/>
        <v>5.7200000000000001E-2</v>
      </c>
      <c r="Q44" s="2886">
        <f t="shared" si="133"/>
        <v>2.7200000000000002E-2</v>
      </c>
      <c r="R44" s="2901"/>
      <c r="S44" s="2910"/>
      <c r="T44" s="2911"/>
      <c r="U44" s="2911"/>
      <c r="V44" s="2911"/>
      <c r="X44" s="2911"/>
      <c r="Y44" s="2911"/>
      <c r="Z44" s="2911"/>
    </row>
    <row r="45" spans="1:26">
      <c r="A45" s="2897" t="s">
        <v>2576</v>
      </c>
      <c r="B45" s="2898">
        <f t="shared" ref="B45:C47" si="145">B44/(1+N44)</f>
        <v>254.44570563753314</v>
      </c>
      <c r="C45" s="2898">
        <f t="shared" si="145"/>
        <v>207.37543398705074</v>
      </c>
      <c r="D45" s="2898">
        <f t="shared" si="131"/>
        <v>207.37543398705074</v>
      </c>
      <c r="E45" s="2898">
        <f t="shared" ref="E45:F47" si="146">E44/(1+P44)</f>
        <v>352.81876655315932</v>
      </c>
      <c r="F45" s="2898">
        <f t="shared" si="146"/>
        <v>190.809968847352</v>
      </c>
      <c r="G45" s="3595">
        <v>2010</v>
      </c>
      <c r="H45" s="2924">
        <v>3</v>
      </c>
      <c r="I45" s="2924">
        <v>4.7300000000000004</v>
      </c>
      <c r="J45" s="2924">
        <v>3.9</v>
      </c>
      <c r="K45" s="2924">
        <v>5.03</v>
      </c>
      <c r="L45" s="2925">
        <v>4.21</v>
      </c>
      <c r="N45" s="2900">
        <f t="shared" si="133"/>
        <v>4.7300000000000002E-2</v>
      </c>
      <c r="O45" s="2886">
        <f t="shared" si="133"/>
        <v>3.9E-2</v>
      </c>
      <c r="P45" s="2886">
        <f t="shared" si="133"/>
        <v>5.0300000000000004E-2</v>
      </c>
      <c r="Q45" s="2886">
        <f t="shared" si="133"/>
        <v>4.2099999999999999E-2</v>
      </c>
      <c r="R45" s="2901"/>
      <c r="S45" s="2900"/>
      <c r="T45" s="2886"/>
      <c r="U45" s="2886"/>
      <c r="V45" s="2886"/>
    </row>
    <row r="46" spans="1:26">
      <c r="A46" s="2897" t="s">
        <v>2577</v>
      </c>
      <c r="B46" s="2898">
        <f t="shared" si="145"/>
        <v>242.95398227588385</v>
      </c>
      <c r="C46" s="2898">
        <f t="shared" si="145"/>
        <v>199.59137053614126</v>
      </c>
      <c r="D46" s="2898">
        <f t="shared" si="131"/>
        <v>199.59137053614126</v>
      </c>
      <c r="E46" s="2898">
        <f t="shared" si="146"/>
        <v>335.92189522342125</v>
      </c>
      <c r="F46" s="2898">
        <f t="shared" si="146"/>
        <v>183.10139991109489</v>
      </c>
      <c r="G46" s="3595">
        <v>2010</v>
      </c>
      <c r="H46" s="2912">
        <v>2</v>
      </c>
      <c r="I46" s="2912">
        <v>4.6900000000000004</v>
      </c>
      <c r="J46" s="2912">
        <v>3.55</v>
      </c>
      <c r="K46" s="2912">
        <v>5.07</v>
      </c>
      <c r="L46" s="2913">
        <v>4.2300000000000004</v>
      </c>
      <c r="N46" s="2900">
        <f t="shared" si="133"/>
        <v>4.6900000000000004E-2</v>
      </c>
      <c r="O46" s="2886">
        <f t="shared" si="133"/>
        <v>3.5499999999999997E-2</v>
      </c>
      <c r="P46" s="2886">
        <f t="shared" si="133"/>
        <v>5.0700000000000002E-2</v>
      </c>
      <c r="Q46" s="2886">
        <f t="shared" si="133"/>
        <v>4.2300000000000004E-2</v>
      </c>
      <c r="R46" s="2901"/>
      <c r="S46" s="2900"/>
      <c r="T46" s="2886"/>
      <c r="U46" s="2886"/>
      <c r="V46" s="2886"/>
    </row>
    <row r="47" spans="1:26" ht="13.5" thickBot="1">
      <c r="A47" s="2897" t="s">
        <v>2578</v>
      </c>
      <c r="B47" s="2898">
        <f t="shared" si="145"/>
        <v>232.06990378821649</v>
      </c>
      <c r="C47" s="2898">
        <f t="shared" si="145"/>
        <v>192.74878854286936</v>
      </c>
      <c r="D47" s="2898">
        <f t="shared" si="131"/>
        <v>192.74878854286936</v>
      </c>
      <c r="E47" s="2898">
        <f t="shared" si="146"/>
        <v>319.71247284992984</v>
      </c>
      <c r="F47" s="2898">
        <f t="shared" si="146"/>
        <v>175.67053622862409</v>
      </c>
      <c r="G47" s="3596">
        <v>2010</v>
      </c>
      <c r="H47" s="2899">
        <v>1</v>
      </c>
      <c r="I47" s="2899">
        <v>5.4</v>
      </c>
      <c r="J47" s="2899">
        <v>3.2</v>
      </c>
      <c r="K47" s="2899">
        <v>6.16</v>
      </c>
      <c r="L47" s="2905">
        <v>4.51</v>
      </c>
      <c r="N47" s="2900">
        <f t="shared" si="133"/>
        <v>5.4000000000000006E-2</v>
      </c>
      <c r="O47" s="2886">
        <f t="shared" si="133"/>
        <v>3.2000000000000001E-2</v>
      </c>
      <c r="P47" s="2886">
        <f t="shared" si="133"/>
        <v>6.1600000000000002E-2</v>
      </c>
      <c r="Q47" s="2886">
        <f t="shared" si="133"/>
        <v>4.5100000000000001E-2</v>
      </c>
      <c r="R47" s="2901"/>
      <c r="S47" s="2902">
        <f>B47/B48-1</f>
        <v>5.4863199037347599E-2</v>
      </c>
      <c r="T47" s="2903">
        <f>C47/C48-1</f>
        <v>3.0742184721226584E-2</v>
      </c>
      <c r="U47" s="2903">
        <f>E47/E48-1</f>
        <v>6.2167683886810154E-2</v>
      </c>
      <c r="V47" s="2903">
        <f>F47/F48-1</f>
        <v>4.5657953741810031E-2</v>
      </c>
      <c r="X47" s="2886"/>
      <c r="Y47" s="2886"/>
      <c r="Z47" s="2886"/>
    </row>
    <row r="48" spans="1:26" ht="13.5" thickBot="1">
      <c r="A48" s="2897" t="s">
        <v>2579</v>
      </c>
      <c r="B48" s="2919">
        <v>220</v>
      </c>
      <c r="C48" s="2919">
        <v>187</v>
      </c>
      <c r="D48" s="2919">
        <f t="shared" si="131"/>
        <v>187</v>
      </c>
      <c r="E48" s="2919">
        <v>301</v>
      </c>
      <c r="F48" s="2920">
        <v>168</v>
      </c>
      <c r="G48" s="3594">
        <v>2009</v>
      </c>
      <c r="H48" s="2921">
        <v>4</v>
      </c>
      <c r="I48" s="2921">
        <v>2.2999999999999998</v>
      </c>
      <c r="J48" s="2921">
        <v>1.04</v>
      </c>
      <c r="K48" s="2921">
        <v>2.84</v>
      </c>
      <c r="L48" s="2922">
        <v>0.67</v>
      </c>
      <c r="N48" s="2916">
        <f t="shared" si="133"/>
        <v>2.3E-2</v>
      </c>
      <c r="O48" s="2917">
        <f t="shared" si="133"/>
        <v>1.04E-2</v>
      </c>
      <c r="P48" s="2917">
        <f t="shared" si="133"/>
        <v>2.8399999999999998E-2</v>
      </c>
      <c r="Q48" s="2917">
        <f t="shared" si="133"/>
        <v>6.7000000000000002E-3</v>
      </c>
      <c r="R48" s="2901"/>
      <c r="S48" s="2910"/>
      <c r="T48" s="2911"/>
      <c r="U48" s="2911"/>
      <c r="V48" s="2911"/>
      <c r="X48" s="2911"/>
      <c r="Y48" s="2911"/>
      <c r="Z48" s="2911"/>
    </row>
    <row r="49" spans="1:26">
      <c r="A49" s="2897" t="s">
        <v>2580</v>
      </c>
      <c r="B49" s="2898">
        <f t="shared" ref="B49:C51" si="147">B48/(1+N48)</f>
        <v>215.05376344086022</v>
      </c>
      <c r="C49" s="2898">
        <f t="shared" si="147"/>
        <v>185.0752177355503</v>
      </c>
      <c r="D49" s="2898">
        <f t="shared" si="131"/>
        <v>185.0752177355503</v>
      </c>
      <c r="E49" s="2898">
        <f t="shared" ref="E49:F51" si="148">E48/(1+P48)</f>
        <v>292.68767016725008</v>
      </c>
      <c r="F49" s="2898">
        <f t="shared" si="148"/>
        <v>166.88189132810174</v>
      </c>
      <c r="G49" s="3595">
        <v>2009</v>
      </c>
      <c r="H49" s="2924">
        <v>3</v>
      </c>
      <c r="I49" s="2924">
        <v>2.1</v>
      </c>
      <c r="J49" s="2924">
        <v>1.86</v>
      </c>
      <c r="K49" s="2924">
        <v>2.29</v>
      </c>
      <c r="L49" s="2925">
        <v>0.85</v>
      </c>
      <c r="N49" s="2900">
        <f t="shared" si="133"/>
        <v>2.1000000000000001E-2</v>
      </c>
      <c r="O49" s="2918">
        <f t="shared" si="133"/>
        <v>1.8600000000000002E-2</v>
      </c>
      <c r="P49" s="2918">
        <f t="shared" si="133"/>
        <v>2.29E-2</v>
      </c>
      <c r="Q49" s="2918">
        <f t="shared" si="133"/>
        <v>8.5000000000000006E-3</v>
      </c>
      <c r="R49" s="2901"/>
      <c r="S49" s="2900"/>
      <c r="T49" s="2886"/>
      <c r="U49" s="2886"/>
      <c r="V49" s="2886"/>
    </row>
    <row r="50" spans="1:26">
      <c r="A50" s="2897" t="s">
        <v>2581</v>
      </c>
      <c r="B50" s="2898">
        <f t="shared" si="147"/>
        <v>210.630522469011</v>
      </c>
      <c r="C50" s="2898">
        <f t="shared" si="147"/>
        <v>181.69567812247232</v>
      </c>
      <c r="D50" s="2898">
        <f t="shared" si="131"/>
        <v>181.69567812247232</v>
      </c>
      <c r="E50" s="2898">
        <f t="shared" si="148"/>
        <v>286.13517466736738</v>
      </c>
      <c r="F50" s="2898">
        <f t="shared" si="148"/>
        <v>165.47535084591149</v>
      </c>
      <c r="G50" s="3595">
        <v>2009</v>
      </c>
      <c r="H50" s="2912">
        <v>2</v>
      </c>
      <c r="I50" s="2912">
        <v>0.86</v>
      </c>
      <c r="J50" s="2912">
        <v>-1.1299999999999999</v>
      </c>
      <c r="K50" s="2912">
        <v>1.79</v>
      </c>
      <c r="L50" s="2913">
        <v>-2.0699999999999998</v>
      </c>
      <c r="N50" s="2900">
        <f t="shared" si="133"/>
        <v>8.6E-3</v>
      </c>
      <c r="O50" s="2918">
        <f t="shared" si="133"/>
        <v>-1.1299999999999999E-2</v>
      </c>
      <c r="P50" s="2918">
        <f t="shared" si="133"/>
        <v>1.7899999999999999E-2</v>
      </c>
      <c r="Q50" s="2918">
        <f t="shared" si="133"/>
        <v>-2.07E-2</v>
      </c>
      <c r="R50" s="2901"/>
      <c r="S50" s="2900"/>
      <c r="T50" s="2886"/>
      <c r="U50" s="2886"/>
      <c r="V50" s="2886"/>
    </row>
    <row r="51" spans="1:26">
      <c r="A51" s="2897" t="s">
        <v>2582</v>
      </c>
      <c r="B51" s="2898">
        <f t="shared" si="147"/>
        <v>208.83454537875372</v>
      </c>
      <c r="C51" s="2898">
        <f t="shared" si="147"/>
        <v>183.77230517090351</v>
      </c>
      <c r="D51" s="2898">
        <f t="shared" si="131"/>
        <v>183.77230517090351</v>
      </c>
      <c r="E51" s="2898">
        <f t="shared" si="148"/>
        <v>281.10342338870947</v>
      </c>
      <c r="F51" s="2898">
        <f t="shared" si="148"/>
        <v>168.97309388942256</v>
      </c>
      <c r="G51" s="3596">
        <v>2009</v>
      </c>
      <c r="H51" s="2899">
        <v>1</v>
      </c>
      <c r="I51" s="2899">
        <v>-2.64</v>
      </c>
      <c r="J51" s="2899">
        <v>-2.5299999999999998</v>
      </c>
      <c r="K51" s="2899">
        <v>-3.02</v>
      </c>
      <c r="L51" s="2905">
        <v>1.52</v>
      </c>
      <c r="N51" s="2902">
        <f t="shared" si="133"/>
        <v>-2.64E-2</v>
      </c>
      <c r="O51" s="2903">
        <f t="shared" si="133"/>
        <v>-2.53E-2</v>
      </c>
      <c r="P51" s="2903">
        <f t="shared" si="133"/>
        <v>-3.0200000000000001E-2</v>
      </c>
      <c r="Q51" s="2903">
        <f t="shared" si="133"/>
        <v>1.52E-2</v>
      </c>
      <c r="R51" s="2901"/>
      <c r="S51" s="2902">
        <f>B51/B52-1</f>
        <v>-2.4137638417038754E-2</v>
      </c>
      <c r="T51" s="2903">
        <f>C51/C52-1</f>
        <v>-2.248773845264096E-2</v>
      </c>
      <c r="U51" s="2903">
        <f>E51/E52-1</f>
        <v>-2.7323794502735366E-2</v>
      </c>
      <c r="V51" s="2903">
        <f>F51/F52-1</f>
        <v>1.7910204153148035E-2</v>
      </c>
      <c r="X51" s="2886"/>
      <c r="Y51" s="2886"/>
      <c r="Z51" s="2886"/>
    </row>
    <row r="52" spans="1:26" ht="13.5" thickBot="1">
      <c r="A52" s="2897" t="s">
        <v>2583</v>
      </c>
      <c r="B52" s="2947">
        <v>214</v>
      </c>
      <c r="C52" s="2947">
        <v>188</v>
      </c>
      <c r="D52" s="2947">
        <f t="shared" si="131"/>
        <v>188</v>
      </c>
      <c r="E52" s="2947">
        <v>289</v>
      </c>
      <c r="F52" s="2948">
        <v>166</v>
      </c>
      <c r="G52" s="3594">
        <v>2008</v>
      </c>
      <c r="H52" s="2921">
        <v>4</v>
      </c>
      <c r="I52" s="2921">
        <v>1.73</v>
      </c>
      <c r="J52" s="2921">
        <v>0.03</v>
      </c>
      <c r="K52" s="2921">
        <v>2.59</v>
      </c>
      <c r="L52" s="2922">
        <v>-1.66</v>
      </c>
      <c r="N52" s="2900">
        <f t="shared" si="133"/>
        <v>1.7299999999999999E-2</v>
      </c>
      <c r="O52" s="2886">
        <f t="shared" si="133"/>
        <v>2.9999999999999997E-4</v>
      </c>
      <c r="P52" s="2886">
        <f t="shared" si="133"/>
        <v>2.5899999999999999E-2</v>
      </c>
      <c r="Q52" s="2886">
        <f t="shared" si="133"/>
        <v>-1.66E-2</v>
      </c>
      <c r="R52" s="2901"/>
      <c r="S52" s="2910"/>
      <c r="T52" s="2911"/>
      <c r="U52" s="2911"/>
      <c r="V52" s="2911"/>
      <c r="X52" s="2911"/>
      <c r="Y52" s="2911"/>
      <c r="Z52" s="2911"/>
    </row>
    <row r="53" spans="1:26">
      <c r="A53" s="2897" t="s">
        <v>2584</v>
      </c>
      <c r="B53" s="2898">
        <f t="shared" ref="B53:C55" si="149">B52/(1+N52)</f>
        <v>210.36075887152265</v>
      </c>
      <c r="C53" s="2898">
        <f t="shared" si="149"/>
        <v>187.94361691492554</v>
      </c>
      <c r="D53" s="2898">
        <f t="shared" si="131"/>
        <v>187.94361691492554</v>
      </c>
      <c r="E53" s="2898">
        <f t="shared" ref="E53:F55" si="150">E52/(1+P52)</f>
        <v>281.70386977288234</v>
      </c>
      <c r="F53" s="2898">
        <f t="shared" si="150"/>
        <v>168.80211511083994</v>
      </c>
      <c r="G53" s="3595">
        <v>2008</v>
      </c>
      <c r="H53" s="2924">
        <v>3</v>
      </c>
      <c r="I53" s="2924">
        <v>1.96</v>
      </c>
      <c r="J53" s="2924">
        <v>2.36</v>
      </c>
      <c r="K53" s="2924">
        <v>1.82</v>
      </c>
      <c r="L53" s="2925">
        <v>2.2200000000000002</v>
      </c>
      <c r="N53" s="2900">
        <f t="shared" si="133"/>
        <v>1.9599999999999999E-2</v>
      </c>
      <c r="O53" s="2886">
        <f t="shared" si="133"/>
        <v>2.3599999999999999E-2</v>
      </c>
      <c r="P53" s="2886">
        <f t="shared" si="133"/>
        <v>1.8200000000000001E-2</v>
      </c>
      <c r="Q53" s="2886">
        <f t="shared" si="133"/>
        <v>2.2200000000000001E-2</v>
      </c>
      <c r="R53" s="2901"/>
      <c r="S53" s="2900"/>
      <c r="T53" s="2886"/>
      <c r="U53" s="2886"/>
      <c r="V53" s="2886"/>
    </row>
    <row r="54" spans="1:26">
      <c r="A54" s="2897" t="s">
        <v>2585</v>
      </c>
      <c r="B54" s="2898">
        <f t="shared" si="149"/>
        <v>206.31694671589116</v>
      </c>
      <c r="C54" s="2898">
        <f t="shared" si="149"/>
        <v>183.61041121036101</v>
      </c>
      <c r="D54" s="2898">
        <f t="shared" si="131"/>
        <v>183.61041121036101</v>
      </c>
      <c r="E54" s="2898">
        <f t="shared" si="150"/>
        <v>276.66850301795557</v>
      </c>
      <c r="F54" s="2898">
        <f t="shared" si="150"/>
        <v>165.1360938278614</v>
      </c>
      <c r="G54" s="3595">
        <v>2008</v>
      </c>
      <c r="H54" s="2912">
        <v>2</v>
      </c>
      <c r="I54" s="2912">
        <v>4.93</v>
      </c>
      <c r="J54" s="2912">
        <v>7.38</v>
      </c>
      <c r="K54" s="2912">
        <v>3.98</v>
      </c>
      <c r="L54" s="2913">
        <v>6.86</v>
      </c>
      <c r="N54" s="2900">
        <f t="shared" si="133"/>
        <v>4.9299999999999997E-2</v>
      </c>
      <c r="O54" s="2886">
        <f t="shared" si="133"/>
        <v>7.3800000000000004E-2</v>
      </c>
      <c r="P54" s="2886">
        <f t="shared" si="133"/>
        <v>3.9800000000000002E-2</v>
      </c>
      <c r="Q54" s="2886">
        <f t="shared" si="133"/>
        <v>6.8600000000000008E-2</v>
      </c>
      <c r="R54" s="2901"/>
      <c r="S54" s="2900"/>
      <c r="T54" s="2886"/>
      <c r="U54" s="2886"/>
      <c r="V54" s="2886"/>
    </row>
    <row r="55" spans="1:26" s="2953" customFormat="1" ht="13.5" thickBot="1">
      <c r="A55" s="2897" t="s">
        <v>2586</v>
      </c>
      <c r="B55" s="2950">
        <f t="shared" si="149"/>
        <v>196.62341248059772</v>
      </c>
      <c r="C55" s="2950">
        <f t="shared" si="149"/>
        <v>170.99125648199012</v>
      </c>
      <c r="D55" s="2950">
        <f t="shared" si="131"/>
        <v>170.99125648199012</v>
      </c>
      <c r="E55" s="2950">
        <f t="shared" si="150"/>
        <v>266.07857570490052</v>
      </c>
      <c r="F55" s="2950">
        <f t="shared" si="150"/>
        <v>154.53499328828505</v>
      </c>
      <c r="G55" s="3596">
        <v>2008</v>
      </c>
      <c r="H55" s="2951">
        <v>1</v>
      </c>
      <c r="I55" s="2951">
        <v>4.1399999999999997</v>
      </c>
      <c r="J55" s="2951">
        <v>3.45</v>
      </c>
      <c r="K55" s="2951">
        <v>4.95</v>
      </c>
      <c r="L55" s="2952">
        <v>4.82</v>
      </c>
      <c r="N55" s="2954">
        <f t="shared" si="133"/>
        <v>4.1399999999999999E-2</v>
      </c>
      <c r="O55" s="2955">
        <f t="shared" si="133"/>
        <v>3.4500000000000003E-2</v>
      </c>
      <c r="P55" s="2955">
        <f t="shared" si="133"/>
        <v>4.9500000000000002E-2</v>
      </c>
      <c r="Q55" s="2955">
        <f t="shared" si="133"/>
        <v>4.82E-2</v>
      </c>
      <c r="R55" s="2956"/>
      <c r="S55" s="2954">
        <f>B55/B56-1</f>
        <v>4.5869215322328349E-2</v>
      </c>
      <c r="T55" s="2955">
        <f>C55/C56-1</f>
        <v>3.6310645345394743E-2</v>
      </c>
      <c r="U55" s="2955">
        <f>E55/E56-1</f>
        <v>4.7553447657088688E-2</v>
      </c>
      <c r="V55" s="2955">
        <f>F55/F56-1</f>
        <v>4.4155360055980086E-2</v>
      </c>
      <c r="X55" s="2955"/>
      <c r="Y55" s="2955"/>
      <c r="Z55" s="2955"/>
    </row>
    <row r="56" spans="1:26" ht="13.5" thickBot="1">
      <c r="A56" s="2897" t="s">
        <v>2587</v>
      </c>
      <c r="B56" s="2919">
        <v>188</v>
      </c>
      <c r="C56" s="2919">
        <v>165</v>
      </c>
      <c r="D56" s="2919">
        <f t="shared" si="131"/>
        <v>165</v>
      </c>
      <c r="E56" s="2919">
        <v>254</v>
      </c>
      <c r="F56" s="2920">
        <v>148</v>
      </c>
      <c r="G56" s="3594">
        <v>2007</v>
      </c>
      <c r="H56" s="2957">
        <v>4</v>
      </c>
      <c r="I56" s="2957">
        <v>5.51</v>
      </c>
      <c r="J56" s="2957">
        <v>4.8899999999999997</v>
      </c>
      <c r="K56" s="2957">
        <v>6.43</v>
      </c>
      <c r="L56" s="2958">
        <v>5.36</v>
      </c>
      <c r="N56" s="2959">
        <f t="shared" ref="N56:O59" si="151">B56/B57-1</f>
        <v>4.1339718365245526E-2</v>
      </c>
      <c r="O56" s="2960">
        <f t="shared" si="151"/>
        <v>4.0324492593776018E-2</v>
      </c>
      <c r="P56" s="2960">
        <f t="shared" ref="P56:Q59" si="152">E56/E57-1</f>
        <v>6.1625555347990968E-2</v>
      </c>
      <c r="Q56" s="2960">
        <f t="shared" si="152"/>
        <v>4.6757569250590603E-2</v>
      </c>
      <c r="R56" s="2901"/>
      <c r="S56" s="2910"/>
      <c r="T56" s="2911"/>
      <c r="U56" s="2911"/>
      <c r="V56" s="2911"/>
      <c r="X56" s="2911"/>
      <c r="Y56" s="2911"/>
      <c r="Z56" s="2911"/>
    </row>
    <row r="57" spans="1:26">
      <c r="A57" s="2897" t="s">
        <v>2588</v>
      </c>
      <c r="B57" s="2898">
        <f t="shared" ref="B57:C59" si="153">B58+(B$56-B$60)*I57/SUM(I$56:I$59)</f>
        <v>180.5366651097618</v>
      </c>
      <c r="C57" s="2898">
        <f t="shared" si="153"/>
        <v>158.60435967302453</v>
      </c>
      <c r="D57" s="2898">
        <f t="shared" si="131"/>
        <v>158.60435967302453</v>
      </c>
      <c r="E57" s="2898">
        <f t="shared" ref="E57:F59" si="154">E58+(E$56-E$60)*K57/SUM(K$56:K$59)</f>
        <v>239.25573260785075</v>
      </c>
      <c r="F57" s="2898">
        <f t="shared" si="154"/>
        <v>141.38899430740037</v>
      </c>
      <c r="G57" s="3595">
        <v>2007</v>
      </c>
      <c r="H57" s="2924">
        <v>3</v>
      </c>
      <c r="I57" s="2924">
        <v>8.65</v>
      </c>
      <c r="J57" s="2924">
        <v>8.06</v>
      </c>
      <c r="K57" s="2924">
        <v>9.94</v>
      </c>
      <c r="L57" s="2925">
        <v>5.8</v>
      </c>
      <c r="N57" s="2959">
        <f t="shared" si="151"/>
        <v>6.940217571740015E-2</v>
      </c>
      <c r="O57" s="2960">
        <f t="shared" si="151"/>
        <v>7.1197482471153428E-2</v>
      </c>
      <c r="P57" s="2960">
        <f t="shared" si="152"/>
        <v>0.10529679922579582</v>
      </c>
      <c r="Q57" s="2960">
        <f t="shared" si="152"/>
        <v>5.3292245059512133E-2</v>
      </c>
      <c r="R57" s="2901"/>
      <c r="S57" s="2900"/>
      <c r="T57" s="2886"/>
      <c r="U57" s="2886"/>
      <c r="V57" s="2886"/>
      <c r="X57" s="2961"/>
      <c r="Y57" s="2961"/>
      <c r="Z57" s="2961"/>
    </row>
    <row r="58" spans="1:26">
      <c r="A58" s="2897" t="s">
        <v>2589</v>
      </c>
      <c r="B58" s="2898">
        <f t="shared" si="153"/>
        <v>168.82017748715555</v>
      </c>
      <c r="C58" s="2898">
        <f t="shared" si="153"/>
        <v>148.06267029972753</v>
      </c>
      <c r="D58" s="2898">
        <f t="shared" si="131"/>
        <v>148.06267029972753</v>
      </c>
      <c r="E58" s="2898">
        <f t="shared" si="154"/>
        <v>216.46288379323747</v>
      </c>
      <c r="F58" s="2898">
        <f t="shared" si="154"/>
        <v>134.23529411764704</v>
      </c>
      <c r="G58" s="3595">
        <v>2007</v>
      </c>
      <c r="H58" s="2912">
        <v>2</v>
      </c>
      <c r="I58" s="2912">
        <v>3.67</v>
      </c>
      <c r="J58" s="2912">
        <v>2.3199999999999998</v>
      </c>
      <c r="K58" s="2912">
        <v>5.0199999999999996</v>
      </c>
      <c r="L58" s="2913">
        <v>6.71</v>
      </c>
      <c r="N58" s="2959">
        <f t="shared" si="151"/>
        <v>3.0339138143848032E-2</v>
      </c>
      <c r="O58" s="2960">
        <f t="shared" si="151"/>
        <v>2.0922341588790472E-2</v>
      </c>
      <c r="P58" s="2960">
        <f t="shared" si="152"/>
        <v>5.6164796592717003E-2</v>
      </c>
      <c r="Q58" s="2960">
        <f t="shared" si="152"/>
        <v>6.5704536723887319E-2</v>
      </c>
      <c r="R58" s="2901"/>
      <c r="S58" s="2900"/>
      <c r="T58" s="2886"/>
      <c r="U58" s="2886"/>
      <c r="V58" s="2886"/>
      <c r="X58" s="2961"/>
      <c r="Y58" s="2961"/>
      <c r="Z58" s="2961"/>
    </row>
    <row r="59" spans="1:26">
      <c r="A59" s="2897" t="s">
        <v>2590</v>
      </c>
      <c r="B59" s="2898">
        <f t="shared" si="153"/>
        <v>163.84913591779542</v>
      </c>
      <c r="C59" s="2898">
        <f t="shared" si="153"/>
        <v>145.0283378746594</v>
      </c>
      <c r="D59" s="2898">
        <f t="shared" si="131"/>
        <v>145.0283378746594</v>
      </c>
      <c r="E59" s="2898">
        <f t="shared" si="154"/>
        <v>204.95180722891567</v>
      </c>
      <c r="F59" s="2898">
        <f t="shared" si="154"/>
        <v>125.95920303605313</v>
      </c>
      <c r="G59" s="3596">
        <v>2007</v>
      </c>
      <c r="H59" s="2899">
        <v>1</v>
      </c>
      <c r="I59" s="2899">
        <v>3.58</v>
      </c>
      <c r="J59" s="2899">
        <v>3.08</v>
      </c>
      <c r="K59" s="2899">
        <v>4.34</v>
      </c>
      <c r="L59" s="2905">
        <v>3.21</v>
      </c>
      <c r="N59" s="2962">
        <f t="shared" si="151"/>
        <v>3.0497710174814063E-2</v>
      </c>
      <c r="O59" s="2963">
        <f t="shared" si="151"/>
        <v>2.8569772160704998E-2</v>
      </c>
      <c r="P59" s="2963">
        <f t="shared" si="152"/>
        <v>5.1034908866234296E-2</v>
      </c>
      <c r="Q59" s="2963">
        <f t="shared" si="152"/>
        <v>3.245248390207478E-2</v>
      </c>
      <c r="R59" s="2901"/>
      <c r="S59" s="2902">
        <f>B59/B60-1</f>
        <v>3.0497710174814063E-2</v>
      </c>
      <c r="T59" s="2903">
        <f>C59/C60-1</f>
        <v>2.8569772160704998E-2</v>
      </c>
      <c r="U59" s="2903">
        <f>E59/E60-1</f>
        <v>5.1034908866234296E-2</v>
      </c>
      <c r="V59" s="2903">
        <f>F59/F60-1</f>
        <v>3.245248390207478E-2</v>
      </c>
      <c r="X59" s="2961"/>
      <c r="Y59" s="2961"/>
      <c r="Z59" s="2961"/>
    </row>
    <row r="60" spans="1:26" ht="13.5" thickBot="1">
      <c r="A60" s="2897" t="s">
        <v>2591</v>
      </c>
      <c r="B60" s="2926">
        <v>159</v>
      </c>
      <c r="C60" s="2926">
        <v>141</v>
      </c>
      <c r="D60" s="2926">
        <f t="shared" si="131"/>
        <v>141</v>
      </c>
      <c r="E60" s="2926">
        <v>195</v>
      </c>
      <c r="F60" s="2927">
        <v>122</v>
      </c>
      <c r="G60" s="3594">
        <v>2006</v>
      </c>
      <c r="H60" s="2921">
        <v>4</v>
      </c>
      <c r="I60" s="2921">
        <v>3.79</v>
      </c>
      <c r="J60" s="2921">
        <v>2.21</v>
      </c>
      <c r="K60" s="2921">
        <v>5.65</v>
      </c>
      <c r="L60" s="2922">
        <v>5.41</v>
      </c>
      <c r="N60" s="2959">
        <f t="shared" ref="N60:O63" si="155">I60/SUM(I$60:I$63)*(B$60/B$64-1)</f>
        <v>7.245466462748526E-2</v>
      </c>
      <c r="O60" s="2960">
        <f t="shared" si="155"/>
        <v>2.3237230038062766E-2</v>
      </c>
      <c r="P60" s="2960">
        <f t="shared" ref="P60:Q63" si="156">K60/SUM(K$60:K$63)*(E$60/E$64-1)</f>
        <v>0.16146893866323722</v>
      </c>
      <c r="Q60" s="2960">
        <f t="shared" si="156"/>
        <v>5.0755230321793784E-2</v>
      </c>
      <c r="R60" s="2901"/>
      <c r="S60" s="2910"/>
      <c r="T60" s="2911"/>
      <c r="U60" s="2911"/>
      <c r="V60" s="2911"/>
      <c r="X60" s="2961"/>
      <c r="Y60" s="2961"/>
      <c r="Z60" s="2961"/>
    </row>
    <row r="61" spans="1:26">
      <c r="A61" s="2897" t="s">
        <v>2592</v>
      </c>
      <c r="B61" s="2898">
        <f t="shared" ref="B61:C63" si="157">B62+(B$60-B$64)*I61/SUM(I$60:I$63)</f>
        <v>149.00125628140702</v>
      </c>
      <c r="C61" s="2898">
        <f t="shared" si="157"/>
        <v>137.95592286501378</v>
      </c>
      <c r="D61" s="2898">
        <f t="shared" si="131"/>
        <v>137.95592286501378</v>
      </c>
      <c r="E61" s="2898">
        <f t="shared" ref="E61:F63" si="158">E62+(E$60-E$64)*K61/SUM(K$60:K$63)</f>
        <v>169.97231450719823</v>
      </c>
      <c r="F61" s="2898">
        <f t="shared" si="158"/>
        <v>116.21390374331551</v>
      </c>
      <c r="G61" s="3595">
        <v>2006</v>
      </c>
      <c r="H61" s="2924">
        <v>3</v>
      </c>
      <c r="I61" s="2924">
        <v>0.92</v>
      </c>
      <c r="J61" s="2924">
        <v>1.08</v>
      </c>
      <c r="K61" s="2924">
        <v>0.73</v>
      </c>
      <c r="L61" s="2925">
        <v>1.08</v>
      </c>
      <c r="N61" s="2959">
        <f t="shared" si="155"/>
        <v>1.7587939698492462E-2</v>
      </c>
      <c r="O61" s="2960">
        <f t="shared" si="155"/>
        <v>1.1355750425840628E-2</v>
      </c>
      <c r="P61" s="2960">
        <f t="shared" si="156"/>
        <v>2.0862358446754544E-2</v>
      </c>
      <c r="Q61" s="2960">
        <f t="shared" si="156"/>
        <v>1.0132282578103011E-2</v>
      </c>
      <c r="R61" s="2901"/>
      <c r="S61" s="2900"/>
      <c r="T61" s="2886"/>
      <c r="U61" s="2886"/>
      <c r="V61" s="2886"/>
      <c r="X61" s="2961"/>
      <c r="Y61" s="2961"/>
      <c r="Z61" s="2961"/>
    </row>
    <row r="62" spans="1:26">
      <c r="A62" s="2897" t="s">
        <v>2593</v>
      </c>
      <c r="B62" s="2898">
        <f t="shared" si="157"/>
        <v>146.57412060301507</v>
      </c>
      <c r="C62" s="2898">
        <f t="shared" si="157"/>
        <v>136.46831955922866</v>
      </c>
      <c r="D62" s="2898">
        <f t="shared" si="131"/>
        <v>136.46831955922866</v>
      </c>
      <c r="E62" s="2898">
        <f t="shared" si="158"/>
        <v>166.73864894795128</v>
      </c>
      <c r="F62" s="2898">
        <f t="shared" si="158"/>
        <v>115.05882352941177</v>
      </c>
      <c r="G62" s="3595">
        <v>2006</v>
      </c>
      <c r="H62" s="2912">
        <v>2</v>
      </c>
      <c r="I62" s="2912">
        <v>0.96</v>
      </c>
      <c r="J62" s="2912">
        <v>0.25</v>
      </c>
      <c r="K62" s="2912">
        <v>1.9</v>
      </c>
      <c r="L62" s="2913">
        <v>0.95</v>
      </c>
      <c r="N62" s="2959">
        <f t="shared" si="155"/>
        <v>1.8352632728861701E-2</v>
      </c>
      <c r="O62" s="2960">
        <f t="shared" si="155"/>
        <v>2.6286459319075526E-3</v>
      </c>
      <c r="P62" s="2960">
        <f t="shared" si="156"/>
        <v>5.4299289107991269E-2</v>
      </c>
      <c r="Q62" s="2960">
        <f t="shared" si="156"/>
        <v>8.9126559714794995E-3</v>
      </c>
      <c r="R62" s="2901"/>
      <c r="S62" s="2900"/>
      <c r="T62" s="2886"/>
      <c r="U62" s="2886"/>
      <c r="V62" s="2886"/>
      <c r="X62" s="2961"/>
      <c r="Y62" s="2961"/>
      <c r="Z62" s="2961"/>
    </row>
    <row r="63" spans="1:26">
      <c r="A63" s="2897" t="s">
        <v>2594</v>
      </c>
      <c r="B63" s="2898">
        <f t="shared" si="157"/>
        <v>144.04145728643215</v>
      </c>
      <c r="C63" s="2898">
        <f t="shared" si="157"/>
        <v>136.12396694214877</v>
      </c>
      <c r="D63" s="2898">
        <f t="shared" si="131"/>
        <v>136.12396694214877</v>
      </c>
      <c r="E63" s="2898">
        <f t="shared" si="158"/>
        <v>158.32225913621264</v>
      </c>
      <c r="F63" s="2898">
        <f t="shared" si="158"/>
        <v>114.04278074866311</v>
      </c>
      <c r="G63" s="3596">
        <v>2006</v>
      </c>
      <c r="H63" s="2899">
        <v>1</v>
      </c>
      <c r="I63" s="2899">
        <v>2.29</v>
      </c>
      <c r="J63" s="2899">
        <v>3.72</v>
      </c>
      <c r="K63" s="2899">
        <v>0.75</v>
      </c>
      <c r="L63" s="2905">
        <v>0.04</v>
      </c>
      <c r="N63" s="2962">
        <f t="shared" si="155"/>
        <v>4.3778675988638847E-2</v>
      </c>
      <c r="O63" s="2963">
        <f t="shared" si="155"/>
        <v>3.9114251466784385E-2</v>
      </c>
      <c r="P63" s="2963">
        <f t="shared" si="156"/>
        <v>2.1433929911049188E-2</v>
      </c>
      <c r="Q63" s="2963">
        <f t="shared" si="156"/>
        <v>3.7526972511492629E-4</v>
      </c>
      <c r="R63" s="2901"/>
      <c r="S63" s="2902">
        <f>B63/B64-1</f>
        <v>4.3778675988638716E-2</v>
      </c>
      <c r="T63" s="2903">
        <f>C63/C64-1</f>
        <v>3.91142514667846E-2</v>
      </c>
      <c r="U63" s="2903">
        <f>E63/E64-1</f>
        <v>2.143392991104931E-2</v>
      </c>
      <c r="V63" s="2903">
        <f>F63/F64-1</f>
        <v>3.7526972511492396E-4</v>
      </c>
      <c r="X63" s="2961"/>
      <c r="Y63" s="2961"/>
      <c r="Z63" s="2961"/>
    </row>
    <row r="64" spans="1:26" ht="13.5" thickBot="1">
      <c r="A64" s="2897" t="s">
        <v>2595</v>
      </c>
      <c r="B64" s="2926">
        <v>138</v>
      </c>
      <c r="C64" s="2926">
        <v>131</v>
      </c>
      <c r="D64" s="2926">
        <f t="shared" si="131"/>
        <v>131</v>
      </c>
      <c r="E64" s="2926">
        <v>155</v>
      </c>
      <c r="F64" s="2927">
        <v>114</v>
      </c>
      <c r="G64" s="3594">
        <v>2005</v>
      </c>
      <c r="H64" s="2921">
        <v>4</v>
      </c>
      <c r="I64" s="2921">
        <v>3.29</v>
      </c>
      <c r="J64" s="2921">
        <v>1.44</v>
      </c>
      <c r="K64" s="2921">
        <v>0.66</v>
      </c>
      <c r="L64" s="2922">
        <v>7.78</v>
      </c>
      <c r="N64" s="2959">
        <f t="shared" ref="N64:O67" si="159">I64/SUM(I$64:I$67)*(B$64/B$68-1)</f>
        <v>9.9404603216919935E-2</v>
      </c>
      <c r="O64" s="2960">
        <f t="shared" si="159"/>
        <v>4.7636550760861554E-2</v>
      </c>
      <c r="P64" s="2960">
        <f t="shared" ref="P64:Q67" si="160">K64/SUM(K$64:K$67)*(E$64/E$68-1)</f>
        <v>8.3756345177664976E-2</v>
      </c>
      <c r="Q64" s="2960">
        <f t="shared" si="160"/>
        <v>5.2148766661559584E-2</v>
      </c>
      <c r="R64" s="2901"/>
      <c r="S64" s="2910"/>
      <c r="T64" s="2911"/>
      <c r="U64" s="2911"/>
      <c r="V64" s="2911"/>
      <c r="X64" s="2961"/>
      <c r="Y64" s="2961"/>
      <c r="Z64" s="2961"/>
    </row>
    <row r="65" spans="1:26">
      <c r="A65" s="2897" t="s">
        <v>2596</v>
      </c>
      <c r="B65" s="2898">
        <f t="shared" ref="B65:C67" si="161">B66+(B$64-B$68)*I65/SUM(I$64:I$67)</f>
        <v>125.9720430107527</v>
      </c>
      <c r="C65" s="2898">
        <f t="shared" si="161"/>
        <v>125.1883408071749</v>
      </c>
      <c r="D65" s="2898">
        <f t="shared" si="131"/>
        <v>125.1883408071749</v>
      </c>
      <c r="E65" s="2898">
        <f t="shared" ref="E65:F67" si="162">E66+(E$64-E$68)*K65/SUM(K$64:K$67)</f>
        <v>144.61421319796952</v>
      </c>
      <c r="F65" s="2898">
        <f t="shared" si="162"/>
        <v>108.42008196721311</v>
      </c>
      <c r="G65" s="3595">
        <v>2005</v>
      </c>
      <c r="H65" s="2924">
        <v>3</v>
      </c>
      <c r="I65" s="2924">
        <v>0.46</v>
      </c>
      <c r="J65" s="2924">
        <v>0.32</v>
      </c>
      <c r="K65" s="2924">
        <v>0.42</v>
      </c>
      <c r="L65" s="2925">
        <v>0.64</v>
      </c>
      <c r="N65" s="2959">
        <f t="shared" si="159"/>
        <v>1.3898515951301874E-2</v>
      </c>
      <c r="O65" s="2960">
        <f t="shared" si="159"/>
        <v>1.0585900169080346E-2</v>
      </c>
      <c r="P65" s="2960">
        <f t="shared" si="160"/>
        <v>5.3299492385786795E-2</v>
      </c>
      <c r="Q65" s="2960">
        <f t="shared" si="160"/>
        <v>4.2898728359123568E-3</v>
      </c>
      <c r="R65" s="2901"/>
      <c r="S65" s="2900"/>
      <c r="T65" s="2886"/>
      <c r="U65" s="2886"/>
      <c r="V65" s="2886"/>
      <c r="X65" s="2961"/>
      <c r="Y65" s="2961"/>
      <c r="Z65" s="2961"/>
    </row>
    <row r="66" spans="1:26">
      <c r="A66" s="2897" t="s">
        <v>2597</v>
      </c>
      <c r="B66" s="2898">
        <f t="shared" si="161"/>
        <v>124.29032258064517</v>
      </c>
      <c r="C66" s="2898">
        <f t="shared" si="161"/>
        <v>123.8968609865471</v>
      </c>
      <c r="D66" s="2898">
        <f t="shared" si="131"/>
        <v>123.8968609865471</v>
      </c>
      <c r="E66" s="2898">
        <f t="shared" si="162"/>
        <v>138.00507614213197</v>
      </c>
      <c r="F66" s="2898">
        <f t="shared" si="162"/>
        <v>107.96106557377048</v>
      </c>
      <c r="G66" s="3595">
        <v>2005</v>
      </c>
      <c r="H66" s="2912">
        <v>2</v>
      </c>
      <c r="I66" s="2912">
        <v>0.47</v>
      </c>
      <c r="J66" s="2912">
        <v>0.1</v>
      </c>
      <c r="K66" s="2912">
        <v>0.52</v>
      </c>
      <c r="L66" s="2913">
        <v>0.79</v>
      </c>
      <c r="N66" s="2959">
        <f t="shared" si="159"/>
        <v>1.420065760241713E-2</v>
      </c>
      <c r="O66" s="2960">
        <f t="shared" si="159"/>
        <v>3.3080938028376083E-3</v>
      </c>
      <c r="P66" s="2960">
        <f t="shared" si="160"/>
        <v>6.598984771573603E-2</v>
      </c>
      <c r="Q66" s="2960">
        <f t="shared" si="160"/>
        <v>5.2953117818293153E-3</v>
      </c>
      <c r="R66" s="2901"/>
      <c r="S66" s="2900"/>
      <c r="T66" s="2886"/>
      <c r="U66" s="2886"/>
      <c r="V66" s="2886"/>
      <c r="X66" s="2961"/>
      <c r="Y66" s="2961"/>
      <c r="Z66" s="2961"/>
    </row>
    <row r="67" spans="1:26">
      <c r="A67" s="2897" t="s">
        <v>2598</v>
      </c>
      <c r="B67" s="2898">
        <f t="shared" si="161"/>
        <v>122.57204301075269</v>
      </c>
      <c r="C67" s="2898">
        <f t="shared" si="161"/>
        <v>123.4932735426009</v>
      </c>
      <c r="D67" s="2898">
        <f t="shared" si="131"/>
        <v>123.4932735426009</v>
      </c>
      <c r="E67" s="2898">
        <f t="shared" si="162"/>
        <v>129.82233502538071</v>
      </c>
      <c r="F67" s="2898">
        <f t="shared" si="162"/>
        <v>107.39446721311475</v>
      </c>
      <c r="G67" s="3596">
        <v>2005</v>
      </c>
      <c r="H67" s="2899">
        <v>1</v>
      </c>
      <c r="I67" s="2899">
        <v>0.43</v>
      </c>
      <c r="J67" s="2899">
        <v>0.37</v>
      </c>
      <c r="K67" s="2899">
        <v>0.37</v>
      </c>
      <c r="L67" s="2905">
        <v>0.55000000000000004</v>
      </c>
      <c r="N67" s="2962">
        <f t="shared" si="159"/>
        <v>1.2992090997956099E-2</v>
      </c>
      <c r="O67" s="2963">
        <f t="shared" si="159"/>
        <v>1.2239947070499151E-2</v>
      </c>
      <c r="P67" s="2963">
        <f t="shared" si="160"/>
        <v>4.6954314720812178E-2</v>
      </c>
      <c r="Q67" s="2963">
        <f t="shared" si="160"/>
        <v>3.6866094683621815E-3</v>
      </c>
      <c r="R67" s="2901"/>
      <c r="S67" s="2902">
        <f>B67/B68-1</f>
        <v>1.2992090997956174E-2</v>
      </c>
      <c r="T67" s="2903">
        <f>C67/C68-1</f>
        <v>1.2239947070499246E-2</v>
      </c>
      <c r="U67" s="2903">
        <f>E67/E68-1</f>
        <v>4.695431472081224E-2</v>
      </c>
      <c r="V67" s="2903">
        <f>F67/F68-1</f>
        <v>3.6866094683620787E-3</v>
      </c>
      <c r="X67" s="2961"/>
      <c r="Y67" s="2961"/>
      <c r="Z67" s="2961"/>
    </row>
    <row r="68" spans="1:26" ht="13.5" thickBot="1">
      <c r="A68" s="2897" t="s">
        <v>2599</v>
      </c>
      <c r="B68" s="2947">
        <v>121</v>
      </c>
      <c r="C68" s="2947">
        <v>122</v>
      </c>
      <c r="D68" s="2947">
        <f t="shared" si="131"/>
        <v>122</v>
      </c>
      <c r="E68" s="2947">
        <v>124</v>
      </c>
      <c r="F68" s="2948">
        <v>107</v>
      </c>
      <c r="G68" s="3594">
        <v>2004</v>
      </c>
      <c r="H68" s="2921">
        <v>4</v>
      </c>
      <c r="I68" s="2921">
        <v>0.33</v>
      </c>
      <c r="J68" s="2921">
        <v>0.5</v>
      </c>
      <c r="K68" s="2921">
        <v>0.5</v>
      </c>
      <c r="L68" s="2922">
        <v>0</v>
      </c>
      <c r="N68" s="2959">
        <f t="shared" ref="N68:O71" si="163">I68/SUM(I$68:I$71)*(B$68/B$72-1)</f>
        <v>1.3391770148526898E-2</v>
      </c>
      <c r="O68" s="2960">
        <f t="shared" si="163"/>
        <v>1.063264221158958E-2</v>
      </c>
      <c r="P68" s="2960">
        <f t="shared" ref="P68:Q71" si="164">K68/SUM(K$68:K$71)*(E$68/E$72-1)</f>
        <v>2.2244466688911134E-2</v>
      </c>
      <c r="Q68" s="2960">
        <f t="shared" si="164"/>
        <v>0</v>
      </c>
      <c r="R68" s="2901"/>
      <c r="S68" s="2910"/>
      <c r="T68" s="2911"/>
      <c r="U68" s="2911"/>
      <c r="V68" s="2911"/>
      <c r="X68" s="2961"/>
      <c r="Y68" s="2961"/>
      <c r="Z68" s="2961"/>
    </row>
    <row r="69" spans="1:26">
      <c r="A69" s="2897" t="s">
        <v>2600</v>
      </c>
      <c r="B69" s="2898">
        <f t="shared" ref="B69:C71" si="165">B70+(B$68-B$72)*I69/SUM(I$68:I$71)</f>
        <v>119.51351351351352</v>
      </c>
      <c r="C69" s="2898">
        <f t="shared" si="165"/>
        <v>120.7878787878788</v>
      </c>
      <c r="D69" s="2898">
        <f t="shared" si="131"/>
        <v>120.7878787878788</v>
      </c>
      <c r="E69" s="2898">
        <f t="shared" ref="E69:F71" si="166">E70+(E$68-E$72)*K69/SUM(K$68:K$71)</f>
        <v>121.5975975975976</v>
      </c>
      <c r="F69" s="2898">
        <f t="shared" si="166"/>
        <v>107</v>
      </c>
      <c r="G69" s="3595">
        <v>2004</v>
      </c>
      <c r="H69" s="2924">
        <v>3</v>
      </c>
      <c r="I69" s="2924">
        <v>0.56000000000000005</v>
      </c>
      <c r="J69" s="2924">
        <v>0.8</v>
      </c>
      <c r="K69" s="2924">
        <v>0.83</v>
      </c>
      <c r="L69" s="2925">
        <v>0.06</v>
      </c>
      <c r="N69" s="2959">
        <f t="shared" si="163"/>
        <v>2.2725428130833527E-2</v>
      </c>
      <c r="O69" s="2960">
        <f t="shared" si="163"/>
        <v>1.7012227538543329E-2</v>
      </c>
      <c r="P69" s="2960">
        <f t="shared" si="164"/>
        <v>3.6925814703592477E-2</v>
      </c>
      <c r="Q69" s="2960">
        <f t="shared" si="164"/>
        <v>2.8846153846153744E-2</v>
      </c>
      <c r="R69" s="2901"/>
      <c r="S69" s="2900"/>
      <c r="T69" s="2886"/>
      <c r="U69" s="2886"/>
      <c r="V69" s="2886"/>
      <c r="X69" s="2961"/>
      <c r="Y69" s="2961"/>
      <c r="Z69" s="2961"/>
    </row>
    <row r="70" spans="1:26">
      <c r="A70" s="2897" t="s">
        <v>2601</v>
      </c>
      <c r="B70" s="2898">
        <f t="shared" si="165"/>
        <v>116.99099099099099</v>
      </c>
      <c r="C70" s="2898">
        <f t="shared" si="165"/>
        <v>118.84848484848486</v>
      </c>
      <c r="D70" s="2898">
        <f t="shared" si="131"/>
        <v>118.84848484848486</v>
      </c>
      <c r="E70" s="2898">
        <f t="shared" si="166"/>
        <v>117.60960960960961</v>
      </c>
      <c r="F70" s="2898">
        <f t="shared" si="166"/>
        <v>104</v>
      </c>
      <c r="G70" s="3595">
        <v>2004</v>
      </c>
      <c r="H70" s="2912">
        <v>2</v>
      </c>
      <c r="I70" s="2912">
        <v>1</v>
      </c>
      <c r="J70" s="2912">
        <v>1.5</v>
      </c>
      <c r="K70" s="2912">
        <v>1.5</v>
      </c>
      <c r="L70" s="2913">
        <v>0</v>
      </c>
      <c r="N70" s="2959">
        <f t="shared" si="163"/>
        <v>4.0581121662202721E-2</v>
      </c>
      <c r="O70" s="2960">
        <f t="shared" si="163"/>
        <v>3.1897926634768738E-2</v>
      </c>
      <c r="P70" s="2960">
        <f t="shared" si="164"/>
        <v>6.6733400066733395E-2</v>
      </c>
      <c r="Q70" s="2960">
        <f t="shared" si="164"/>
        <v>0</v>
      </c>
      <c r="R70" s="2901"/>
      <c r="S70" s="2900"/>
      <c r="T70" s="2886"/>
      <c r="U70" s="2886"/>
      <c r="V70" s="2886"/>
      <c r="X70" s="2961"/>
      <c r="Y70" s="2961"/>
      <c r="Z70" s="2961"/>
    </row>
    <row r="71" spans="1:26" s="2953" customFormat="1" ht="13.5" thickBot="1">
      <c r="A71" s="2897" t="s">
        <v>2602</v>
      </c>
      <c r="B71" s="2950">
        <f t="shared" si="165"/>
        <v>112.48648648648648</v>
      </c>
      <c r="C71" s="2950">
        <f t="shared" si="165"/>
        <v>115.21212121212122</v>
      </c>
      <c r="D71" s="2950">
        <f t="shared" si="131"/>
        <v>115.21212121212122</v>
      </c>
      <c r="E71" s="2950">
        <f t="shared" si="166"/>
        <v>110.4024024024024</v>
      </c>
      <c r="F71" s="2950">
        <f t="shared" si="166"/>
        <v>104</v>
      </c>
      <c r="G71" s="3596">
        <v>2004</v>
      </c>
      <c r="H71" s="2951">
        <v>1</v>
      </c>
      <c r="I71" s="2951">
        <v>0.33</v>
      </c>
      <c r="J71" s="2951">
        <v>0.5</v>
      </c>
      <c r="K71" s="2951">
        <v>0.5</v>
      </c>
      <c r="L71" s="2952">
        <v>0</v>
      </c>
      <c r="N71" s="2964">
        <f t="shared" si="163"/>
        <v>1.3391770148526898E-2</v>
      </c>
      <c r="O71" s="2965">
        <f t="shared" si="163"/>
        <v>1.063264221158958E-2</v>
      </c>
      <c r="P71" s="2965">
        <f t="shared" si="164"/>
        <v>2.2244466688911134E-2</v>
      </c>
      <c r="Q71" s="2965">
        <f t="shared" si="164"/>
        <v>0</v>
      </c>
      <c r="R71" s="2956"/>
      <c r="S71" s="2954">
        <f>B71/B72-1</f>
        <v>1.3391770148526883E-2</v>
      </c>
      <c r="T71" s="2955">
        <f>C71/C72-1</f>
        <v>1.063264221158966E-2</v>
      </c>
      <c r="U71" s="2955">
        <f>E71/E72-1</f>
        <v>2.2244466688911224E-2</v>
      </c>
      <c r="V71" s="2955">
        <f>F71/F72-1</f>
        <v>0</v>
      </c>
      <c r="X71" s="2966"/>
      <c r="Y71" s="2966"/>
      <c r="Z71" s="2966"/>
    </row>
    <row r="72" spans="1:26" ht="13.5" thickBot="1">
      <c r="A72" s="2897" t="s">
        <v>2603</v>
      </c>
      <c r="B72" s="2967">
        <v>111</v>
      </c>
      <c r="C72" s="2967">
        <v>114</v>
      </c>
      <c r="D72" s="2967">
        <f t="shared" si="131"/>
        <v>114</v>
      </c>
      <c r="E72" s="2967">
        <v>108</v>
      </c>
      <c r="F72" s="2968">
        <v>104</v>
      </c>
      <c r="G72" s="3594">
        <v>2003</v>
      </c>
      <c r="H72" s="2957">
        <v>4</v>
      </c>
      <c r="I72" s="2969"/>
      <c r="J72" s="2969"/>
      <c r="K72" s="2969"/>
      <c r="L72" s="2969"/>
      <c r="N72" s="2970"/>
      <c r="O72" s="2969"/>
      <c r="P72" s="2969"/>
      <c r="Q72" s="2969"/>
      <c r="S72" s="2970"/>
      <c r="T72" s="2969"/>
      <c r="U72" s="2969"/>
      <c r="V72" s="2969"/>
      <c r="X72" s="2961"/>
      <c r="Y72" s="2961"/>
      <c r="Z72" s="2961"/>
    </row>
    <row r="73" spans="1:26">
      <c r="A73" s="2897" t="s">
        <v>2604</v>
      </c>
      <c r="B73" s="2971">
        <f t="shared" ref="B73:C75" si="167">B74+(B$72-B$76)/4</f>
        <v>109.75</v>
      </c>
      <c r="C73" s="2971">
        <f t="shared" si="167"/>
        <v>112.25</v>
      </c>
      <c r="D73" s="2971">
        <f t="shared" si="131"/>
        <v>112.25</v>
      </c>
      <c r="E73" s="2971">
        <f t="shared" ref="E73:F75" si="168">E74+(E$72-E$76)/4</f>
        <v>107.25</v>
      </c>
      <c r="F73" s="2971">
        <f t="shared" si="168"/>
        <v>103.5</v>
      </c>
      <c r="G73" s="3595">
        <v>2003</v>
      </c>
      <c r="H73" s="2924">
        <v>3</v>
      </c>
      <c r="I73" s="2969"/>
      <c r="J73" s="2969"/>
      <c r="K73" s="2969"/>
      <c r="L73" s="2969"/>
      <c r="X73" s="2961"/>
      <c r="Y73" s="2961"/>
      <c r="Z73" s="2961"/>
    </row>
    <row r="74" spans="1:26">
      <c r="A74" s="2897" t="s">
        <v>2605</v>
      </c>
      <c r="B74" s="2971">
        <f t="shared" si="167"/>
        <v>108.5</v>
      </c>
      <c r="C74" s="2971">
        <f t="shared" si="167"/>
        <v>110.5</v>
      </c>
      <c r="D74" s="2971">
        <f t="shared" si="131"/>
        <v>110.5</v>
      </c>
      <c r="E74" s="2971">
        <f t="shared" si="168"/>
        <v>106.5</v>
      </c>
      <c r="F74" s="2971">
        <f t="shared" si="168"/>
        <v>103</v>
      </c>
      <c r="G74" s="3595">
        <v>2003</v>
      </c>
      <c r="H74" s="2912">
        <v>2</v>
      </c>
      <c r="I74" s="2969"/>
      <c r="J74" s="2969"/>
      <c r="K74" s="2969"/>
      <c r="L74" s="2969"/>
      <c r="X74" s="2961"/>
      <c r="Y74" s="2961"/>
      <c r="Z74" s="2961"/>
    </row>
    <row r="75" spans="1:26" ht="13.5" thickBot="1">
      <c r="A75" s="2897" t="s">
        <v>2606</v>
      </c>
      <c r="B75" s="2971">
        <f t="shared" si="167"/>
        <v>107.25</v>
      </c>
      <c r="C75" s="2971">
        <f t="shared" si="167"/>
        <v>108.75</v>
      </c>
      <c r="D75" s="2971">
        <f t="shared" si="131"/>
        <v>108.75</v>
      </c>
      <c r="E75" s="2971">
        <f t="shared" si="168"/>
        <v>105.75</v>
      </c>
      <c r="F75" s="2971">
        <f t="shared" si="168"/>
        <v>102.5</v>
      </c>
      <c r="G75" s="3596">
        <v>2003</v>
      </c>
      <c r="H75" s="2972">
        <v>1</v>
      </c>
      <c r="I75" s="2969"/>
      <c r="J75" s="2969"/>
      <c r="K75" s="2969"/>
      <c r="L75" s="2969"/>
      <c r="S75" s="2900"/>
      <c r="T75" s="2886"/>
      <c r="U75" s="2886"/>
      <c r="X75" s="2961"/>
      <c r="Y75" s="2961"/>
      <c r="Z75" s="2961"/>
    </row>
    <row r="76" spans="1:26" ht="13.5" thickBot="1">
      <c r="A76" s="2897" t="s">
        <v>2607</v>
      </c>
      <c r="B76" s="2973">
        <v>106</v>
      </c>
      <c r="C76" s="2973">
        <v>107</v>
      </c>
      <c r="D76" s="2973">
        <f t="shared" si="131"/>
        <v>107</v>
      </c>
      <c r="E76" s="2973">
        <v>105</v>
      </c>
      <c r="F76" s="2974">
        <v>102</v>
      </c>
      <c r="G76" s="3594">
        <v>2002</v>
      </c>
      <c r="H76" s="2921">
        <v>4</v>
      </c>
      <c r="I76" s="2969"/>
      <c r="J76" s="2969"/>
      <c r="K76" s="2969"/>
      <c r="L76" s="2969"/>
      <c r="N76" s="2970"/>
      <c r="O76" s="2969"/>
      <c r="P76" s="2969"/>
      <c r="Q76" s="2969"/>
      <c r="S76" s="2970"/>
      <c r="T76" s="2969"/>
      <c r="U76" s="2969"/>
      <c r="V76" s="2969"/>
      <c r="X76" s="2961"/>
      <c r="Y76" s="2961"/>
      <c r="Z76" s="2961"/>
    </row>
    <row r="77" spans="1:26">
      <c r="A77" s="2897" t="s">
        <v>2608</v>
      </c>
      <c r="B77" s="2971">
        <f t="shared" ref="B77:C79" si="169">B78+(B$76-B$80)/4</f>
        <v>105</v>
      </c>
      <c r="C77" s="2971">
        <f t="shared" si="169"/>
        <v>106</v>
      </c>
      <c r="D77" s="2971">
        <f t="shared" si="131"/>
        <v>106</v>
      </c>
      <c r="E77" s="2971">
        <f t="shared" ref="E77:F79" si="170">E78+(E$76-E$80)/4</f>
        <v>104.5</v>
      </c>
      <c r="F77" s="2971">
        <f t="shared" si="170"/>
        <v>101.5</v>
      </c>
      <c r="G77" s="3595">
        <v>2002</v>
      </c>
      <c r="H77" s="2924">
        <v>3</v>
      </c>
      <c r="I77" s="2969"/>
      <c r="J77" s="2969"/>
      <c r="K77" s="2969"/>
      <c r="L77" s="2969"/>
      <c r="X77" s="2961"/>
      <c r="Y77" s="2961"/>
      <c r="Z77" s="2961"/>
    </row>
    <row r="78" spans="1:26">
      <c r="A78" s="2897" t="s">
        <v>2609</v>
      </c>
      <c r="B78" s="2971">
        <f t="shared" si="169"/>
        <v>104</v>
      </c>
      <c r="C78" s="2971">
        <f t="shared" si="169"/>
        <v>105</v>
      </c>
      <c r="D78" s="2971">
        <f t="shared" si="131"/>
        <v>105</v>
      </c>
      <c r="E78" s="2971">
        <f t="shared" si="170"/>
        <v>104</v>
      </c>
      <c r="F78" s="2971">
        <f t="shared" si="170"/>
        <v>101</v>
      </c>
      <c r="G78" s="3595">
        <v>2002</v>
      </c>
      <c r="H78" s="2912">
        <v>2</v>
      </c>
      <c r="I78" s="2969"/>
      <c r="J78" s="2969"/>
      <c r="K78" s="2969"/>
      <c r="L78" s="2969"/>
      <c r="X78" s="2961"/>
      <c r="Y78" s="2961"/>
      <c r="Z78" s="2961"/>
    </row>
    <row r="79" spans="1:26" s="2934" customFormat="1" ht="13.5" thickBot="1">
      <c r="A79" s="2930" t="s">
        <v>2610</v>
      </c>
      <c r="B79" s="2937">
        <f t="shared" si="169"/>
        <v>103</v>
      </c>
      <c r="C79" s="2937">
        <f t="shared" si="169"/>
        <v>104</v>
      </c>
      <c r="D79" s="2937">
        <f t="shared" si="131"/>
        <v>104</v>
      </c>
      <c r="E79" s="2937">
        <f t="shared" si="170"/>
        <v>103.5</v>
      </c>
      <c r="F79" s="2937">
        <f t="shared" si="170"/>
        <v>100.5</v>
      </c>
      <c r="G79" s="3596">
        <v>2002</v>
      </c>
      <c r="H79" s="2975">
        <v>1</v>
      </c>
      <c r="I79" s="2976"/>
      <c r="J79" s="2976"/>
      <c r="K79" s="2976"/>
      <c r="L79" s="2976"/>
      <c r="N79" s="2977"/>
      <c r="S79" s="2977"/>
      <c r="X79" s="2978"/>
      <c r="Y79" s="2978"/>
      <c r="Z79" s="2978"/>
    </row>
    <row r="80" spans="1:26" ht="13.5" thickBot="1">
      <c r="B80" s="2979">
        <v>102</v>
      </c>
      <c r="C80" s="2980">
        <v>103</v>
      </c>
      <c r="D80" s="2980">
        <f t="shared" si="131"/>
        <v>103</v>
      </c>
      <c r="E80" s="2980">
        <v>103</v>
      </c>
      <c r="F80" s="2981">
        <v>100</v>
      </c>
      <c r="I80" s="2969"/>
      <c r="J80" s="2969"/>
      <c r="K80" s="2969"/>
      <c r="L80" s="2969"/>
      <c r="N80" s="2970"/>
      <c r="O80" s="2969"/>
      <c r="P80" s="2969"/>
      <c r="Q80" s="2969"/>
      <c r="S80" s="2970"/>
      <c r="T80" s="2969"/>
      <c r="U80" s="2969"/>
      <c r="V80" s="2969"/>
      <c r="X80" s="2911"/>
      <c r="Y80" s="2911"/>
      <c r="Z80" s="2911"/>
    </row>
    <row r="82" spans="1:22" s="2983" customFormat="1">
      <c r="A82" s="2982" t="s">
        <v>2611</v>
      </c>
      <c r="G82" s="2984"/>
      <c r="N82" s="2984"/>
      <c r="S82" s="2984"/>
    </row>
    <row r="83" spans="1:22" s="2983" customFormat="1">
      <c r="A83" s="2983" t="s">
        <v>2612</v>
      </c>
      <c r="G83" s="2984"/>
      <c r="N83" s="2984"/>
      <c r="S83" s="2984"/>
    </row>
    <row r="84" spans="1:22" s="2983" customFormat="1">
      <c r="A84" s="2983" t="s">
        <v>2613</v>
      </c>
      <c r="G84" s="2984"/>
      <c r="I84" s="2985"/>
      <c r="J84" s="2985"/>
      <c r="K84" s="2985"/>
      <c r="L84" s="2985"/>
      <c r="N84" s="2986"/>
      <c r="O84" s="2985"/>
      <c r="P84" s="2985"/>
      <c r="Q84" s="2985"/>
      <c r="S84" s="2986"/>
      <c r="T84" s="2985"/>
      <c r="U84" s="2985"/>
      <c r="V84" s="2985"/>
    </row>
    <row r="85" spans="1:22" s="2983" customFormat="1">
      <c r="A85" s="2983" t="s">
        <v>2614</v>
      </c>
      <c r="G85" s="2984"/>
      <c r="N85" s="2984"/>
      <c r="S85" s="2984"/>
    </row>
    <row r="92" spans="1:22" ht="13.5" thickBot="1"/>
    <row r="93" spans="1:22">
      <c r="G93" s="2885"/>
      <c r="S93" s="2987" t="s">
        <v>2615</v>
      </c>
      <c r="T93" s="2988" t="s">
        <v>2616</v>
      </c>
      <c r="U93" s="2988" t="s">
        <v>2617</v>
      </c>
      <c r="V93" s="2988" t="s">
        <v>2618</v>
      </c>
    </row>
    <row r="94" spans="1:22">
      <c r="G94" s="2885"/>
      <c r="N94" s="2910"/>
      <c r="O94" s="2911"/>
      <c r="P94" s="2911"/>
      <c r="Q94" s="2911"/>
      <c r="S94" s="2989">
        <v>2006</v>
      </c>
      <c r="T94" s="2990">
        <v>15.1</v>
      </c>
      <c r="U94" s="2990">
        <v>7.43</v>
      </c>
      <c r="V94" s="2990">
        <v>26.26</v>
      </c>
    </row>
    <row r="95" spans="1:22">
      <c r="G95" s="2885"/>
      <c r="N95" s="2910"/>
      <c r="O95" s="2911"/>
      <c r="P95" s="2911"/>
      <c r="Q95" s="2911"/>
      <c r="S95" s="2991">
        <v>2005</v>
      </c>
      <c r="T95" s="2992">
        <v>13.9</v>
      </c>
      <c r="U95" s="2992">
        <v>7.49</v>
      </c>
      <c r="V95" s="2992">
        <v>24.92</v>
      </c>
    </row>
    <row r="96" spans="1:22">
      <c r="G96" s="2885"/>
      <c r="N96" s="2910"/>
      <c r="O96" s="2911"/>
      <c r="P96" s="2911"/>
      <c r="Q96" s="2911"/>
      <c r="S96" s="2989">
        <v>2004</v>
      </c>
      <c r="T96" s="2990">
        <v>9.48</v>
      </c>
      <c r="U96" s="2990">
        <v>7.2</v>
      </c>
      <c r="V96" s="2990">
        <v>14.68</v>
      </c>
    </row>
    <row r="97" spans="7:22">
      <c r="G97" s="2885"/>
      <c r="N97" s="2910"/>
      <c r="O97" s="2911"/>
      <c r="P97" s="2911"/>
      <c r="Q97" s="2911"/>
      <c r="S97" s="2991">
        <v>2003</v>
      </c>
      <c r="T97" s="2992">
        <v>4.5</v>
      </c>
      <c r="U97" s="2992">
        <v>6.12</v>
      </c>
      <c r="V97" s="2992">
        <v>2.34</v>
      </c>
    </row>
    <row r="98" spans="7:22" ht="13.5" thickBot="1">
      <c r="G98" s="2885"/>
      <c r="N98" s="2910"/>
      <c r="O98" s="2911"/>
      <c r="P98" s="2911"/>
      <c r="Q98" s="2911"/>
      <c r="S98" s="2993">
        <v>2002</v>
      </c>
      <c r="T98" s="2994">
        <v>3.59</v>
      </c>
      <c r="U98" s="2994">
        <v>4.54</v>
      </c>
      <c r="V98" s="2994">
        <v>2.5499999999999998</v>
      </c>
    </row>
    <row r="99" spans="7:22">
      <c r="G99" s="2885"/>
      <c r="N99" s="2910"/>
      <c r="O99" s="2911"/>
      <c r="P99" s="2911"/>
      <c r="Q99" s="2911"/>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c r="S109" s="2885"/>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56.25">
      <c r="A7" s="1709" t="s">
        <v>2727</v>
      </c>
    </row>
    <row r="8" spans="1:4" ht="18.75">
      <c r="A8" s="1708" t="s">
        <v>1896</v>
      </c>
    </row>
    <row r="9" spans="1:4" ht="75">
      <c r="A9" s="17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2020年9月3日（评估专业人员勘察现场之日）</v>
      </c>
    </row>
    <row r="12" spans="1:4" ht="18.75">
      <c r="A12" s="1711" t="s">
        <v>2013</v>
      </c>
    </row>
    <row r="13" spans="1:4" ht="18.75">
      <c r="A13" s="1705" t="s">
        <v>2909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18.75">
      <c r="A21" s="1705" t="s">
        <v>2062</v>
      </c>
    </row>
    <row r="22" spans="1:1" ht="93.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2916</v>
      </c>
      <c r="B1" s="3245"/>
      <c r="C1" s="3245"/>
      <c r="D1" s="3245"/>
      <c r="E1" s="3245"/>
      <c r="F1" s="3245"/>
      <c r="G1" s="3246"/>
      <c r="H1" s="3246"/>
      <c r="I1" s="3246"/>
      <c r="J1" s="3246"/>
      <c r="K1" s="3246"/>
      <c r="L1" s="3246"/>
      <c r="M1" s="3246"/>
      <c r="N1" s="3246"/>
    </row>
    <row r="2" spans="1:14" ht="14.25">
      <c r="A2" s="3251" t="s">
        <v>2911</v>
      </c>
      <c r="B2" s="3256">
        <f ca="1">SUMIF(B7:B14,"&lt;&gt;#ref!",B7:B14)</f>
        <v>0</v>
      </c>
      <c r="C2" s="3251" t="s">
        <v>2912</v>
      </c>
      <c r="D2" s="3248"/>
      <c r="E2" s="3248"/>
      <c r="F2" s="3248"/>
      <c r="G2" s="3246"/>
      <c r="H2" s="3246"/>
      <c r="I2" s="3246"/>
      <c r="J2" s="3246"/>
      <c r="K2" s="3246"/>
      <c r="L2" s="3246"/>
      <c r="M2" s="3246"/>
      <c r="N2" s="3246"/>
    </row>
    <row r="3" spans="1:14" ht="14.25">
      <c r="A3" s="3251" t="s">
        <v>2941</v>
      </c>
      <c r="B3" s="3256" t="e">
        <f ca="1">ROUND(B2*10000/E3,0)</f>
        <v>#DIV/0!</v>
      </c>
      <c r="C3" s="3251" t="s">
        <v>2066</v>
      </c>
      <c r="D3" s="3251" t="s">
        <v>2913</v>
      </c>
      <c r="E3" s="3249">
        <f ca="1">SUMIF(E7:E14,"&lt;&gt;#ref!",E7:E14)</f>
        <v>0</v>
      </c>
      <c r="F3" s="3248"/>
      <c r="G3" s="3246"/>
      <c r="H3" s="3246"/>
      <c r="I3" s="3246"/>
      <c r="J3" s="3246"/>
      <c r="K3" s="3246"/>
      <c r="L3" s="3246"/>
      <c r="M3" s="3246"/>
      <c r="N3" s="3246"/>
    </row>
    <row r="4" spans="1:14" ht="14.25">
      <c r="A4" s="3251" t="s">
        <v>2919</v>
      </c>
      <c r="B4" s="3256" t="e">
        <f ca="1">ROUND(B2*10000/E4,0)</f>
        <v>#DIV/0!</v>
      </c>
      <c r="C4" s="3251" t="s">
        <v>2066</v>
      </c>
      <c r="D4" s="3251" t="s">
        <v>2920</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2917</v>
      </c>
      <c r="B6" s="3251" t="s">
        <v>2914</v>
      </c>
      <c r="C6" s="2789"/>
      <c r="D6" s="3248"/>
      <c r="E6" s="3251" t="s">
        <v>2915</v>
      </c>
      <c r="F6" s="3251" t="s">
        <v>2918</v>
      </c>
      <c r="G6" s="3246"/>
      <c r="H6" s="3246"/>
      <c r="I6" s="3246"/>
      <c r="J6" s="3246"/>
      <c r="K6" s="3246"/>
      <c r="L6" s="3246"/>
      <c r="M6" s="3246"/>
      <c r="N6" s="3246"/>
    </row>
    <row r="7" spans="1:14" ht="14.25">
      <c r="A7" s="3254"/>
      <c r="B7" s="3256" t="e">
        <f ca="1">SUMIF(INDIRECT("'"&amp;A7&amp;"'"&amp;"!A:A"),"总价",INDIRECT("'"&amp;A7&amp;"'"&amp;"!B:B"))</f>
        <v>#REF!</v>
      </c>
      <c r="C7" s="3251" t="s">
        <v>2912</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2912</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2912</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2912</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2912</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2912</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2912</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2912</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2358</v>
      </c>
      <c r="F1" s="2242">
        <f ca="1">J54</f>
        <v>-2.5</v>
      </c>
      <c r="G1" s="764">
        <f>MATCH(C1,'数据-取费表'!A6:A16,0)+5</f>
        <v>9</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1676</v>
      </c>
      <c r="B3" s="1338">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5"/>
      <c r="H7" s="771">
        <v>1</v>
      </c>
      <c r="I7" s="772" t="s">
        <v>2439</v>
      </c>
      <c r="J7" s="53">
        <f ca="1">J8+J12+J14</f>
        <v>0</v>
      </c>
      <c r="K7" s="2348" t="s">
        <v>2442</v>
      </c>
      <c r="L7" s="2342"/>
      <c r="M7" s="2343"/>
    </row>
    <row r="8" spans="1:25" ht="18" customHeight="1">
      <c r="A8" s="1744" t="s">
        <v>1814</v>
      </c>
      <c r="B8" s="3603" t="s">
        <v>2444</v>
      </c>
      <c r="C8" s="1739">
        <f ca="1">ROUND(F8*F10*F9*(1-F11)/10000,0)</f>
        <v>0</v>
      </c>
      <c r="D8" s="1736" t="s">
        <v>2515</v>
      </c>
      <c r="E8" s="61" t="s">
        <v>631</v>
      </c>
      <c r="F8" s="775">
        <f ca="1">INDIRECT("'数据-取费表'!u"&amp;$G$1)</f>
        <v>0</v>
      </c>
      <c r="G8" s="1525"/>
      <c r="H8" s="2356" t="s">
        <v>1814</v>
      </c>
      <c r="I8" s="3603" t="s">
        <v>2444</v>
      </c>
      <c r="J8" s="773">
        <f ca="1">ROUND(M8*M10*M9*(1-M11)/10000,0)</f>
        <v>0</v>
      </c>
      <c r="K8" s="339" t="s">
        <v>2515</v>
      </c>
      <c r="L8" s="774" t="s">
        <v>1728</v>
      </c>
      <c r="M8" s="775">
        <f ca="1">INDIRECT("'数据-取费表'!z"&amp;$G$1)</f>
        <v>0</v>
      </c>
    </row>
    <row r="9" spans="1:25" ht="18" customHeight="1">
      <c r="A9" s="2352"/>
      <c r="B9" s="3604"/>
      <c r="C9" s="1740"/>
      <c r="D9" s="1737"/>
      <c r="E9" s="61" t="s">
        <v>632</v>
      </c>
      <c r="F9" s="775">
        <f ca="1">IF(INDIRECT("'数据-取费表'!ah"&amp;$G$1)="",INDIRECT("'数据-取费表'!k"&amp;$G$1),INDIRECT("'数据-取费表'!ah"&amp;$G$1))</f>
        <v>0</v>
      </c>
      <c r="G9" s="1525"/>
      <c r="H9" s="2341"/>
      <c r="I9" s="3604"/>
      <c r="J9" s="778"/>
      <c r="K9" s="779"/>
      <c r="L9" s="774" t="s">
        <v>1729</v>
      </c>
      <c r="M9" s="775">
        <f ca="1">F9</f>
        <v>0</v>
      </c>
    </row>
    <row r="10" spans="1:25" ht="18" customHeight="1">
      <c r="A10" s="2345"/>
      <c r="B10" s="3605"/>
      <c r="C10" s="1740"/>
      <c r="D10" s="1737"/>
      <c r="E10" s="61" t="s">
        <v>633</v>
      </c>
      <c r="F10" s="775">
        <f ca="1">INDIRECT("'数据-取费表'!ai"&amp;$G$1)</f>
        <v>0</v>
      </c>
      <c r="G10" s="1525"/>
      <c r="H10" s="2341"/>
      <c r="I10" s="3605"/>
      <c r="J10" s="778"/>
      <c r="K10" s="779"/>
      <c r="L10" s="774" t="s">
        <v>1730</v>
      </c>
      <c r="M10" s="775">
        <f ca="1">INDIRECT("'数据-取费表'!ai"&amp;$G$1)</f>
        <v>0</v>
      </c>
    </row>
    <row r="11" spans="1:25" ht="18" customHeight="1">
      <c r="A11" s="776"/>
      <c r="B11" s="3606"/>
      <c r="C11" s="1740"/>
      <c r="D11" s="1737"/>
      <c r="E11" s="61" t="s">
        <v>634</v>
      </c>
      <c r="F11" s="784">
        <f ca="1">INDIRECT("'数据-取费表'!w"&amp;$G$1)</f>
        <v>0</v>
      </c>
      <c r="G11" s="1525"/>
      <c r="H11" s="2357"/>
      <c r="I11" s="3605"/>
      <c r="J11" s="778"/>
      <c r="K11" s="779"/>
      <c r="L11" s="785" t="s">
        <v>1731</v>
      </c>
      <c r="M11" s="786">
        <f ca="1">INDIRECT("'数据-取费表'!ab"&amp;$G$1)</f>
        <v>0</v>
      </c>
    </row>
    <row r="12" spans="1:25" ht="18" customHeight="1">
      <c r="A12" s="1744" t="s">
        <v>1815</v>
      </c>
      <c r="B12" s="2346" t="s">
        <v>2440</v>
      </c>
      <c r="C12" s="789">
        <f ca="1">ROUND(IF(F12="押一",C8/12*F13,IF(F12="押二",C8/12*2*F13,IF(F12="押三",C8/12*3*F13,C13*F13))),0)</f>
        <v>0</v>
      </c>
      <c r="D12" s="2353" t="s">
        <v>2938</v>
      </c>
      <c r="E12" s="2350" t="s">
        <v>2445</v>
      </c>
      <c r="F12" s="2464"/>
      <c r="G12" s="1525"/>
      <c r="H12" s="2413" t="s">
        <v>1815</v>
      </c>
      <c r="I12" s="2418" t="s">
        <v>2440</v>
      </c>
      <c r="J12" s="773">
        <f ca="1">ROUND(IF(M12="押一",J8/12*M13,IF(M12="押二",J8/12*2*M13,IF(M12="押三",J8/12*3*M13,J13*M13))),0)</f>
        <v>0</v>
      </c>
      <c r="K12" s="2353" t="s">
        <v>2938</v>
      </c>
      <c r="L12" s="2350" t="s">
        <v>2445</v>
      </c>
      <c r="M12" s="2464"/>
    </row>
    <row r="13" spans="1:25" ht="18" customHeight="1">
      <c r="A13" s="780"/>
      <c r="B13" s="2347" t="s">
        <v>2554</v>
      </c>
      <c r="C13" s="2351"/>
      <c r="D13" s="779"/>
      <c r="E13" s="2350" t="s">
        <v>2437</v>
      </c>
      <c r="F13" s="786">
        <f ca="1">'数据-取费表'!B39</f>
        <v>1.4999999999999999E-2</v>
      </c>
      <c r="G13" s="1525"/>
      <c r="H13" s="2414"/>
      <c r="I13" s="2347" t="s">
        <v>2554</v>
      </c>
      <c r="J13" s="2351"/>
      <c r="K13" s="2415"/>
      <c r="L13" s="2350" t="s">
        <v>2437</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1864</v>
      </c>
      <c r="B15" s="1741" t="s">
        <v>635</v>
      </c>
      <c r="C15" s="782">
        <f ca="1">ROUND(C31*F15,0)</f>
        <v>0</v>
      </c>
      <c r="D15" s="1748" t="s">
        <v>636</v>
      </c>
      <c r="E15" s="785" t="s">
        <v>637</v>
      </c>
      <c r="F15" s="790">
        <f ca="1">INDIRECT("'数据-取费表'!y"&amp;$G$1)</f>
        <v>0</v>
      </c>
      <c r="G15" s="1525"/>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5"/>
      <c r="H16" s="793" t="s">
        <v>2057</v>
      </c>
      <c r="I16" s="2110" t="s">
        <v>2804</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0.03</v>
      </c>
      <c r="G17" s="1526"/>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5"/>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150</v>
      </c>
      <c r="G19" s="1526"/>
      <c r="H19" s="793" t="s">
        <v>2057</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6"/>
      <c r="H20" s="793" t="s">
        <v>1821</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5"/>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0.02</v>
      </c>
      <c r="G22" s="1526"/>
      <c r="H22" s="1746" t="s">
        <v>1840</v>
      </c>
      <c r="I22" s="1736" t="s">
        <v>662</v>
      </c>
      <c r="J22" s="54">
        <f ca="1">ROUND(M22*M23/10000,0)</f>
        <v>0</v>
      </c>
      <c r="K22" s="803" t="s">
        <v>663</v>
      </c>
      <c r="L22" s="774" t="s">
        <v>664</v>
      </c>
      <c r="M22" s="632">
        <f>'数据-取费表'!B52</f>
        <v>15</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3" t="str">
        <f>IF(F25&lt;=1,"单利计息。","复利计息。")&amp;"建造成本、管理费用、销售费用产生的利息。"</f>
        <v>复利计息。建造成本、管理费用、销售费用产生的利息。</v>
      </c>
      <c r="E24" s="1895"/>
      <c r="F24" s="56"/>
      <c r="G24" s="1525"/>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2.5</v>
      </c>
      <c r="G25" s="1526"/>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1.1999999999999999E-3</v>
      </c>
      <c r="D26" s="2422" t="str">
        <f>IF(F25&lt;=1,"销售费用×利率×(建设周期÷2)","销售费用×((1+利率)^(建设周期÷2)-1)")</f>
        <v>销售费用×((1+利率)^(建设周期÷2)-1)</v>
      </c>
      <c r="E26" s="774" t="s">
        <v>676</v>
      </c>
      <c r="F26" s="808">
        <f ca="1">'数据-取费表'!B40</f>
        <v>4.7500000000000001E-2</v>
      </c>
      <c r="G26" s="1526"/>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5"/>
      <c r="H27" s="787" t="s">
        <v>1818</v>
      </c>
      <c r="I27" s="2723" t="s">
        <v>2801</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5"/>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2802</v>
      </c>
      <c r="C31" s="2396">
        <f ca="1">ROUND((C21+C22+C25+C28)/(1-F23-C26-C29-C30),0)</f>
        <v>0</v>
      </c>
      <c r="D31" s="2397"/>
      <c r="E31" s="2398"/>
      <c r="F31" s="2399"/>
      <c r="G31" s="1526"/>
      <c r="H31" s="812" t="s">
        <v>1862</v>
      </c>
      <c r="I31" s="2724"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1866</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2997</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15</v>
      </c>
      <c r="G36" s="1944"/>
      <c r="H36" s="1947"/>
      <c r="I36" s="3602"/>
      <c r="J36" s="1961"/>
      <c r="K36" s="1962"/>
      <c r="L36" s="1961"/>
      <c r="M36" s="1961"/>
    </row>
    <row r="37" spans="1:18" ht="18" customHeight="1">
      <c r="A37" s="804"/>
      <c r="B37" s="783"/>
      <c r="C37" s="69"/>
      <c r="D37" s="805"/>
      <c r="E37" s="774" t="s">
        <v>668</v>
      </c>
      <c r="F37" s="775">
        <f ca="1">INDIRECT("'数据-取费表'!r"&amp;$G$1)</f>
        <v>0</v>
      </c>
      <c r="G37" s="1944"/>
      <c r="H37" s="1947"/>
      <c r="I37" s="3602"/>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1869</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4" t="s">
        <v>2927</v>
      </c>
      <c r="F43" s="2795">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2930</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10" t="str">
        <f ca="1">IF(M48="住宅",0,IF(L49&gt;J52,L61,J61))</f>
        <v>0</v>
      </c>
      <c r="O47" s="2248" t="s">
        <v>2394</v>
      </c>
      <c r="P47" s="1525"/>
      <c r="Q47" s="1533"/>
      <c r="R47" s="1525"/>
    </row>
    <row r="48" spans="1:18" s="1941" customFormat="1" ht="18" customHeight="1" thickBot="1">
      <c r="A48" s="1965"/>
      <c r="C48" s="1968"/>
      <c r="D48" s="1969"/>
      <c r="E48" s="1969"/>
      <c r="F48" s="1970"/>
      <c r="G48" s="1971"/>
      <c r="I48" s="2801" t="s">
        <v>2328</v>
      </c>
      <c r="J48" s="2235"/>
      <c r="K48" s="2807" t="s">
        <v>2333</v>
      </c>
      <c r="L48" s="2811">
        <f ca="1">INDIRECT("'数据-取费表'!d"&amp;$G$1)</f>
        <v>0</v>
      </c>
      <c r="M48" s="2793"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8" t="s">
        <v>2329</v>
      </c>
      <c r="J49" s="2236"/>
      <c r="K49" s="2808"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8" t="s">
        <v>2330</v>
      </c>
      <c r="J50" s="2237"/>
      <c r="K50" s="2809"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8" t="s">
        <v>2331</v>
      </c>
      <c r="J51" s="2805">
        <f>SUMPRODUCT((I64:I66=J48)*(J63:L63=J49)*(J64:L66))</f>
        <v>0</v>
      </c>
      <c r="K51" s="2809" t="s">
        <v>2337</v>
      </c>
      <c r="L51" s="2238"/>
      <c r="O51" s="2255" t="s">
        <v>2367</v>
      </c>
      <c r="P51" s="2253" t="s">
        <v>2391</v>
      </c>
      <c r="Q51" s="2254">
        <f ca="1">C31</f>
        <v>0</v>
      </c>
      <c r="R51" s="2253" t="s">
        <v>2364</v>
      </c>
    </row>
    <row r="52" spans="1:18" s="1941" customFormat="1" ht="18" customHeight="1" thickBot="1">
      <c r="A52" s="1977"/>
      <c r="F52" s="1966"/>
      <c r="I52" s="2802" t="s">
        <v>2332</v>
      </c>
      <c r="J52" s="2806">
        <f>IF(J50="",J51,J50+J51-YEAR('数据-取费表'!B3))</f>
        <v>0</v>
      </c>
      <c r="K52" s="2798" t="s">
        <v>2338</v>
      </c>
      <c r="L52" s="2812">
        <f ca="1">C45</f>
        <v>0</v>
      </c>
      <c r="O52" s="2255" t="s">
        <v>2368</v>
      </c>
      <c r="P52" s="2253" t="s">
        <v>2369</v>
      </c>
      <c r="Q52" s="2256" t="e">
        <f ca="1">J59</f>
        <v>#VALUE!</v>
      </c>
      <c r="R52" s="2257"/>
    </row>
    <row r="53" spans="1:18" s="1941" customFormat="1" ht="18" customHeight="1" thickBot="1">
      <c r="A53" s="1977"/>
      <c r="F53" s="1966"/>
      <c r="I53" s="2803" t="s">
        <v>2405</v>
      </c>
      <c r="J53" s="2239"/>
      <c r="K53" s="2803" t="s">
        <v>2404</v>
      </c>
      <c r="L53" s="2239"/>
      <c r="O53" s="2255" t="s">
        <v>2370</v>
      </c>
      <c r="P53" s="2253" t="s">
        <v>2371</v>
      </c>
      <c r="Q53" s="2256">
        <f>J53</f>
        <v>0</v>
      </c>
      <c r="R53" s="2257"/>
    </row>
    <row r="54" spans="1:18" s="1941" customFormat="1" ht="29.25" thickBot="1">
      <c r="A54" s="1977"/>
      <c r="I54" s="2804" t="s">
        <v>2942</v>
      </c>
      <c r="J54" s="2857">
        <f ca="1">IF(M48="住宅",MAX(J52,L49-'数据-取费表'!B20),MIN(J52,L49-'数据-取费表'!B20))</f>
        <v>-2.5</v>
      </c>
      <c r="K54" s="3607"/>
      <c r="L54" s="3608"/>
      <c r="O54" s="2255" t="s">
        <v>2372</v>
      </c>
      <c r="P54" s="2253" t="s">
        <v>2373</v>
      </c>
      <c r="Q54" s="2254">
        <f ca="1">J54</f>
        <v>-2.5</v>
      </c>
      <c r="R54" s="2253" t="s">
        <v>2374</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2375</v>
      </c>
      <c r="P55" s="2253" t="s">
        <v>2392</v>
      </c>
      <c r="Q55" s="2254">
        <f ca="1">Q49+Q50</f>
        <v>0</v>
      </c>
      <c r="R55" s="2257" t="s">
        <v>2376</v>
      </c>
    </row>
    <row r="56" spans="1:18" s="1941" customFormat="1" ht="16.5" thickBot="1">
      <c r="A56" s="1977"/>
      <c r="B56" s="1978"/>
      <c r="C56" s="1978"/>
      <c r="I56" s="2815" t="s">
        <v>2339</v>
      </c>
      <c r="J56" s="2787" t="e">
        <f ca="1">ROUND(IF(J48="钢混",J58/J51,1-(1-2%)*(J51-J58)/J51),3)</f>
        <v>#VALUE!</v>
      </c>
      <c r="K56" s="2816" t="s">
        <v>2340</v>
      </c>
      <c r="L56" s="2240"/>
      <c r="O56" s="2258" t="s">
        <v>2395</v>
      </c>
      <c r="P56" s="1525"/>
      <c r="Q56" s="1533"/>
      <c r="R56" s="1525"/>
    </row>
    <row r="57" spans="1:18" s="1941" customFormat="1" ht="43.5" thickBot="1">
      <c r="A57" s="1977"/>
      <c r="B57" s="1978"/>
      <c r="C57" s="1978"/>
      <c r="I57" s="2817" t="s">
        <v>2341</v>
      </c>
      <c r="J57" s="2827" t="s">
        <v>1669</v>
      </c>
      <c r="K57" s="2798" t="s">
        <v>2346</v>
      </c>
      <c r="L57" s="1821">
        <f ca="1">IF(L49&lt;J52,"——",L49-J52)</f>
        <v>0</v>
      </c>
      <c r="O57" s="2249" t="s">
        <v>2359</v>
      </c>
      <c r="P57" s="2250" t="s">
        <v>2360</v>
      </c>
      <c r="Q57" s="2251" t="s">
        <v>2361</v>
      </c>
      <c r="R57" s="2250" t="s">
        <v>2362</v>
      </c>
    </row>
    <row r="58" spans="1:18" s="1941" customFormat="1" ht="29.25" thickBot="1">
      <c r="A58" s="1977"/>
      <c r="B58" s="1978"/>
      <c r="C58" s="1978"/>
      <c r="I58" s="2818" t="s">
        <v>2342</v>
      </c>
      <c r="J58" s="2819" t="str">
        <f ca="1">IF(OR(M48="住宅",J52&lt;L49,J57="是"),"——",J52-L49)</f>
        <v>——</v>
      </c>
      <c r="K58" s="2798" t="s">
        <v>2347</v>
      </c>
      <c r="L58" s="1821">
        <f ca="1">IF(L49&lt;J52,"——",IF(L56="比较法",L50,IF(L56="基准地价",L51,L52)))</f>
        <v>0</v>
      </c>
      <c r="O58" s="2252" t="s">
        <v>2363</v>
      </c>
      <c r="P58" s="2253" t="s">
        <v>2389</v>
      </c>
      <c r="Q58" s="2254">
        <f ca="1">C41+J31</f>
        <v>0</v>
      </c>
      <c r="R58" s="2253" t="s">
        <v>2364</v>
      </c>
    </row>
    <row r="59" spans="1:18" s="1941" customFormat="1" ht="29.25" thickBot="1">
      <c r="A59" s="1977"/>
      <c r="B59" s="1978"/>
      <c r="C59" s="1978"/>
      <c r="I59" s="2818" t="s">
        <v>2343</v>
      </c>
      <c r="J59" s="2788" t="e">
        <f ca="1">IF(J56&lt;0.4,0.4,J56)</f>
        <v>#VALUE!</v>
      </c>
      <c r="K59" s="2798"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29.25" thickBot="1">
      <c r="A60" s="1977"/>
      <c r="B60" s="1978"/>
      <c r="C60" s="1978"/>
      <c r="I60" s="2818" t="s">
        <v>2344</v>
      </c>
      <c r="J60" s="2819" t="str">
        <f ca="1">IF(OR(M48="住宅",J52&lt;L49,J57="是"),"——",ROUND(C30*J59,0))</f>
        <v>——</v>
      </c>
      <c r="K60" s="2798"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5.75" thickBot="1">
      <c r="A61" s="1977"/>
      <c r="B61" s="1978"/>
      <c r="C61" s="1978"/>
      <c r="I61" s="2820" t="s">
        <v>2345</v>
      </c>
      <c r="J61" s="2821" t="str">
        <f ca="1">IF(OR(M48="住宅",J52&lt;L49,J57="是"),"0",ROUND(J60/(1+J53)^J54,0))</f>
        <v>0</v>
      </c>
      <c r="K61" s="2822" t="s">
        <v>2350</v>
      </c>
      <c r="L61" s="2821" t="e">
        <f ca="1">IF(OR(M48="住宅",L49&lt;J52),0,ROUND(L58*(L59/L60-1),0))</f>
        <v>#DIV/0!</v>
      </c>
      <c r="O61" s="2255" t="s">
        <v>2368</v>
      </c>
      <c r="P61" s="2253" t="s">
        <v>2377</v>
      </c>
      <c r="Q61" s="2256">
        <f>L53</f>
        <v>0</v>
      </c>
      <c r="R61" s="2257"/>
    </row>
    <row r="62" spans="1:18" s="1941" customFormat="1" ht="20.25" thickBot="1">
      <c r="A62" s="1977"/>
      <c r="B62" s="1978"/>
      <c r="C62" s="1978"/>
      <c r="K62" s="1967"/>
      <c r="O62" s="2255" t="s">
        <v>2370</v>
      </c>
      <c r="P62" s="2253" t="s">
        <v>2378</v>
      </c>
      <c r="Q62" s="2254">
        <f ca="1">L59</f>
        <v>0</v>
      </c>
      <c r="R62" s="2257" t="s">
        <v>2379</v>
      </c>
    </row>
    <row r="63" spans="1:18" s="1941" customFormat="1" ht="20.25" thickBot="1">
      <c r="A63" s="1977"/>
      <c r="B63" s="1978"/>
      <c r="C63" s="1978"/>
      <c r="I63" s="2823" t="s">
        <v>2351</v>
      </c>
      <c r="J63" s="2824" t="s">
        <v>2352</v>
      </c>
      <c r="K63" s="2824" t="s">
        <v>2353</v>
      </c>
      <c r="L63" s="2824" t="s">
        <v>2334</v>
      </c>
      <c r="M63" s="2825" t="s">
        <v>2910</v>
      </c>
      <c r="O63" s="2255" t="s">
        <v>2372</v>
      </c>
      <c r="P63" s="2253" t="s">
        <v>2380</v>
      </c>
      <c r="Q63" s="2254">
        <f ca="1">L60</f>
        <v>0</v>
      </c>
      <c r="R63" s="2257" t="s">
        <v>2381</v>
      </c>
    </row>
    <row r="64" spans="1:18" s="1941" customFormat="1" ht="15.75" thickBot="1">
      <c r="A64" s="1977"/>
      <c r="B64" s="1978"/>
      <c r="C64" s="1978"/>
      <c r="I64" s="2823" t="s">
        <v>2354</v>
      </c>
      <c r="J64" s="2824">
        <v>70</v>
      </c>
      <c r="K64" s="2824">
        <v>50</v>
      </c>
      <c r="L64" s="2824">
        <v>80</v>
      </c>
      <c r="M64" s="2826">
        <v>0.02</v>
      </c>
      <c r="O64" s="2252" t="s">
        <v>2375</v>
      </c>
      <c r="P64" s="2253" t="s">
        <v>2392</v>
      </c>
      <c r="Q64" s="2254" t="e">
        <f ca="1">Q58+Q59</f>
        <v>#DIV/0!</v>
      </c>
      <c r="R64" s="2257" t="s">
        <v>2376</v>
      </c>
    </row>
    <row r="65" spans="1:18" s="1941" customFormat="1" ht="16.5" thickBot="1">
      <c r="A65" s="1977"/>
      <c r="B65" s="1978"/>
      <c r="C65" s="1978"/>
      <c r="I65" s="2823" t="s">
        <v>2355</v>
      </c>
      <c r="J65" s="2824">
        <v>50</v>
      </c>
      <c r="K65" s="2824">
        <v>35</v>
      </c>
      <c r="L65" s="2824">
        <v>60</v>
      </c>
      <c r="M65" s="835">
        <v>0</v>
      </c>
      <c r="O65" s="2258" t="s">
        <v>2399</v>
      </c>
      <c r="P65" s="1525"/>
      <c r="Q65" s="1533"/>
      <c r="R65" s="1525"/>
    </row>
    <row r="66" spans="1:18" s="1941" customFormat="1" ht="15.75" thickBot="1">
      <c r="A66" s="1977"/>
      <c r="B66" s="1978"/>
      <c r="C66" s="1978"/>
      <c r="I66" s="2823" t="s">
        <v>2356</v>
      </c>
      <c r="J66" s="2824">
        <v>40</v>
      </c>
      <c r="K66" s="2824">
        <v>30</v>
      </c>
      <c r="L66" s="2824">
        <v>50</v>
      </c>
      <c r="M66" s="2826">
        <v>0.02</v>
      </c>
      <c r="O66" s="2249" t="s">
        <v>2359</v>
      </c>
      <c r="P66" s="2250" t="s">
        <v>2360</v>
      </c>
      <c r="Q66" s="2251" t="s">
        <v>2361</v>
      </c>
      <c r="R66" s="2250" t="s">
        <v>2362</v>
      </c>
    </row>
    <row r="67" spans="1:18" s="1941" customFormat="1" ht="15.75" thickBot="1">
      <c r="A67" s="1977"/>
      <c r="B67" s="1978"/>
      <c r="C67" s="1978"/>
      <c r="K67" s="1967"/>
      <c r="O67" s="2252" t="s">
        <v>2363</v>
      </c>
      <c r="P67" s="2253" t="s">
        <v>2389</v>
      </c>
      <c r="Q67" s="2254">
        <f ca="1">C41+J31</f>
        <v>0</v>
      </c>
      <c r="R67" s="2253" t="s">
        <v>2364</v>
      </c>
    </row>
    <row r="68" spans="1:18" s="1941" customFormat="1" ht="20.25" thickBot="1">
      <c r="A68" s="1977"/>
      <c r="B68" s="1978"/>
      <c r="C68" s="1978"/>
      <c r="K68" s="1967"/>
      <c r="O68" s="2252" t="s">
        <v>2365</v>
      </c>
      <c r="P68" s="2253" t="s">
        <v>2396</v>
      </c>
      <c r="Q68" s="2254" t="e">
        <f ca="1">L61</f>
        <v>#DIV/0!</v>
      </c>
      <c r="R68" s="2257" t="s">
        <v>2398</v>
      </c>
    </row>
    <row r="69" spans="1:18" s="1941" customFormat="1" ht="21.75" thickBot="1">
      <c r="A69" s="1977"/>
      <c r="B69" s="1978"/>
      <c r="C69" s="1978"/>
      <c r="K69" s="1967"/>
      <c r="O69" s="2255" t="s">
        <v>2367</v>
      </c>
      <c r="P69" s="2253" t="s">
        <v>2397</v>
      </c>
      <c r="Q69" s="2259">
        <f ca="1">L52</f>
        <v>0</v>
      </c>
      <c r="R69" s="2260" t="s">
        <v>2400</v>
      </c>
    </row>
    <row r="70" spans="1:18" s="1941" customFormat="1" ht="20.25" thickBot="1">
      <c r="A70" s="1977"/>
      <c r="B70" s="1978"/>
      <c r="C70" s="1978"/>
      <c r="K70" s="1967"/>
      <c r="O70" s="2255" t="s">
        <v>2368</v>
      </c>
      <c r="P70" s="2261" t="s">
        <v>2382</v>
      </c>
      <c r="Q70" s="2254">
        <f ca="1">ROUND(Q71-Q72*Q73,0)</f>
        <v>0</v>
      </c>
      <c r="R70" s="2257"/>
    </row>
    <row r="71" spans="1:18" s="1941" customFormat="1" ht="15.75" thickBot="1">
      <c r="A71" s="1977"/>
      <c r="B71" s="1978"/>
      <c r="C71" s="1978"/>
      <c r="K71" s="1967"/>
      <c r="O71" s="2255" t="s">
        <v>2383</v>
      </c>
      <c r="P71" s="2261" t="s">
        <v>2384</v>
      </c>
      <c r="Q71" s="2254">
        <f ca="1">C42</f>
        <v>0</v>
      </c>
      <c r="R71" s="2253" t="s">
        <v>2364</v>
      </c>
    </row>
    <row r="72" spans="1:18" s="1941" customFormat="1" ht="15.75" thickBot="1">
      <c r="A72" s="1977"/>
      <c r="B72" s="1978"/>
      <c r="C72" s="1978"/>
      <c r="K72" s="1967"/>
      <c r="O72" s="2255" t="s">
        <v>2385</v>
      </c>
      <c r="P72" s="2261" t="s">
        <v>2386</v>
      </c>
      <c r="Q72" s="2254">
        <f ca="1">C15</f>
        <v>0</v>
      </c>
      <c r="R72" s="2253" t="s">
        <v>2364</v>
      </c>
    </row>
    <row r="73" spans="1:18" s="1941" customFormat="1" ht="15.75" thickBot="1">
      <c r="A73" s="1977"/>
      <c r="B73" s="1978"/>
      <c r="C73" s="1978"/>
      <c r="K73" s="1967"/>
      <c r="O73" s="2255" t="s">
        <v>2387</v>
      </c>
      <c r="P73" s="2261" t="s">
        <v>2388</v>
      </c>
      <c r="Q73" s="2256">
        <f ca="1">F43</f>
        <v>0</v>
      </c>
      <c r="R73" s="2257"/>
    </row>
    <row r="74" spans="1:18" s="1941" customFormat="1" ht="15.75" thickBot="1">
      <c r="A74" s="1977"/>
      <c r="B74" s="1978"/>
      <c r="C74" s="1978"/>
      <c r="K74" s="1967"/>
      <c r="O74" s="2255" t="s">
        <v>2370</v>
      </c>
      <c r="P74" s="2253" t="s">
        <v>2377</v>
      </c>
      <c r="Q74" s="2256">
        <f>L53</f>
        <v>0</v>
      </c>
      <c r="R74" s="2257"/>
    </row>
    <row r="75" spans="1:18" s="1941" customFormat="1" ht="20.25" thickBot="1">
      <c r="A75" s="1977"/>
      <c r="B75" s="1978"/>
      <c r="C75" s="1978"/>
      <c r="K75" s="1967"/>
      <c r="O75" s="2255" t="s">
        <v>2372</v>
      </c>
      <c r="P75" s="2253" t="s">
        <v>2378</v>
      </c>
      <c r="Q75" s="2254">
        <f ca="1">L59</f>
        <v>0</v>
      </c>
      <c r="R75" s="2257" t="s">
        <v>2379</v>
      </c>
    </row>
    <row r="76" spans="1:18" s="1941" customFormat="1" ht="20.25" thickBot="1">
      <c r="A76" s="1977"/>
      <c r="B76" s="1978"/>
      <c r="C76" s="1978"/>
      <c r="K76" s="1967"/>
      <c r="O76" s="2255" t="s">
        <v>2401</v>
      </c>
      <c r="P76" s="2253" t="s">
        <v>2380</v>
      </c>
      <c r="Q76" s="2254">
        <f ca="1">L60</f>
        <v>0</v>
      </c>
      <c r="R76" s="2257" t="s">
        <v>2381</v>
      </c>
    </row>
    <row r="77" spans="1:18" s="1941" customFormat="1" ht="15.75"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61" sqref="G6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914</v>
      </c>
      <c r="E1" s="2008"/>
      <c r="F1" s="2523" t="s">
        <v>3151</v>
      </c>
      <c r="G1" s="1530" t="s">
        <v>715</v>
      </c>
      <c r="H1" s="500"/>
      <c r="I1" s="500"/>
      <c r="J1" s="500"/>
      <c r="K1" s="501"/>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254074</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12896</v>
      </c>
      <c r="C3" s="841" t="s">
        <v>716</v>
      </c>
      <c r="D3" s="840">
        <f>SUMIF('数据-汇总表'!$C19:$C33,D1,'数据-汇总表'!$E19:$E33)</f>
        <v>197017.96</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34" t="s">
        <v>516</v>
      </c>
      <c r="D4" s="3535"/>
      <c r="E4" s="3559" t="s">
        <v>517</v>
      </c>
      <c r="F4" s="3560"/>
      <c r="G4" s="3534" t="s">
        <v>518</v>
      </c>
      <c r="H4" s="3535"/>
      <c r="I4" s="3534" t="s">
        <v>519</v>
      </c>
      <c r="J4" s="3535"/>
      <c r="K4" s="842" t="s">
        <v>520</v>
      </c>
      <c r="L4" s="2014"/>
      <c r="M4" s="2015"/>
      <c r="N4" s="2015"/>
      <c r="O4" s="2015"/>
      <c r="P4" s="3536" t="s">
        <v>521</v>
      </c>
      <c r="Q4" s="3537"/>
      <c r="R4" s="3522" t="s">
        <v>517</v>
      </c>
      <c r="S4" s="3523"/>
      <c r="T4" s="3522" t="s">
        <v>518</v>
      </c>
      <c r="U4" s="3523"/>
      <c r="V4" s="3542" t="s">
        <v>519</v>
      </c>
      <c r="W4" s="3542"/>
      <c r="X4" s="1500"/>
      <c r="Y4" s="3522" t="s">
        <v>521</v>
      </c>
      <c r="Z4" s="3523"/>
      <c r="AA4" s="3517" t="s">
        <v>517</v>
      </c>
      <c r="AB4" s="3517" t="s">
        <v>518</v>
      </c>
      <c r="AC4" s="3517" t="s">
        <v>519</v>
      </c>
    </row>
    <row r="5" spans="1:29" ht="15">
      <c r="A5" s="509"/>
      <c r="B5" s="510"/>
      <c r="C5" s="3545" t="s">
        <v>2897</v>
      </c>
      <c r="D5" s="3546"/>
      <c r="E5" s="3609" t="s">
        <v>3177</v>
      </c>
      <c r="F5" s="3562"/>
      <c r="G5" s="3610" t="s">
        <v>3191</v>
      </c>
      <c r="H5" s="3546"/>
      <c r="I5" s="3610" t="s">
        <v>3192</v>
      </c>
      <c r="J5" s="3546"/>
      <c r="K5" s="843"/>
      <c r="L5" s="2014"/>
      <c r="M5" s="2015"/>
      <c r="N5" s="2015"/>
      <c r="O5" s="2015"/>
      <c r="P5" s="3538"/>
      <c r="Q5" s="3539"/>
      <c r="R5" s="3524"/>
      <c r="S5" s="3525"/>
      <c r="T5" s="3524"/>
      <c r="U5" s="3525"/>
      <c r="V5" s="3542"/>
      <c r="W5" s="3542"/>
      <c r="X5" s="1500"/>
      <c r="Y5" s="3524"/>
      <c r="Z5" s="3525"/>
      <c r="AA5" s="3518"/>
      <c r="AB5" s="3518"/>
      <c r="AC5" s="3518"/>
    </row>
    <row r="6" spans="1:29" ht="15.75" thickBot="1">
      <c r="A6" s="511"/>
      <c r="B6" s="512"/>
      <c r="C6" s="3543" t="s">
        <v>2901</v>
      </c>
      <c r="D6" s="3544"/>
      <c r="E6" s="3563" t="s">
        <v>2901</v>
      </c>
      <c r="F6" s="3564"/>
      <c r="G6" s="3543" t="s">
        <v>2901</v>
      </c>
      <c r="H6" s="3544"/>
      <c r="I6" s="3543" t="s">
        <v>2901</v>
      </c>
      <c r="J6" s="3544"/>
      <c r="K6" s="843" t="s">
        <v>522</v>
      </c>
      <c r="L6" s="2014"/>
      <c r="M6" s="2015"/>
      <c r="N6" s="2015"/>
      <c r="O6" s="2015"/>
      <c r="P6" s="3540"/>
      <c r="Q6" s="3541"/>
      <c r="R6" s="3524"/>
      <c r="S6" s="3525"/>
      <c r="T6" s="3526"/>
      <c r="U6" s="3527"/>
      <c r="V6" s="3542"/>
      <c r="W6" s="3542"/>
      <c r="X6" s="1500"/>
      <c r="Y6" s="3526"/>
      <c r="Z6" s="3527"/>
      <c r="AA6" s="3519"/>
      <c r="AB6" s="3519"/>
      <c r="AC6" s="3519"/>
    </row>
    <row r="7" spans="1:29" s="1202" customFormat="1" ht="15.75" thickBot="1">
      <c r="A7" s="2628"/>
      <c r="B7" s="2635" t="s">
        <v>523</v>
      </c>
      <c r="C7" s="513">
        <f>'数据-取费表'!B2</f>
        <v>44077</v>
      </c>
      <c r="D7" s="514">
        <v>100</v>
      </c>
      <c r="E7" s="515">
        <f>C7</f>
        <v>44077</v>
      </c>
      <c r="F7" s="516">
        <f>SUMIF(58:58,YEAR(E7)&amp;"-"&amp;MONTH(E7),59:59)</f>
        <v>100</v>
      </c>
      <c r="G7" s="517">
        <f>C7</f>
        <v>44077</v>
      </c>
      <c r="H7" s="514">
        <f>SUMIF(58:58,YEAR(G7)&amp;"-"&amp;MONTH(G7),59:59)</f>
        <v>100</v>
      </c>
      <c r="I7" s="517">
        <f>C7</f>
        <v>44077</v>
      </c>
      <c r="J7" s="514">
        <f>SUMIF(58:58,YEAR(I7)&amp;"-"&amp;MONTH(I7),59:59)</f>
        <v>100</v>
      </c>
      <c r="K7" s="844"/>
      <c r="L7" s="2016"/>
      <c r="M7" s="2017"/>
      <c r="N7" s="2017"/>
      <c r="O7" s="2017"/>
      <c r="P7" s="3520" t="s">
        <v>524</v>
      </c>
      <c r="Q7" s="3529"/>
      <c r="R7" s="1501" t="s">
        <v>13</v>
      </c>
      <c r="S7" s="1502">
        <f t="shared" ref="S7:S15" si="0">F7</f>
        <v>100</v>
      </c>
      <c r="T7" s="1501" t="s">
        <v>13</v>
      </c>
      <c r="U7" s="1502">
        <f t="shared" ref="U7:U15" si="1">H7</f>
        <v>100</v>
      </c>
      <c r="V7" s="1501" t="s">
        <v>13</v>
      </c>
      <c r="W7" s="1502">
        <f t="shared" ref="W7:W15" si="2">J7</f>
        <v>100</v>
      </c>
      <c r="X7" s="1503"/>
      <c r="Y7" s="3520" t="s">
        <v>524</v>
      </c>
      <c r="Z7" s="3521"/>
      <c r="AA7" s="1504">
        <f>D7/F7</f>
        <v>1</v>
      </c>
      <c r="AB7" s="1504">
        <f>D7/H7</f>
        <v>1</v>
      </c>
      <c r="AC7" s="1504">
        <f>D7/J7</f>
        <v>1</v>
      </c>
    </row>
    <row r="8" spans="1:29" s="1202" customFormat="1" ht="15.75" thickBot="1">
      <c r="A8" s="2629"/>
      <c r="B8" s="2636" t="s">
        <v>525</v>
      </c>
      <c r="C8" s="519" t="s">
        <v>570</v>
      </c>
      <c r="D8" s="514">
        <v>100</v>
      </c>
      <c r="E8" s="845" t="s">
        <v>3052</v>
      </c>
      <c r="F8" s="516">
        <f>SUMIF(61:61,E8,62:62)-SUMIF(61:61,C8,62:62)+100</f>
        <v>100</v>
      </c>
      <c r="G8" s="519" t="s">
        <v>3052</v>
      </c>
      <c r="H8" s="514">
        <f>SUMIF(61:61,G8,62:62)-SUMIF(61:61,C8,62:62)+100</f>
        <v>100</v>
      </c>
      <c r="I8" s="845" t="s">
        <v>3052</v>
      </c>
      <c r="J8" s="514">
        <f>SUMIF(61:61,I8,62:62)-SUMIF(61:61,C8,62:62)+100</f>
        <v>100</v>
      </c>
      <c r="K8" s="844"/>
      <c r="L8" s="2016"/>
      <c r="M8" s="2017"/>
      <c r="N8" s="2017"/>
      <c r="O8" s="2017"/>
      <c r="P8" s="3520" t="s">
        <v>527</v>
      </c>
      <c r="Q8" s="3521"/>
      <c r="R8" s="1501" t="s">
        <v>13</v>
      </c>
      <c r="S8" s="1502">
        <f t="shared" si="0"/>
        <v>100</v>
      </c>
      <c r="T8" s="1501" t="s">
        <v>13</v>
      </c>
      <c r="U8" s="1502">
        <f t="shared" si="1"/>
        <v>100</v>
      </c>
      <c r="V8" s="1501" t="s">
        <v>13</v>
      </c>
      <c r="W8" s="1502">
        <f t="shared" si="2"/>
        <v>100</v>
      </c>
      <c r="X8" s="1503"/>
      <c r="Y8" s="3520" t="s">
        <v>527</v>
      </c>
      <c r="Z8" s="3521"/>
      <c r="AA8" s="1504">
        <f t="shared" ref="AA8:AA46" si="3">D8/F8</f>
        <v>1</v>
      </c>
      <c r="AB8" s="1504">
        <f t="shared" ref="AB8:AB46" si="4">D8/H8</f>
        <v>1</v>
      </c>
      <c r="AC8" s="1504">
        <f t="shared" ref="AC8:AC46" si="5">D8/J8</f>
        <v>1</v>
      </c>
    </row>
    <row r="9" spans="1:29" s="1202" customFormat="1" ht="15">
      <c r="A9" s="2630"/>
      <c r="B9" s="2637" t="s">
        <v>2736</v>
      </c>
      <c r="C9" s="3301" t="s">
        <v>3149</v>
      </c>
      <c r="D9" s="252">
        <v>100</v>
      </c>
      <c r="E9" s="847" t="s">
        <v>914</v>
      </c>
      <c r="F9" s="848">
        <f>SUMIF(63:63,E9,64:64)-SUMIF(63:63,C9,64:64)+100</f>
        <v>100</v>
      </c>
      <c r="G9" s="847" t="s">
        <v>914</v>
      </c>
      <c r="H9" s="252">
        <f>SUMIF(63:63,G9,64:64)-SUMIF(63:63,C9,64:64)+100</f>
        <v>100</v>
      </c>
      <c r="I9" s="847" t="s">
        <v>914</v>
      </c>
      <c r="J9" s="252">
        <f>SUMIF(63:63,I9,64:64)-SUMIF(63:63,C9,64:64)+100</f>
        <v>100</v>
      </c>
      <c r="K9" s="844"/>
      <c r="L9" s="2016"/>
      <c r="M9" s="2017"/>
      <c r="N9" s="2017"/>
      <c r="O9" s="2018"/>
      <c r="P9" s="3528" t="s">
        <v>529</v>
      </c>
      <c r="Q9" s="1133" t="str">
        <f t="shared" ref="Q9:Q15" si="6">B9</f>
        <v>用途</v>
      </c>
      <c r="R9" s="1501" t="s">
        <v>8</v>
      </c>
      <c r="S9" s="1502">
        <f t="shared" si="0"/>
        <v>100</v>
      </c>
      <c r="T9" s="1501" t="s">
        <v>8</v>
      </c>
      <c r="U9" s="1502">
        <f t="shared" si="1"/>
        <v>100</v>
      </c>
      <c r="V9" s="1501" t="s">
        <v>8</v>
      </c>
      <c r="W9" s="1502">
        <f t="shared" si="2"/>
        <v>100</v>
      </c>
      <c r="X9" s="1503"/>
      <c r="Y9" s="3479" t="s">
        <v>530</v>
      </c>
      <c r="Z9" s="1132" t="str">
        <f t="shared" ref="Z9:Z15" si="7">Q9</f>
        <v>用途</v>
      </c>
      <c r="AA9" s="1504">
        <f t="shared" si="3"/>
        <v>1</v>
      </c>
      <c r="AB9" s="1504">
        <f t="shared" si="4"/>
        <v>1</v>
      </c>
      <c r="AC9" s="1504">
        <f t="shared" si="5"/>
        <v>1</v>
      </c>
    </row>
    <row r="10" spans="1:29" s="1291" customFormat="1" ht="27">
      <c r="A10" s="2631"/>
      <c r="B10" s="2636" t="s">
        <v>2737</v>
      </c>
      <c r="C10" s="850" t="s">
        <v>3150</v>
      </c>
      <c r="D10" s="253">
        <v>100</v>
      </c>
      <c r="E10" s="850" t="s">
        <v>3150</v>
      </c>
      <c r="F10" s="852">
        <f>SUMIF(65:65,E10,66:66)-SUMIF(65:65,C10,66:66)+100</f>
        <v>100</v>
      </c>
      <c r="G10" s="850" t="s">
        <v>3150</v>
      </c>
      <c r="H10" s="253">
        <f>SUMIF(65:65,G10,66:66)-SUMIF(65:65,C10,66:66)+100</f>
        <v>100</v>
      </c>
      <c r="I10" s="850" t="s">
        <v>3193</v>
      </c>
      <c r="J10" s="253">
        <f>SUMIF(65:65,I10,66:66)-SUMIF(65:65,C10,66:66)+100</f>
        <v>98</v>
      </c>
      <c r="K10" s="853">
        <v>2</v>
      </c>
      <c r="L10" s="2019"/>
      <c r="M10" s="2058"/>
      <c r="N10" s="2058"/>
      <c r="O10" s="2020"/>
      <c r="P10" s="3528"/>
      <c r="Q10" s="1133" t="str">
        <f t="shared" si="6"/>
        <v>土地使用年限（年）</v>
      </c>
      <c r="R10" s="1501" t="s">
        <v>8</v>
      </c>
      <c r="S10" s="1502">
        <f t="shared" si="0"/>
        <v>100</v>
      </c>
      <c r="T10" s="1501" t="s">
        <v>8</v>
      </c>
      <c r="U10" s="1502">
        <f t="shared" si="1"/>
        <v>100</v>
      </c>
      <c r="V10" s="1501" t="s">
        <v>8</v>
      </c>
      <c r="W10" s="1502">
        <f t="shared" si="2"/>
        <v>98</v>
      </c>
      <c r="X10" s="1503"/>
      <c r="Y10" s="3479"/>
      <c r="Z10" s="1132" t="str">
        <f t="shared" si="7"/>
        <v>土地使用年限（年）</v>
      </c>
      <c r="AA10" s="1504">
        <f t="shared" si="3"/>
        <v>1</v>
      </c>
      <c r="AB10" s="1504">
        <f t="shared" si="4"/>
        <v>1</v>
      </c>
      <c r="AC10" s="1504">
        <f t="shared" si="5"/>
        <v>1.0204081632653061</v>
      </c>
    </row>
    <row r="11" spans="1:29" ht="15">
      <c r="A11" s="2632"/>
      <c r="B11" s="3317" t="s">
        <v>2738</v>
      </c>
      <c r="C11" s="527">
        <v>2.81</v>
      </c>
      <c r="D11" s="253">
        <v>100</v>
      </c>
      <c r="E11" s="528">
        <v>2.5</v>
      </c>
      <c r="F11" s="852">
        <f>LOOKUP(E11,68:68,69:69)-LOOKUP(C11,68:68,69:69)+100</f>
        <v>100</v>
      </c>
      <c r="G11" s="527">
        <v>3.89</v>
      </c>
      <c r="H11" s="253">
        <f>LOOKUP(G11,68:68,69:69)-LOOKUP(C11,68:68,69:69)+100</f>
        <v>96</v>
      </c>
      <c r="I11" s="527">
        <v>1.95</v>
      </c>
      <c r="J11" s="253">
        <f>LOOKUP(I11,68:68,69:69)-LOOKUP(C11,68:68,69:69)+100</f>
        <v>104</v>
      </c>
      <c r="K11" s="853">
        <v>2</v>
      </c>
      <c r="L11" s="2021"/>
      <c r="M11" s="2015"/>
      <c r="N11" s="2015"/>
      <c r="O11" s="2022"/>
      <c r="P11" s="3528"/>
      <c r="Q11" s="1133" t="str">
        <f t="shared" si="6"/>
        <v>容积率</v>
      </c>
      <c r="R11" s="1501" t="s">
        <v>11</v>
      </c>
      <c r="S11" s="1502">
        <f t="shared" si="0"/>
        <v>100</v>
      </c>
      <c r="T11" s="1501" t="s">
        <v>11</v>
      </c>
      <c r="U11" s="1502">
        <f t="shared" si="1"/>
        <v>96</v>
      </c>
      <c r="V11" s="1501" t="s">
        <v>11</v>
      </c>
      <c r="W11" s="1502">
        <f t="shared" si="2"/>
        <v>104</v>
      </c>
      <c r="X11" s="1503"/>
      <c r="Y11" s="3479"/>
      <c r="Z11" s="1132" t="str">
        <f t="shared" si="7"/>
        <v>容积率</v>
      </c>
      <c r="AA11" s="1504">
        <f t="shared" si="3"/>
        <v>1</v>
      </c>
      <c r="AB11" s="1504">
        <f t="shared" si="4"/>
        <v>1.0416666666666667</v>
      </c>
      <c r="AC11" s="1504">
        <f t="shared" si="5"/>
        <v>0.96153846153846156</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28"/>
      <c r="Q12" s="1133">
        <f t="shared" si="6"/>
        <v>111</v>
      </c>
      <c r="R12" s="1501" t="s">
        <v>11</v>
      </c>
      <c r="S12" s="1502">
        <f t="shared" si="0"/>
        <v>100</v>
      </c>
      <c r="T12" s="1501" t="s">
        <v>11</v>
      </c>
      <c r="U12" s="1502">
        <f t="shared" si="1"/>
        <v>100</v>
      </c>
      <c r="V12" s="1501" t="s">
        <v>11</v>
      </c>
      <c r="W12" s="1502">
        <f t="shared" si="2"/>
        <v>100</v>
      </c>
      <c r="X12" s="1503"/>
      <c r="Y12" s="3479"/>
      <c r="Z12" s="1132">
        <f t="shared" si="7"/>
        <v>111</v>
      </c>
      <c r="AA12" s="1504">
        <f>D12/F12</f>
        <v>1</v>
      </c>
      <c r="AB12" s="1504">
        <f>D12/H12</f>
        <v>1</v>
      </c>
      <c r="AC12" s="1504">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28"/>
      <c r="Q13" s="1133">
        <f t="shared" si="6"/>
        <v>111</v>
      </c>
      <c r="R13" s="1501" t="s">
        <v>11</v>
      </c>
      <c r="S13" s="1502">
        <f t="shared" si="0"/>
        <v>100</v>
      </c>
      <c r="T13" s="1501" t="s">
        <v>11</v>
      </c>
      <c r="U13" s="1502">
        <f t="shared" si="1"/>
        <v>100</v>
      </c>
      <c r="V13" s="1501" t="s">
        <v>11</v>
      </c>
      <c r="W13" s="1502">
        <f t="shared" si="2"/>
        <v>100</v>
      </c>
      <c r="X13" s="1503"/>
      <c r="Y13" s="3479"/>
      <c r="Z13" s="1132">
        <f t="shared" si="7"/>
        <v>111</v>
      </c>
      <c r="AA13" s="1504">
        <f t="shared" si="3"/>
        <v>1</v>
      </c>
      <c r="AB13" s="1504">
        <f t="shared" si="4"/>
        <v>1</v>
      </c>
      <c r="AC13" s="1504">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28"/>
      <c r="Q14" s="1133">
        <f t="shared" si="6"/>
        <v>111</v>
      </c>
      <c r="R14" s="1501" t="s">
        <v>11</v>
      </c>
      <c r="S14" s="1502">
        <f t="shared" si="0"/>
        <v>100</v>
      </c>
      <c r="T14" s="1501" t="s">
        <v>11</v>
      </c>
      <c r="U14" s="1502">
        <f t="shared" si="1"/>
        <v>100</v>
      </c>
      <c r="V14" s="1501" t="s">
        <v>11</v>
      </c>
      <c r="W14" s="1502">
        <f t="shared" si="2"/>
        <v>100</v>
      </c>
      <c r="X14" s="1503"/>
      <c r="Y14" s="3479"/>
      <c r="Z14" s="1132">
        <f t="shared" si="7"/>
        <v>111</v>
      </c>
      <c r="AA14" s="1504">
        <f t="shared" si="3"/>
        <v>1</v>
      </c>
      <c r="AB14" s="1504">
        <f t="shared" si="4"/>
        <v>1</v>
      </c>
      <c r="AC14" s="1504">
        <f t="shared" si="5"/>
        <v>1</v>
      </c>
    </row>
    <row r="15" spans="1:29" ht="99.75">
      <c r="A15" s="2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95</v>
      </c>
      <c r="G15" s="546"/>
      <c r="H15" s="543">
        <f>SUMIF(76:76,G16,77:77)-SUMIF(76:76,C16,77:77)+100</f>
        <v>110</v>
      </c>
      <c r="I15" s="544"/>
      <c r="J15" s="543">
        <f>SUMIF(76:76,I16,77:77)-SUMIF(76:76,C16,77:77)+100</f>
        <v>110</v>
      </c>
      <c r="K15" s="857">
        <v>5</v>
      </c>
      <c r="L15" s="2023"/>
      <c r="M15" s="2015"/>
      <c r="N15" s="2015"/>
      <c r="O15" s="2022"/>
      <c r="P15" s="3530" t="s">
        <v>534</v>
      </c>
      <c r="Q15" s="1505" t="str">
        <f t="shared" si="6"/>
        <v>居住社区成熟度</v>
      </c>
      <c r="R15" s="1506" t="s">
        <v>11</v>
      </c>
      <c r="S15" s="1507">
        <f t="shared" si="0"/>
        <v>95</v>
      </c>
      <c r="T15" s="1506" t="s">
        <v>11</v>
      </c>
      <c r="U15" s="1507">
        <f t="shared" si="1"/>
        <v>110</v>
      </c>
      <c r="V15" s="1506" t="s">
        <v>11</v>
      </c>
      <c r="W15" s="1507">
        <f t="shared" si="2"/>
        <v>110</v>
      </c>
      <c r="X15" s="1500"/>
      <c r="Y15" s="3530" t="s">
        <v>534</v>
      </c>
      <c r="Z15" s="1508" t="str">
        <f t="shared" si="7"/>
        <v>居住社区成熟度</v>
      </c>
      <c r="AA15" s="1509">
        <f t="shared" si="3"/>
        <v>1.0526315789473684</v>
      </c>
      <c r="AB15" s="1509">
        <f t="shared" si="4"/>
        <v>0.90909090909090906</v>
      </c>
      <c r="AC15" s="1509">
        <f t="shared" si="5"/>
        <v>0.90909090909090906</v>
      </c>
    </row>
    <row r="16" spans="1:29" ht="15">
      <c r="A16" s="526"/>
      <c r="B16" s="858"/>
      <c r="C16" s="570" t="s">
        <v>3143</v>
      </c>
      <c r="D16" s="549"/>
      <c r="E16" s="550" t="s">
        <v>3145</v>
      </c>
      <c r="F16" s="551"/>
      <c r="G16" s="552" t="s">
        <v>3189</v>
      </c>
      <c r="H16" s="553"/>
      <c r="I16" s="550" t="s">
        <v>3189</v>
      </c>
      <c r="J16" s="549"/>
      <c r="K16" s="859"/>
      <c r="L16" s="2023"/>
      <c r="M16" s="2015"/>
      <c r="N16" s="2015"/>
      <c r="O16" s="2022"/>
      <c r="P16" s="3531"/>
      <c r="Q16" s="1505"/>
      <c r="R16" s="1506"/>
      <c r="S16" s="1507"/>
      <c r="T16" s="1506"/>
      <c r="U16" s="1507"/>
      <c r="V16" s="1506"/>
      <c r="W16" s="1507"/>
      <c r="X16" s="1500"/>
      <c r="Y16" s="3531"/>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106</v>
      </c>
      <c r="G17" s="558"/>
      <c r="H17" s="559">
        <f>SUMIF(78:78,G18,79:79)-SUMIF(78:78,C18,79:79)+100</f>
        <v>100</v>
      </c>
      <c r="I17" s="556"/>
      <c r="J17" s="559">
        <f>SUMIF(78:78,I18,79:79)-SUMIF(78:78,C18,79:79)+100</f>
        <v>100</v>
      </c>
      <c r="K17" s="857">
        <v>3</v>
      </c>
      <c r="L17" s="2023"/>
      <c r="M17" s="2015"/>
      <c r="N17" s="2015"/>
      <c r="O17" s="2022"/>
      <c r="P17" s="3531"/>
      <c r="Q17" s="1505" t="str">
        <f>B17</f>
        <v>交通便捷度</v>
      </c>
      <c r="R17" s="1506" t="s">
        <v>11</v>
      </c>
      <c r="S17" s="1507">
        <f>F17</f>
        <v>106</v>
      </c>
      <c r="T17" s="1506" t="s">
        <v>11</v>
      </c>
      <c r="U17" s="1507">
        <f>H17</f>
        <v>100</v>
      </c>
      <c r="V17" s="1506" t="s">
        <v>11</v>
      </c>
      <c r="W17" s="1507">
        <f>J17</f>
        <v>100</v>
      </c>
      <c r="X17" s="1500"/>
      <c r="Y17" s="3531"/>
      <c r="Z17" s="1508" t="str">
        <f>Q17</f>
        <v>交通便捷度</v>
      </c>
      <c r="AA17" s="1509">
        <f t="shared" si="3"/>
        <v>0.94339622641509435</v>
      </c>
      <c r="AB17" s="1509">
        <f t="shared" si="4"/>
        <v>1</v>
      </c>
      <c r="AC17" s="1509">
        <f t="shared" si="5"/>
        <v>1</v>
      </c>
    </row>
    <row r="18" spans="1:29" ht="15">
      <c r="A18" s="526"/>
      <c r="B18" s="589"/>
      <c r="C18" s="862" t="s">
        <v>3143</v>
      </c>
      <c r="D18" s="553"/>
      <c r="E18" s="562" t="s">
        <v>3189</v>
      </c>
      <c r="F18" s="557"/>
      <c r="G18" s="563" t="s">
        <v>3143</v>
      </c>
      <c r="H18" s="549"/>
      <c r="I18" s="562" t="s">
        <v>3143</v>
      </c>
      <c r="J18" s="549"/>
      <c r="K18" s="859"/>
      <c r="L18" s="2023"/>
      <c r="M18" s="2015"/>
      <c r="N18" s="2015"/>
      <c r="O18" s="2022"/>
      <c r="P18" s="3531"/>
      <c r="Q18" s="1505"/>
      <c r="R18" s="1506"/>
      <c r="S18" s="1507"/>
      <c r="T18" s="1506"/>
      <c r="U18" s="1507"/>
      <c r="V18" s="1506"/>
      <c r="W18" s="1507"/>
      <c r="X18" s="1500"/>
      <c r="Y18" s="3531"/>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102</v>
      </c>
      <c r="I19" s="564"/>
      <c r="J19" s="553">
        <f>SUMIF(80:80,I20,81:81)-SUMIF(80:80,C20,81:81)+100</f>
        <v>102</v>
      </c>
      <c r="K19" s="857">
        <v>2</v>
      </c>
      <c r="L19" s="2023"/>
      <c r="M19" s="2015"/>
      <c r="N19" s="2015"/>
      <c r="O19" s="2022"/>
      <c r="P19" s="3531"/>
      <c r="Q19" s="1505" t="str">
        <f>B19</f>
        <v>公共配套设施</v>
      </c>
      <c r="R19" s="1506" t="s">
        <v>11</v>
      </c>
      <c r="S19" s="1507">
        <f>F19</f>
        <v>100</v>
      </c>
      <c r="T19" s="1506" t="s">
        <v>11</v>
      </c>
      <c r="U19" s="1507">
        <f>H19</f>
        <v>102</v>
      </c>
      <c r="V19" s="1506" t="s">
        <v>11</v>
      </c>
      <c r="W19" s="1507">
        <f>J19</f>
        <v>102</v>
      </c>
      <c r="X19" s="1500"/>
      <c r="Y19" s="3531"/>
      <c r="Z19" s="1508" t="str">
        <f>Q19</f>
        <v>公共配套设施</v>
      </c>
      <c r="AA19" s="1509">
        <f t="shared" si="3"/>
        <v>1</v>
      </c>
      <c r="AB19" s="1509">
        <f t="shared" si="4"/>
        <v>0.98039215686274506</v>
      </c>
      <c r="AC19" s="1509">
        <f t="shared" si="5"/>
        <v>0.98039215686274506</v>
      </c>
    </row>
    <row r="20" spans="1:29" ht="15">
      <c r="A20" s="526"/>
      <c r="B20" s="589"/>
      <c r="C20" s="3315" t="s">
        <v>3143</v>
      </c>
      <c r="D20" s="549"/>
      <c r="E20" s="550" t="s">
        <v>3143</v>
      </c>
      <c r="F20" s="551"/>
      <c r="G20" s="552" t="s">
        <v>3144</v>
      </c>
      <c r="H20" s="549"/>
      <c r="I20" s="550" t="s">
        <v>3144</v>
      </c>
      <c r="J20" s="549"/>
      <c r="K20" s="859"/>
      <c r="L20" s="2023"/>
      <c r="M20" s="2015"/>
      <c r="N20" s="2015"/>
      <c r="O20" s="2022"/>
      <c r="P20" s="3531"/>
      <c r="Q20" s="1505"/>
      <c r="R20" s="1506"/>
      <c r="S20" s="1507"/>
      <c r="T20" s="1506"/>
      <c r="U20" s="1507"/>
      <c r="V20" s="1506"/>
      <c r="W20" s="1507"/>
      <c r="X20" s="1500"/>
      <c r="Y20" s="3531"/>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3"/>
      <c r="M21" s="2015"/>
      <c r="N21" s="2015"/>
      <c r="O21" s="2022"/>
      <c r="P21" s="3531"/>
      <c r="Q21" s="2428" t="str">
        <f>B21</f>
        <v>基础设施水平</v>
      </c>
      <c r="R21" s="1506" t="s">
        <v>11</v>
      </c>
      <c r="S21" s="1507">
        <f>F21</f>
        <v>100</v>
      </c>
      <c r="T21" s="1506" t="s">
        <v>11</v>
      </c>
      <c r="U21" s="1507">
        <f>H21</f>
        <v>100</v>
      </c>
      <c r="V21" s="1506" t="s">
        <v>11</v>
      </c>
      <c r="W21" s="1507">
        <f>J21</f>
        <v>100</v>
      </c>
      <c r="X21" s="2430"/>
      <c r="Y21" s="3531"/>
      <c r="Z21" s="2429" t="str">
        <f>Q21</f>
        <v>基础设施水平</v>
      </c>
      <c r="AA21" s="1509">
        <f t="shared" ref="AA21" si="8">D21/F21</f>
        <v>1</v>
      </c>
      <c r="AB21" s="1509">
        <f t="shared" ref="AB21" si="9">D21/H21</f>
        <v>1</v>
      </c>
      <c r="AC21" s="1509">
        <f t="shared" ref="AC21" si="10">D21/J21</f>
        <v>1</v>
      </c>
    </row>
    <row r="22" spans="1:29" ht="15">
      <c r="A22" s="526"/>
      <c r="B22" s="910"/>
      <c r="C22" s="862" t="s">
        <v>3152</v>
      </c>
      <c r="D22" s="549"/>
      <c r="E22" s="862" t="s">
        <v>3152</v>
      </c>
      <c r="F22" s="551"/>
      <c r="G22" s="862" t="s">
        <v>3152</v>
      </c>
      <c r="H22" s="549"/>
      <c r="I22" s="862" t="s">
        <v>3152</v>
      </c>
      <c r="J22" s="549"/>
      <c r="K22" s="2442"/>
      <c r="L22" s="2023"/>
      <c r="M22" s="2015"/>
      <c r="N22" s="2015"/>
      <c r="O22" s="2022"/>
      <c r="P22" s="3531"/>
      <c r="Q22" s="2428"/>
      <c r="R22" s="1506"/>
      <c r="S22" s="1507"/>
      <c r="T22" s="1506"/>
      <c r="U22" s="1507"/>
      <c r="V22" s="1506"/>
      <c r="W22" s="1507"/>
      <c r="X22" s="2430"/>
      <c r="Y22" s="3531"/>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98</v>
      </c>
      <c r="G23" s="558"/>
      <c r="H23" s="553">
        <f>SUMIF(84:84,G24,85:85)-SUMIF(84:84,C24,85:85)+100</f>
        <v>100</v>
      </c>
      <c r="I23" s="556"/>
      <c r="J23" s="553">
        <f>SUMIF(84:84,I24,85:85)-SUMIF(84:84,C24,85:85)+100</f>
        <v>100</v>
      </c>
      <c r="K23" s="857">
        <v>2</v>
      </c>
      <c r="L23" s="2023"/>
      <c r="M23" s="2015"/>
      <c r="N23" s="2015"/>
      <c r="O23" s="2022"/>
      <c r="P23" s="3531"/>
      <c r="Q23" s="1505" t="str">
        <f>B23</f>
        <v>自然及人文环境</v>
      </c>
      <c r="R23" s="1506" t="s">
        <v>11</v>
      </c>
      <c r="S23" s="1507">
        <f>F23</f>
        <v>98</v>
      </c>
      <c r="T23" s="1506" t="s">
        <v>11</v>
      </c>
      <c r="U23" s="1507">
        <f>H23</f>
        <v>100</v>
      </c>
      <c r="V23" s="1506" t="s">
        <v>11</v>
      </c>
      <c r="W23" s="1507">
        <f>J23</f>
        <v>100</v>
      </c>
      <c r="X23" s="1500"/>
      <c r="Y23" s="3531"/>
      <c r="Z23" s="1508" t="str">
        <f>Q23</f>
        <v>自然及人文环境</v>
      </c>
      <c r="AA23" s="1509">
        <f t="shared" si="3"/>
        <v>1.0204081632653061</v>
      </c>
      <c r="AB23" s="1509">
        <f t="shared" si="4"/>
        <v>1</v>
      </c>
      <c r="AC23" s="1509">
        <f t="shared" si="5"/>
        <v>1</v>
      </c>
    </row>
    <row r="24" spans="1:29" ht="15">
      <c r="A24" s="526"/>
      <c r="B24" s="589"/>
      <c r="C24" s="570" t="s">
        <v>3144</v>
      </c>
      <c r="D24" s="549"/>
      <c r="E24" s="550" t="s">
        <v>3143</v>
      </c>
      <c r="F24" s="551"/>
      <c r="G24" s="552" t="s">
        <v>3144</v>
      </c>
      <c r="H24" s="549"/>
      <c r="I24" s="550" t="s">
        <v>3144</v>
      </c>
      <c r="J24" s="549"/>
      <c r="K24" s="859"/>
      <c r="L24" s="2023"/>
      <c r="M24" s="2015"/>
      <c r="N24" s="2015"/>
      <c r="O24" s="2022"/>
      <c r="P24" s="3531"/>
      <c r="Q24" s="1505"/>
      <c r="R24" s="1506"/>
      <c r="S24" s="1507"/>
      <c r="T24" s="1506"/>
      <c r="U24" s="1507"/>
      <c r="V24" s="1506"/>
      <c r="W24" s="1507"/>
      <c r="X24" s="1500"/>
      <c r="Y24" s="3531"/>
      <c r="Z24" s="1508"/>
      <c r="AA24" s="1509">
        <v>1</v>
      </c>
      <c r="AB24" s="1509">
        <v>1</v>
      </c>
      <c r="AC24" s="1509">
        <v>1</v>
      </c>
    </row>
    <row r="25" spans="1:29" ht="15">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31"/>
      <c r="Q25" s="1505" t="str">
        <f t="shared" ref="Q25:Q46" si="11">B25</f>
        <v>楼层-1</v>
      </c>
      <c r="R25" s="1506" t="s">
        <v>11</v>
      </c>
      <c r="S25" s="1507">
        <f>F25</f>
        <v>100</v>
      </c>
      <c r="T25" s="1506" t="s">
        <v>11</v>
      </c>
      <c r="U25" s="1507">
        <f>H25</f>
        <v>100</v>
      </c>
      <c r="V25" s="1506" t="s">
        <v>11</v>
      </c>
      <c r="W25" s="1507">
        <f>J25</f>
        <v>100</v>
      </c>
      <c r="X25" s="1500"/>
      <c r="Y25" s="3531"/>
      <c r="Z25" s="1508" t="str">
        <f>Q25</f>
        <v>楼层-1</v>
      </c>
      <c r="AA25" s="1509">
        <f t="shared" si="3"/>
        <v>1</v>
      </c>
      <c r="AB25" s="1509">
        <f t="shared" si="4"/>
        <v>1</v>
      </c>
      <c r="AC25" s="1509">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31"/>
      <c r="Q26" s="1505" t="str">
        <f t="shared" si="11"/>
        <v>朝向</v>
      </c>
      <c r="R26" s="1506" t="s">
        <v>11</v>
      </c>
      <c r="S26" s="1507">
        <f>F26</f>
        <v>100</v>
      </c>
      <c r="T26" s="1506" t="s">
        <v>11</v>
      </c>
      <c r="U26" s="1507">
        <f>H26</f>
        <v>100</v>
      </c>
      <c r="V26" s="1506" t="s">
        <v>11</v>
      </c>
      <c r="W26" s="1507">
        <f>J26</f>
        <v>100</v>
      </c>
      <c r="X26" s="1500"/>
      <c r="Y26" s="3531"/>
      <c r="Z26" s="1508" t="str">
        <f>Q26</f>
        <v>朝向</v>
      </c>
      <c r="AA26" s="1509">
        <f t="shared" si="3"/>
        <v>1</v>
      </c>
      <c r="AB26" s="1509">
        <f t="shared" si="4"/>
        <v>1</v>
      </c>
      <c r="AC26" s="1509">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31"/>
      <c r="Q27" s="1133" t="str">
        <f t="shared" si="11"/>
        <v>道路级别</v>
      </c>
      <c r="R27" s="1501" t="s">
        <v>11</v>
      </c>
      <c r="S27" s="1502">
        <f>F27</f>
        <v>100</v>
      </c>
      <c r="T27" s="1501" t="s">
        <v>11</v>
      </c>
      <c r="U27" s="1502">
        <f>H27</f>
        <v>100</v>
      </c>
      <c r="V27" s="1501" t="s">
        <v>11</v>
      </c>
      <c r="W27" s="1502">
        <f>J27</f>
        <v>100</v>
      </c>
      <c r="X27" s="1503"/>
      <c r="Y27" s="3531"/>
      <c r="Z27" s="1132" t="str">
        <f>Q27</f>
        <v>道路级别</v>
      </c>
      <c r="AA27" s="1509">
        <f>D27/F27</f>
        <v>1</v>
      </c>
      <c r="AB27" s="1509">
        <f>D27/H27</f>
        <v>1</v>
      </c>
      <c r="AC27" s="1509">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31"/>
      <c r="Q28" s="1505">
        <f t="shared" si="11"/>
        <v>111</v>
      </c>
      <c r="R28" s="1506" t="s">
        <v>11</v>
      </c>
      <c r="S28" s="1507">
        <f t="shared" ref="S28:S46" si="12">F28</f>
        <v>100</v>
      </c>
      <c r="T28" s="1506" t="s">
        <v>11</v>
      </c>
      <c r="U28" s="1507">
        <f t="shared" ref="U28:U46" si="13">H28</f>
        <v>100</v>
      </c>
      <c r="V28" s="1506" t="s">
        <v>11</v>
      </c>
      <c r="W28" s="1507">
        <f t="shared" ref="W28:W46" si="14">J28</f>
        <v>100</v>
      </c>
      <c r="X28" s="1500"/>
      <c r="Y28" s="3531"/>
      <c r="Z28" s="1508">
        <f t="shared" ref="Z28:Z46" si="15">Q28</f>
        <v>111</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31"/>
      <c r="Q29" s="1505">
        <f t="shared" si="11"/>
        <v>111</v>
      </c>
      <c r="R29" s="1506" t="s">
        <v>11</v>
      </c>
      <c r="S29" s="1507">
        <f t="shared" si="12"/>
        <v>100</v>
      </c>
      <c r="T29" s="1506" t="s">
        <v>11</v>
      </c>
      <c r="U29" s="1507">
        <f t="shared" si="13"/>
        <v>100</v>
      </c>
      <c r="V29" s="1506" t="s">
        <v>11</v>
      </c>
      <c r="W29" s="1507">
        <f t="shared" si="14"/>
        <v>100</v>
      </c>
      <c r="X29" s="1500"/>
      <c r="Y29" s="3531"/>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31"/>
      <c r="Q30" s="1505">
        <f t="shared" si="11"/>
        <v>111</v>
      </c>
      <c r="R30" s="1506" t="s">
        <v>11</v>
      </c>
      <c r="S30" s="1507">
        <f t="shared" si="12"/>
        <v>100</v>
      </c>
      <c r="T30" s="1506" t="s">
        <v>11</v>
      </c>
      <c r="U30" s="1507">
        <f t="shared" si="13"/>
        <v>100</v>
      </c>
      <c r="V30" s="1506" t="s">
        <v>11</v>
      </c>
      <c r="W30" s="1507">
        <f t="shared" si="14"/>
        <v>100</v>
      </c>
      <c r="X30" s="1500"/>
      <c r="Y30" s="3531"/>
      <c r="Z30" s="1508">
        <f t="shared" si="15"/>
        <v>111</v>
      </c>
      <c r="AA30" s="1509">
        <f t="shared" si="3"/>
        <v>1</v>
      </c>
      <c r="AB30" s="1509">
        <f t="shared" si="4"/>
        <v>1</v>
      </c>
      <c r="AC30" s="1509">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31"/>
      <c r="Q31" s="1505">
        <f t="shared" si="11"/>
        <v>111</v>
      </c>
      <c r="R31" s="1506" t="s">
        <v>11</v>
      </c>
      <c r="S31" s="1507">
        <f t="shared" si="12"/>
        <v>100</v>
      </c>
      <c r="T31" s="1506" t="s">
        <v>11</v>
      </c>
      <c r="U31" s="1507">
        <f t="shared" si="13"/>
        <v>100</v>
      </c>
      <c r="V31" s="1506" t="s">
        <v>11</v>
      </c>
      <c r="W31" s="1507">
        <f t="shared" si="14"/>
        <v>100</v>
      </c>
      <c r="X31" s="1500"/>
      <c r="Y31" s="3531"/>
      <c r="Z31" s="1508">
        <f t="shared" si="15"/>
        <v>111</v>
      </c>
      <c r="AA31" s="1509">
        <f t="shared" si="3"/>
        <v>1</v>
      </c>
      <c r="AB31" s="1509">
        <f t="shared" si="4"/>
        <v>1</v>
      </c>
      <c r="AC31" s="1509">
        <f t="shared" si="5"/>
        <v>1</v>
      </c>
    </row>
    <row r="32" spans="1:29" ht="15">
      <c r="A32" s="2623" t="s">
        <v>2735</v>
      </c>
      <c r="B32" s="170" t="s">
        <v>719</v>
      </c>
      <c r="C32" s="867" t="s">
        <v>3164</v>
      </c>
      <c r="D32" s="591">
        <v>100</v>
      </c>
      <c r="E32" s="867" t="s">
        <v>3164</v>
      </c>
      <c r="F32" s="569">
        <f>SUMIF(100:100,E32,101:101)-SUMIF(100:100,C32,101:101)+100</f>
        <v>100</v>
      </c>
      <c r="G32" s="867" t="s">
        <v>3164</v>
      </c>
      <c r="H32" s="591">
        <f>SUMIF(100:100,G32,101:101)-SUMIF(100:100,C32,101:101)+100</f>
        <v>100</v>
      </c>
      <c r="I32" s="867" t="s">
        <v>3164</v>
      </c>
      <c r="J32" s="534">
        <f>SUMIF(100:100,I32,101:101)-SUMIF(100:100,C32,101:101)+100</f>
        <v>100</v>
      </c>
      <c r="K32" s="853">
        <v>2</v>
      </c>
      <c r="L32" s="2023"/>
      <c r="M32" s="2015"/>
      <c r="N32" s="2015"/>
      <c r="O32" s="2022"/>
      <c r="P32" s="3532" t="s">
        <v>544</v>
      </c>
      <c r="Q32" s="1505" t="str">
        <f t="shared" si="11"/>
        <v>建筑类型</v>
      </c>
      <c r="R32" s="1506" t="s">
        <v>11</v>
      </c>
      <c r="S32" s="1507">
        <f t="shared" si="12"/>
        <v>100</v>
      </c>
      <c r="T32" s="1506" t="s">
        <v>11</v>
      </c>
      <c r="U32" s="1507">
        <f t="shared" si="13"/>
        <v>100</v>
      </c>
      <c r="V32" s="1506" t="s">
        <v>11</v>
      </c>
      <c r="W32" s="1507">
        <f t="shared" si="14"/>
        <v>100</v>
      </c>
      <c r="X32" s="1500"/>
      <c r="Y32" s="3533" t="s">
        <v>544</v>
      </c>
      <c r="Z32" s="1508" t="str">
        <f t="shared" si="15"/>
        <v>建筑类型</v>
      </c>
      <c r="AA32" s="1509">
        <f t="shared" si="3"/>
        <v>1</v>
      </c>
      <c r="AB32" s="1509">
        <f t="shared" si="4"/>
        <v>1</v>
      </c>
      <c r="AC32" s="1509">
        <f t="shared" si="5"/>
        <v>1</v>
      </c>
    </row>
    <row r="33" spans="1:29" s="1292" customFormat="1" ht="15">
      <c r="A33" s="597"/>
      <c r="B33" s="521" t="s">
        <v>720</v>
      </c>
      <c r="C33" s="868">
        <f>'数据-基础表'!B3</f>
        <v>276122.93</v>
      </c>
      <c r="D33" s="253">
        <v>100</v>
      </c>
      <c r="E33" s="528">
        <v>260000</v>
      </c>
      <c r="F33" s="852">
        <f>LOOKUP(E33,103:103,104:104)-LOOKUP(C33,103:103,104:104)+100</f>
        <v>100</v>
      </c>
      <c r="G33" s="527">
        <v>320000</v>
      </c>
      <c r="H33" s="253">
        <f>LOOKUP(G33,103:103,104:104)-LOOKUP(C33,103:103,104:104)+100</f>
        <v>100</v>
      </c>
      <c r="I33" s="528">
        <v>1155085</v>
      </c>
      <c r="J33" s="253">
        <f>LOOKUP(I33,103:103,104:104)-LOOKUP(C33,103:103,104:104)+100</f>
        <v>102</v>
      </c>
      <c r="K33" s="854"/>
      <c r="L33" s="2021"/>
      <c r="M33" s="2051"/>
      <c r="N33" s="2051"/>
      <c r="O33" s="2024"/>
      <c r="P33" s="3533"/>
      <c r="Q33" s="1534" t="str">
        <f t="shared" si="11"/>
        <v>项目建筑规模</v>
      </c>
      <c r="R33" s="1510" t="s">
        <v>11</v>
      </c>
      <c r="S33" s="1511">
        <f t="shared" si="12"/>
        <v>100</v>
      </c>
      <c r="T33" s="1510" t="s">
        <v>11</v>
      </c>
      <c r="U33" s="1511">
        <f t="shared" si="13"/>
        <v>100</v>
      </c>
      <c r="V33" s="1510" t="s">
        <v>11</v>
      </c>
      <c r="W33" s="1511">
        <f t="shared" si="14"/>
        <v>102</v>
      </c>
      <c r="X33" s="1512"/>
      <c r="Y33" s="3533"/>
      <c r="Z33" s="1513" t="str">
        <f t="shared" si="15"/>
        <v>项目建筑规模</v>
      </c>
      <c r="AA33" s="1509">
        <f t="shared" si="3"/>
        <v>1</v>
      </c>
      <c r="AB33" s="1509">
        <f t="shared" si="4"/>
        <v>1</v>
      </c>
      <c r="AC33" s="1509">
        <f t="shared" si="5"/>
        <v>0.98039215686274506</v>
      </c>
    </row>
    <row r="34" spans="1:29" ht="15">
      <c r="A34" s="588"/>
      <c r="B34" s="521" t="s">
        <v>721</v>
      </c>
      <c r="C34" s="869" t="s">
        <v>3051</v>
      </c>
      <c r="D34" s="534">
        <v>100</v>
      </c>
      <c r="E34" s="869" t="s">
        <v>3051</v>
      </c>
      <c r="F34" s="569">
        <f>SUMIF(105:105,E34,106:106)-SUMIF(105:105,C34,106:106)+100</f>
        <v>100</v>
      </c>
      <c r="G34" s="869" t="s">
        <v>3051</v>
      </c>
      <c r="H34" s="534">
        <f>SUMIF(105:105,G34,106:106)-SUMIF(105:105,C34,106:106)+100</f>
        <v>100</v>
      </c>
      <c r="I34" s="869" t="s">
        <v>3051</v>
      </c>
      <c r="J34" s="534">
        <f>SUMIF(105:105,I34,106:106)-SUMIF(105:105,C34,106:106)+100</f>
        <v>100</v>
      </c>
      <c r="K34" s="853">
        <v>2</v>
      </c>
      <c r="L34" s="2023"/>
      <c r="M34" s="2015"/>
      <c r="N34" s="2015"/>
      <c r="O34" s="2022"/>
      <c r="P34" s="3533"/>
      <c r="Q34" s="1505" t="str">
        <f t="shared" si="11"/>
        <v>建筑结构</v>
      </c>
      <c r="R34" s="1506" t="s">
        <v>11</v>
      </c>
      <c r="S34" s="1507">
        <f t="shared" si="12"/>
        <v>100</v>
      </c>
      <c r="T34" s="1506" t="s">
        <v>11</v>
      </c>
      <c r="U34" s="1507">
        <f t="shared" si="13"/>
        <v>100</v>
      </c>
      <c r="V34" s="1506" t="s">
        <v>11</v>
      </c>
      <c r="W34" s="1507">
        <f t="shared" si="14"/>
        <v>100</v>
      </c>
      <c r="X34" s="1500"/>
      <c r="Y34" s="3533"/>
      <c r="Z34" s="1508" t="str">
        <f t="shared" si="15"/>
        <v>建筑结构</v>
      </c>
      <c r="AA34" s="1509">
        <f t="shared" si="3"/>
        <v>1</v>
      </c>
      <c r="AB34" s="1509">
        <f t="shared" si="4"/>
        <v>1</v>
      </c>
      <c r="AC34" s="1509">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v>2</v>
      </c>
      <c r="L35" s="2023"/>
      <c r="M35" s="2015"/>
      <c r="N35" s="2015"/>
      <c r="O35" s="2022"/>
      <c r="P35" s="3533"/>
      <c r="Q35" s="1505" t="str">
        <f t="shared" si="11"/>
        <v>建筑品质</v>
      </c>
      <c r="R35" s="1506" t="s">
        <v>11</v>
      </c>
      <c r="S35" s="1507">
        <f t="shared" si="12"/>
        <v>100</v>
      </c>
      <c r="T35" s="1506" t="s">
        <v>11</v>
      </c>
      <c r="U35" s="1507">
        <f t="shared" si="13"/>
        <v>100</v>
      </c>
      <c r="V35" s="1506" t="s">
        <v>11</v>
      </c>
      <c r="W35" s="1507">
        <f t="shared" si="14"/>
        <v>100</v>
      </c>
      <c r="X35" s="1500"/>
      <c r="Y35" s="3533"/>
      <c r="Z35" s="1508" t="str">
        <f t="shared" si="15"/>
        <v>建筑品质</v>
      </c>
      <c r="AA35" s="1509">
        <f t="shared" si="3"/>
        <v>1</v>
      </c>
      <c r="AB35" s="1509">
        <f t="shared" si="4"/>
        <v>1</v>
      </c>
      <c r="AC35" s="1509">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v>2</v>
      </c>
      <c r="L36" s="2023"/>
      <c r="M36" s="2015"/>
      <c r="N36" s="2015"/>
      <c r="O36" s="2022"/>
      <c r="P36" s="3533"/>
      <c r="Q36" s="1505" t="str">
        <f t="shared" si="11"/>
        <v>公共部分装修</v>
      </c>
      <c r="R36" s="1506" t="s">
        <v>11</v>
      </c>
      <c r="S36" s="1507">
        <f t="shared" si="12"/>
        <v>100</v>
      </c>
      <c r="T36" s="1506" t="s">
        <v>11</v>
      </c>
      <c r="U36" s="1507">
        <f t="shared" si="13"/>
        <v>100</v>
      </c>
      <c r="V36" s="1506" t="s">
        <v>11</v>
      </c>
      <c r="W36" s="1507">
        <f t="shared" si="14"/>
        <v>100</v>
      </c>
      <c r="X36" s="1500"/>
      <c r="Y36" s="3533"/>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6"/>
      <c r="M37" s="2017"/>
      <c r="N37" s="2017"/>
      <c r="O37" s="2018"/>
      <c r="P37" s="3533"/>
      <c r="Q37" s="1133" t="str">
        <f t="shared" si="11"/>
        <v>成新度</v>
      </c>
      <c r="R37" s="1501" t="s">
        <v>11</v>
      </c>
      <c r="S37" s="1502">
        <f t="shared" si="12"/>
        <v>100</v>
      </c>
      <c r="T37" s="1501" t="s">
        <v>11</v>
      </c>
      <c r="U37" s="1502">
        <f t="shared" si="13"/>
        <v>100</v>
      </c>
      <c r="V37" s="1501" t="s">
        <v>11</v>
      </c>
      <c r="W37" s="1502">
        <f t="shared" si="14"/>
        <v>100</v>
      </c>
      <c r="X37" s="1503"/>
      <c r="Y37" s="3533"/>
      <c r="Z37" s="1132" t="str">
        <f t="shared" si="15"/>
        <v>成新度</v>
      </c>
      <c r="AA37" s="1504">
        <f t="shared" si="3"/>
        <v>1</v>
      </c>
      <c r="AB37" s="1504">
        <f t="shared" si="4"/>
        <v>1</v>
      </c>
      <c r="AC37" s="1504">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33" t="s">
        <v>544</v>
      </c>
      <c r="Q38" s="1505" t="str">
        <f t="shared" si="11"/>
        <v>物业管理</v>
      </c>
      <c r="R38" s="1506" t="s">
        <v>11</v>
      </c>
      <c r="S38" s="1507">
        <f t="shared" si="12"/>
        <v>100</v>
      </c>
      <c r="T38" s="1506" t="s">
        <v>11</v>
      </c>
      <c r="U38" s="1507">
        <f t="shared" si="13"/>
        <v>100</v>
      </c>
      <c r="V38" s="1506" t="s">
        <v>11</v>
      </c>
      <c r="W38" s="1507">
        <f t="shared" si="14"/>
        <v>100</v>
      </c>
      <c r="X38" s="1500"/>
      <c r="Y38" s="3533" t="s">
        <v>544</v>
      </c>
      <c r="Z38" s="1508" t="str">
        <f t="shared" si="15"/>
        <v>物业管理</v>
      </c>
      <c r="AA38" s="1509">
        <f t="shared" si="3"/>
        <v>1</v>
      </c>
      <c r="AB38" s="1509">
        <f t="shared" si="4"/>
        <v>1</v>
      </c>
      <c r="AC38" s="1509">
        <f t="shared" si="5"/>
        <v>1</v>
      </c>
    </row>
    <row r="39" spans="1:29" ht="15">
      <c r="A39" s="588"/>
      <c r="B39" s="1808" t="s">
        <v>2545</v>
      </c>
      <c r="C39" s="593" t="s">
        <v>3152</v>
      </c>
      <c r="D39" s="534">
        <v>100</v>
      </c>
      <c r="E39" s="593" t="s">
        <v>3152</v>
      </c>
      <c r="F39" s="569">
        <f>SUMIF(116:116,E39,117:117)-SUMIF(116:116,C39,117:117)+100</f>
        <v>100</v>
      </c>
      <c r="G39" s="593" t="s">
        <v>3152</v>
      </c>
      <c r="H39" s="534">
        <f>SUMIF(116:116,G39,117:117)-SUMIF(116:116,C39,117:117)+100</f>
        <v>100</v>
      </c>
      <c r="I39" s="593" t="s">
        <v>3152</v>
      </c>
      <c r="J39" s="534">
        <f>SUMIF(116:116,I39,117:117)-SUMIF(116:116,C39,117:117)+100</f>
        <v>100</v>
      </c>
      <c r="K39" s="853">
        <v>1</v>
      </c>
      <c r="L39" s="2023"/>
      <c r="M39" s="2015"/>
      <c r="N39" s="2015"/>
      <c r="O39" s="2022"/>
      <c r="P39" s="3533"/>
      <c r="Q39" s="1505" t="str">
        <f t="shared" si="11"/>
        <v>市政基础设施</v>
      </c>
      <c r="R39" s="1506" t="s">
        <v>11</v>
      </c>
      <c r="S39" s="1507">
        <f t="shared" si="12"/>
        <v>100</v>
      </c>
      <c r="T39" s="1506" t="s">
        <v>11</v>
      </c>
      <c r="U39" s="1507">
        <f t="shared" si="13"/>
        <v>100</v>
      </c>
      <c r="V39" s="1506" t="s">
        <v>11</v>
      </c>
      <c r="W39" s="1507">
        <f t="shared" si="14"/>
        <v>100</v>
      </c>
      <c r="X39" s="1500"/>
      <c r="Y39" s="3533"/>
      <c r="Z39" s="1508" t="str">
        <f t="shared" si="15"/>
        <v>市政基础设施</v>
      </c>
      <c r="AA39" s="1509">
        <f t="shared" si="3"/>
        <v>1</v>
      </c>
      <c r="AB39" s="1509">
        <f t="shared" si="4"/>
        <v>1</v>
      </c>
      <c r="AC39" s="1509">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33"/>
      <c r="Q40" s="1505" t="str">
        <f t="shared" si="11"/>
        <v>房型</v>
      </c>
      <c r="R40" s="1506" t="s">
        <v>11</v>
      </c>
      <c r="S40" s="1507">
        <f t="shared" si="12"/>
        <v>100</v>
      </c>
      <c r="T40" s="1506" t="s">
        <v>11</v>
      </c>
      <c r="U40" s="1507">
        <f t="shared" si="13"/>
        <v>100</v>
      </c>
      <c r="V40" s="1506" t="s">
        <v>11</v>
      </c>
      <c r="W40" s="1507">
        <f t="shared" si="14"/>
        <v>100</v>
      </c>
      <c r="X40" s="1500"/>
      <c r="Y40" s="3533"/>
      <c r="Z40" s="1508" t="str">
        <f t="shared" si="15"/>
        <v>房型</v>
      </c>
      <c r="AA40" s="1509">
        <f t="shared" si="3"/>
        <v>1</v>
      </c>
      <c r="AB40" s="1509">
        <f t="shared" si="4"/>
        <v>1</v>
      </c>
      <c r="AC40" s="1509">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33"/>
      <c r="Q41" s="1534" t="str">
        <f t="shared" si="11"/>
        <v>单套/主力户型建筑面积</v>
      </c>
      <c r="R41" s="1510" t="s">
        <v>11</v>
      </c>
      <c r="S41" s="1511">
        <f t="shared" si="12"/>
        <v>100</v>
      </c>
      <c r="T41" s="1510" t="s">
        <v>11</v>
      </c>
      <c r="U41" s="1511">
        <f t="shared" si="13"/>
        <v>100</v>
      </c>
      <c r="V41" s="1510" t="s">
        <v>11</v>
      </c>
      <c r="W41" s="1511">
        <f t="shared" si="14"/>
        <v>100</v>
      </c>
      <c r="X41" s="1512"/>
      <c r="Y41" s="3533"/>
      <c r="Z41" s="1513" t="str">
        <f t="shared" si="15"/>
        <v>单套/主力户型建筑面积</v>
      </c>
      <c r="AA41" s="1509">
        <f t="shared" si="3"/>
        <v>1</v>
      </c>
      <c r="AB41" s="1509">
        <f t="shared" si="4"/>
        <v>1</v>
      </c>
      <c r="AC41" s="1509">
        <f t="shared" si="5"/>
        <v>1</v>
      </c>
    </row>
    <row r="42" spans="1:29" ht="15">
      <c r="A42" s="588"/>
      <c r="B42" s="521" t="s">
        <v>728</v>
      </c>
      <c r="C42" s="593" t="s">
        <v>3180</v>
      </c>
      <c r="D42" s="534">
        <v>100</v>
      </c>
      <c r="E42" s="863" t="s">
        <v>3180</v>
      </c>
      <c r="F42" s="569">
        <f>SUMIF(122:122,E42,123:123)-SUMIF(122:122,C42,123:123)+100</f>
        <v>100</v>
      </c>
      <c r="G42" s="593" t="s">
        <v>3180</v>
      </c>
      <c r="H42" s="534">
        <f>SUMIF(122:122,G42,123:123)-SUMIF(122:122,C42,123:123)+100</f>
        <v>100</v>
      </c>
      <c r="I42" s="863" t="s">
        <v>3172</v>
      </c>
      <c r="J42" s="534">
        <f>SUMIF(122:122,I42,123:123)-SUMIF(122:122,C42,123:123)+100</f>
        <v>97</v>
      </c>
      <c r="K42" s="3316">
        <v>1</v>
      </c>
      <c r="L42" s="2023"/>
      <c r="M42" s="2015"/>
      <c r="N42" s="2015"/>
      <c r="O42" s="2022"/>
      <c r="P42" s="3533"/>
      <c r="Q42" s="1505" t="str">
        <f t="shared" si="11"/>
        <v>内部装修</v>
      </c>
      <c r="R42" s="1506" t="s">
        <v>11</v>
      </c>
      <c r="S42" s="1507">
        <f t="shared" si="12"/>
        <v>100</v>
      </c>
      <c r="T42" s="1506" t="s">
        <v>11</v>
      </c>
      <c r="U42" s="1507">
        <f t="shared" si="13"/>
        <v>100</v>
      </c>
      <c r="V42" s="1506" t="s">
        <v>11</v>
      </c>
      <c r="W42" s="1507">
        <f t="shared" si="14"/>
        <v>97</v>
      </c>
      <c r="X42" s="1500"/>
      <c r="Y42" s="3533"/>
      <c r="Z42" s="1508" t="str">
        <f t="shared" si="15"/>
        <v>内部装修</v>
      </c>
      <c r="AA42" s="1509">
        <f t="shared" si="3"/>
        <v>1</v>
      </c>
      <c r="AB42" s="1509">
        <f t="shared" si="4"/>
        <v>1</v>
      </c>
      <c r="AC42" s="1509">
        <f t="shared" si="5"/>
        <v>1.0309278350515463</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3"/>
      <c r="M43" s="2015"/>
      <c r="N43" s="2015"/>
      <c r="O43" s="2022"/>
      <c r="P43" s="3533"/>
      <c r="Q43" s="1505" t="str">
        <f t="shared" si="11"/>
        <v>内部装修维护情况</v>
      </c>
      <c r="R43" s="1506" t="s">
        <v>11</v>
      </c>
      <c r="S43" s="1507">
        <f t="shared" si="12"/>
        <v>100</v>
      </c>
      <c r="T43" s="1506" t="s">
        <v>11</v>
      </c>
      <c r="U43" s="1507">
        <f t="shared" si="13"/>
        <v>100</v>
      </c>
      <c r="V43" s="1506" t="s">
        <v>11</v>
      </c>
      <c r="W43" s="1507">
        <f t="shared" si="14"/>
        <v>100</v>
      </c>
      <c r="X43" s="1500"/>
      <c r="Y43" s="3533"/>
      <c r="Z43" s="1508" t="str">
        <f t="shared" si="15"/>
        <v>内部装修维护情况</v>
      </c>
      <c r="AA43" s="1509">
        <f t="shared" si="3"/>
        <v>1</v>
      </c>
      <c r="AB43" s="1509">
        <f t="shared" si="4"/>
        <v>1</v>
      </c>
      <c r="AC43" s="1509">
        <f t="shared" si="5"/>
        <v>1</v>
      </c>
    </row>
    <row r="44" spans="1:29" s="1202" customFormat="1" ht="15">
      <c r="A44" s="594"/>
      <c r="B44" s="3309" t="s">
        <v>3186</v>
      </c>
      <c r="C44" s="3310"/>
      <c r="D44" s="253">
        <v>100</v>
      </c>
      <c r="E44" s="3310"/>
      <c r="F44" s="852">
        <f>SUMIF(126:126,E44,127:127)-SUMIF(126:126,C44,127:127)+100</f>
        <v>100</v>
      </c>
      <c r="G44" s="3310"/>
      <c r="H44" s="253">
        <f>SUMIF(126:126,G44,127:127)-SUMIF(126:126,C44,127:127)+100</f>
        <v>100</v>
      </c>
      <c r="I44" s="3310"/>
      <c r="J44" s="253">
        <f>SUMIF(126:126,I44,127:127)-SUMIF(126:126,C44,127:127)+100</f>
        <v>100</v>
      </c>
      <c r="K44" s="854"/>
      <c r="L44" s="2016"/>
      <c r="M44" s="2017"/>
      <c r="N44" s="2017"/>
      <c r="O44" s="2018"/>
      <c r="P44" s="3533"/>
      <c r="Q44" s="1133" t="str">
        <f t="shared" si="11"/>
        <v>尾盘</v>
      </c>
      <c r="R44" s="1501" t="s">
        <v>11</v>
      </c>
      <c r="S44" s="1502">
        <f t="shared" si="12"/>
        <v>100</v>
      </c>
      <c r="T44" s="1501" t="s">
        <v>11</v>
      </c>
      <c r="U44" s="1502">
        <f t="shared" si="13"/>
        <v>100</v>
      </c>
      <c r="V44" s="1501" t="s">
        <v>11</v>
      </c>
      <c r="W44" s="1502">
        <f t="shared" si="14"/>
        <v>100</v>
      </c>
      <c r="X44" s="1503"/>
      <c r="Y44" s="3533"/>
      <c r="Z44" s="1132" t="str">
        <f t="shared" si="15"/>
        <v>尾盘</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33"/>
      <c r="Q45" s="1505">
        <f t="shared" si="11"/>
        <v>111</v>
      </c>
      <c r="R45" s="1506" t="s">
        <v>11</v>
      </c>
      <c r="S45" s="1507">
        <f t="shared" si="12"/>
        <v>100</v>
      </c>
      <c r="T45" s="1506" t="s">
        <v>11</v>
      </c>
      <c r="U45" s="1507">
        <f t="shared" si="13"/>
        <v>100</v>
      </c>
      <c r="V45" s="1506" t="s">
        <v>11</v>
      </c>
      <c r="W45" s="1507">
        <f t="shared" si="14"/>
        <v>100</v>
      </c>
      <c r="X45" s="1500"/>
      <c r="Y45" s="3533"/>
      <c r="Z45" s="1508">
        <f t="shared" si="15"/>
        <v>111</v>
      </c>
      <c r="AA45" s="1509">
        <f t="shared" si="3"/>
        <v>1</v>
      </c>
      <c r="AB45" s="1509">
        <f t="shared" si="4"/>
        <v>1</v>
      </c>
      <c r="AC45" s="1509">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13"/>
      <c r="Q46" s="1505">
        <f t="shared" si="11"/>
        <v>111</v>
      </c>
      <c r="R46" s="1506" t="s">
        <v>10</v>
      </c>
      <c r="S46" s="1507">
        <f t="shared" si="12"/>
        <v>100</v>
      </c>
      <c r="T46" s="1506" t="s">
        <v>10</v>
      </c>
      <c r="U46" s="1507">
        <f t="shared" si="13"/>
        <v>100</v>
      </c>
      <c r="V46" s="1506" t="s">
        <v>10</v>
      </c>
      <c r="W46" s="1507">
        <f t="shared" si="14"/>
        <v>100</v>
      </c>
      <c r="X46" s="1500"/>
      <c r="Y46" s="3613"/>
      <c r="Z46" s="1508">
        <f t="shared" si="15"/>
        <v>111</v>
      </c>
      <c r="AA46" s="1509">
        <f t="shared" si="3"/>
        <v>1</v>
      </c>
      <c r="AB46" s="1509">
        <f t="shared" si="4"/>
        <v>1</v>
      </c>
      <c r="AC46" s="1509">
        <f t="shared" si="5"/>
        <v>1</v>
      </c>
    </row>
    <row r="47" spans="1:29" ht="15">
      <c r="A47" s="601" t="s">
        <v>730</v>
      </c>
      <c r="B47" s="875"/>
      <c r="C47" s="2469" t="s">
        <v>9</v>
      </c>
      <c r="D47" s="2470"/>
      <c r="E47" s="2471">
        <v>13500</v>
      </c>
      <c r="F47" s="2472"/>
      <c r="G47" s="2473">
        <v>13800</v>
      </c>
      <c r="H47" s="2474"/>
      <c r="I47" s="2471">
        <v>13800</v>
      </c>
      <c r="J47" s="2474"/>
      <c r="K47" s="1535"/>
      <c r="L47" s="2025"/>
      <c r="M47" s="2026"/>
      <c r="N47" s="2015"/>
      <c r="O47" s="2026"/>
      <c r="P47" s="3528" t="str">
        <f>A47</f>
        <v>成交单价（元/平方米）</v>
      </c>
      <c r="Q47" s="3528"/>
      <c r="R47" s="3612">
        <f>E47</f>
        <v>13500</v>
      </c>
      <c r="S47" s="3612"/>
      <c r="T47" s="3612">
        <f>G47</f>
        <v>13800</v>
      </c>
      <c r="U47" s="3612"/>
      <c r="V47" s="3612">
        <f>I47</f>
        <v>13800</v>
      </c>
      <c r="W47" s="3612"/>
      <c r="X47" s="1495"/>
      <c r="Y47" s="1514"/>
      <c r="Z47" s="1495"/>
      <c r="AA47" s="1495"/>
      <c r="AB47" s="1495"/>
      <c r="AC47" s="1495"/>
    </row>
    <row r="48" spans="1:29" ht="15.75" thickBot="1">
      <c r="A48" s="609" t="s">
        <v>2740</v>
      </c>
      <c r="B48" s="876"/>
      <c r="C48" s="2475">
        <f>R49</f>
        <v>12896</v>
      </c>
      <c r="D48" s="3013" t="s">
        <v>2972</v>
      </c>
      <c r="E48" s="2476">
        <f>R48</f>
        <v>13680</v>
      </c>
      <c r="F48" s="3014"/>
      <c r="G48" s="2475">
        <f>T48</f>
        <v>12812</v>
      </c>
      <c r="H48" s="3014"/>
      <c r="I48" s="2476">
        <f>V48</f>
        <v>12197</v>
      </c>
      <c r="J48" s="3014"/>
      <c r="K48" s="3022">
        <f>F48+H48+J48</f>
        <v>0</v>
      </c>
      <c r="L48" s="2025"/>
      <c r="M48" s="2026"/>
      <c r="N48" s="2026"/>
      <c r="O48" s="2026"/>
      <c r="P48" s="3528" t="str">
        <f>A48</f>
        <v>比较价格（元/平方米）</v>
      </c>
      <c r="Q48" s="3528"/>
      <c r="R48" s="3612">
        <f>IF(F1="售价",ROUND(PRODUCT(R47,AA7:AA46),0),ROUND(PRODUCT(R47,AA7:AA46),1))</f>
        <v>13680</v>
      </c>
      <c r="S48" s="3612"/>
      <c r="T48" s="3612">
        <f>IF(F1="售价",ROUND(PRODUCT(T47,AB7:AB46),0),ROUND(PRODUCT(T47,AB7:AB46),1))</f>
        <v>12812</v>
      </c>
      <c r="U48" s="3612"/>
      <c r="V48" s="3612">
        <f>IF(F1="售价",ROUND(PRODUCT(V47,AC7:AC46),0),ROUND(PRODUCT(V47,AC7:AC46),1))</f>
        <v>12197</v>
      </c>
      <c r="W48" s="3612"/>
      <c r="X48" s="1495"/>
      <c r="Y48" s="1495"/>
      <c r="Z48" s="1495"/>
      <c r="AA48" s="1495"/>
      <c r="AB48" s="1495"/>
      <c r="AC48" s="1495"/>
    </row>
    <row r="49" spans="1:29" ht="15.75" thickBot="1">
      <c r="A49" s="613" t="s">
        <v>2903</v>
      </c>
      <c r="B49" s="614"/>
      <c r="C49" s="2477">
        <f>R49</f>
        <v>12896</v>
      </c>
      <c r="D49" s="2477"/>
      <c r="E49" s="2477"/>
      <c r="F49" s="2477"/>
      <c r="G49" s="2477"/>
      <c r="H49" s="2477"/>
      <c r="I49" s="2477"/>
      <c r="J49" s="2477"/>
      <c r="K49" s="1536"/>
      <c r="L49" s="2025"/>
      <c r="M49" s="2026"/>
      <c r="N49" s="2026"/>
      <c r="O49" s="2026"/>
      <c r="P49" s="3549" t="str">
        <f>A49</f>
        <v>估价对象XX用房的比较价格（楼面单价，元/平方米）</v>
      </c>
      <c r="Q49" s="3550"/>
      <c r="R49" s="3611">
        <f>IF(F1="售价",ROUND(IF(D48="简单平均",AVERAGE(R48:V48),R48*F48+T48*H48+V48*J48),0),ROUND(IF(D48="简单平均",AVERAGE(R48:V48),R48*F48+T48*H48+V48*J48),1))</f>
        <v>12896</v>
      </c>
      <c r="S49" s="3611"/>
      <c r="T49" s="3611"/>
      <c r="U49" s="3611"/>
      <c r="V49" s="3611"/>
      <c r="W49" s="3611"/>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f>I47*0.03</f>
        <v>414</v>
      </c>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f>IF(E47&lt;E48,E48/E47-1,E47/E48-1)</f>
        <v>1.3333333333333419E-2</v>
      </c>
      <c r="F52" s="619" t="str">
        <f>IF(OR(E52&gt;=0.3,E52&lt;=-0.3),"超过30%","")</f>
        <v/>
      </c>
      <c r="G52" s="618">
        <f>IF(G47&lt;G48,G48/G47-1,G47/G48-1)</f>
        <v>7.7115204495785239E-2</v>
      </c>
      <c r="H52" s="619" t="str">
        <f>IF(OR(G52&gt;=0.3,G52&lt;=-0.3),"超过30%","")</f>
        <v/>
      </c>
      <c r="I52" s="618">
        <f>IF(I47&lt;I48,I48/I47-1,I47/I48-1)</f>
        <v>0.13142576043289322</v>
      </c>
      <c r="J52" s="619"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f>IF(E48&lt;G48,G48/E48-1,E48/G48-1)</f>
        <v>6.7748985326256728E-2</v>
      </c>
      <c r="F53" s="619" t="str">
        <f>IF(OR(E53&gt;=0.2,E53&lt;=-0.2),"超过20%","")</f>
        <v/>
      </c>
      <c r="G53" s="618">
        <f>IF(G48&lt;I48,I48/G48-1,G48/I48-1)</f>
        <v>5.0422234975813662E-2</v>
      </c>
      <c r="H53" s="619" t="str">
        <f>IF(OR(G53&gt;=0.2,G53&lt;=-0.2),"超过20%","")</f>
        <v/>
      </c>
      <c r="I53" s="618">
        <f>IF(I48&lt;E48,E48/I48-1,I48/E48-1)</f>
        <v>0.12158727555956372</v>
      </c>
      <c r="J53" s="619"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f>IF(E47&lt;G47,G47/E47-1,E47/G47-1)</f>
        <v>2.2222222222222143E-2</v>
      </c>
      <c r="F54" s="619" t="str">
        <f>IF(OR(E54&gt;=0.3,E54&lt;=-0.3),"超过30%","")</f>
        <v/>
      </c>
      <c r="G54" s="618">
        <f>IF(G47&lt;I47,I47/G47-1,G47/I47-1)</f>
        <v>0</v>
      </c>
      <c r="H54" s="619" t="str">
        <f>IF(OR(G54&gt;=0.3,G54&lt;=-0.3),"超过30%","")</f>
        <v/>
      </c>
      <c r="I54" s="618">
        <f>IF(I47&lt;E47,E47/I47-1,I47/E47-1)</f>
        <v>2.2222222222222143E-2</v>
      </c>
      <c r="J54" s="619"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3.5（含）-4</v>
      </c>
      <c r="K67" s="674" t="str">
        <f t="shared" si="18"/>
        <v>4（含）-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0.5</v>
      </c>
      <c r="E68" s="535">
        <v>1</v>
      </c>
      <c r="F68" s="535">
        <v>1.5</v>
      </c>
      <c r="G68" s="535">
        <v>2</v>
      </c>
      <c r="H68" s="535">
        <v>2.5</v>
      </c>
      <c r="I68" s="535">
        <v>3</v>
      </c>
      <c r="J68" s="535">
        <v>3.5</v>
      </c>
      <c r="K68" s="676">
        <v>4</v>
      </c>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95</v>
      </c>
      <c r="E77" s="671">
        <f>D77-$K15</f>
        <v>90</v>
      </c>
      <c r="F77" s="671">
        <f>E77-$K15</f>
        <v>85</v>
      </c>
      <c r="G77" s="671">
        <f>F77-$K15</f>
        <v>80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99</v>
      </c>
      <c r="E83" s="671">
        <f>D83-$K21</f>
        <v>98</v>
      </c>
      <c r="F83" s="671">
        <f>E83-$K21</f>
        <v>97</v>
      </c>
      <c r="G83" s="671">
        <f>F83-$K21</f>
        <v>96</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281" t="s">
        <v>3178</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500000</v>
      </c>
      <c r="E103" s="722">
        <v>1000000</v>
      </c>
      <c r="F103" s="722">
        <v>1500000</v>
      </c>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101</v>
      </c>
      <c r="E104" s="663">
        <v>102</v>
      </c>
      <c r="F104" s="663">
        <v>103</v>
      </c>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08" t="s">
        <v>3179</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308" t="s">
        <v>3185</v>
      </c>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08" t="s">
        <v>3181</v>
      </c>
      <c r="D122" s="3308" t="s">
        <v>3182</v>
      </c>
      <c r="E122" s="3308" t="s">
        <v>3183</v>
      </c>
      <c r="F122" s="3298" t="s">
        <v>3184</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99</v>
      </c>
      <c r="E123" s="671">
        <f t="shared" si="29"/>
        <v>98</v>
      </c>
      <c r="F123" s="671">
        <f t="shared" si="29"/>
        <v>97</v>
      </c>
      <c r="G123" s="671">
        <f t="shared" si="29"/>
        <v>96</v>
      </c>
      <c r="H123" s="671">
        <f t="shared" si="29"/>
        <v>95</v>
      </c>
      <c r="I123" s="671">
        <f t="shared" si="29"/>
        <v>94</v>
      </c>
      <c r="J123" s="671">
        <f t="shared" si="29"/>
        <v>93</v>
      </c>
      <c r="K123" s="671">
        <f t="shared" si="29"/>
        <v>92</v>
      </c>
      <c r="L123" s="671">
        <f t="shared" si="29"/>
        <v>91</v>
      </c>
      <c r="M123" s="671">
        <f t="shared" si="29"/>
        <v>90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尾盘</v>
      </c>
      <c r="C126" s="3308" t="s">
        <v>3187</v>
      </c>
      <c r="D126" s="3308" t="s">
        <v>3190</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98</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8" stopIfTrue="1" operator="containsText" text="超过">
      <formula>NOT(ISERROR(SEARCH("超过",F52)))</formula>
    </cfRule>
  </conditionalFormatting>
  <conditionalFormatting sqref="J54">
    <cfRule type="containsText" dxfId="120" priority="17" stopIfTrue="1" operator="containsText" text="超过">
      <formula>NOT(ISERROR(SEARCH("超过",J54)))</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J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G54">
    <cfRule type="expression" dxfId="115" priority="11" stopIfTrue="1">
      <formula>$H$54="超过30%"</formula>
    </cfRule>
  </conditionalFormatting>
  <conditionalFormatting sqref="E53">
    <cfRule type="expression" dxfId="114" priority="10" stopIfTrue="1">
      <formula>$F$53="超过20%"</formula>
    </cfRule>
  </conditionalFormatting>
  <conditionalFormatting sqref="E54">
    <cfRule type="expression" dxfId="113" priority="9" stopIfTrue="1">
      <formula>$F$54="超过30%"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I52">
    <cfRule type="expression" dxfId="110" priority="6" stopIfTrue="1">
      <formula>$J$52="超过30%"</formula>
    </cfRule>
  </conditionalFormatting>
  <conditionalFormatting sqref="I53">
    <cfRule type="expression" dxfId="109" priority="5" stopIfTrue="1">
      <formula>$J$53="超过20%"</formula>
    </cfRule>
  </conditionalFormatting>
  <conditionalFormatting sqref="I54">
    <cfRule type="expression" dxfId="108" priority="4" stopIfTrue="1">
      <formula>$J$54="超过30%"</formula>
    </cfRule>
  </conditionalFormatting>
  <conditionalFormatting sqref="F48">
    <cfRule type="expression" dxfId="107" priority="3">
      <formula>$D$48="简单平均"</formula>
    </cfRule>
  </conditionalFormatting>
  <conditionalFormatting sqref="H48">
    <cfRule type="expression" dxfId="106" priority="2">
      <formula>$D$48="简单平均"</formula>
    </cfRule>
  </conditionalFormatting>
  <conditionalFormatting sqref="J48">
    <cfRule type="expression" dxfId="105"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B183" sqref="B183"/>
    </sheetView>
  </sheetViews>
  <sheetFormatPr defaultRowHeight="13.5"/>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C13" sqref="C13"/>
    </sheetView>
  </sheetViews>
  <sheetFormatPr defaultColWidth="9" defaultRowHeight="13.5"/>
  <cols>
    <col min="1" max="5" width="20.625" style="3302" customWidth="1"/>
    <col min="6" max="16384" width="9" style="3302"/>
  </cols>
  <sheetData>
    <row r="1" spans="1:5" ht="24" customHeight="1">
      <c r="A1" s="3614" t="s">
        <v>3158</v>
      </c>
      <c r="B1" s="3614"/>
      <c r="C1" s="3614"/>
      <c r="D1" s="3614"/>
      <c r="E1" s="3614"/>
    </row>
    <row r="2" spans="1:5" ht="24" customHeight="1">
      <c r="A2" s="3303" t="s">
        <v>3159</v>
      </c>
      <c r="B2" s="3303" t="s">
        <v>3160</v>
      </c>
      <c r="C2" s="3303" t="s">
        <v>3161</v>
      </c>
      <c r="D2" s="3303" t="s">
        <v>3162</v>
      </c>
      <c r="E2" s="3304" t="s">
        <v>3011</v>
      </c>
    </row>
    <row r="3" spans="1:5" ht="24" customHeight="1">
      <c r="A3" s="3305" t="s">
        <v>3163</v>
      </c>
      <c r="B3" s="3303" t="s">
        <v>3164</v>
      </c>
      <c r="C3" s="3303" t="s">
        <v>3165</v>
      </c>
      <c r="D3" s="3303" t="s">
        <v>3166</v>
      </c>
      <c r="E3" s="3304"/>
    </row>
    <row r="4" spans="1:5" ht="24" customHeight="1">
      <c r="A4" s="3303" t="s">
        <v>3167</v>
      </c>
      <c r="B4" s="3303" t="s">
        <v>3164</v>
      </c>
      <c r="C4" s="3303" t="s">
        <v>3168</v>
      </c>
      <c r="D4" s="3303" t="s">
        <v>3166</v>
      </c>
      <c r="E4" s="3306" t="s">
        <v>3169</v>
      </c>
    </row>
    <row r="5" spans="1:5" ht="24" customHeight="1">
      <c r="A5" s="3305" t="s">
        <v>3188</v>
      </c>
      <c r="B5" s="3303" t="s">
        <v>3164</v>
      </c>
      <c r="C5" s="3303" t="s">
        <v>3170</v>
      </c>
      <c r="D5" s="3303" t="s">
        <v>3166</v>
      </c>
      <c r="E5" s="3306" t="s">
        <v>3169</v>
      </c>
    </row>
    <row r="6" spans="1:5" ht="24" customHeight="1">
      <c r="A6" s="3305" t="s">
        <v>3171</v>
      </c>
      <c r="B6" s="3303" t="s">
        <v>3164</v>
      </c>
      <c r="C6" s="3303" t="s">
        <v>3170</v>
      </c>
      <c r="D6" s="3303" t="s">
        <v>3172</v>
      </c>
      <c r="E6" s="3306" t="s">
        <v>3169</v>
      </c>
    </row>
    <row r="7" spans="1:5" ht="24" customHeight="1">
      <c r="A7" s="3303" t="s">
        <v>3173</v>
      </c>
      <c r="B7" s="3303" t="s">
        <v>3164</v>
      </c>
      <c r="C7" s="3303" t="s">
        <v>3174</v>
      </c>
      <c r="D7" s="3303" t="s">
        <v>3172</v>
      </c>
      <c r="E7" s="3304" t="s">
        <v>3175</v>
      </c>
    </row>
    <row r="8" spans="1:5" ht="24" customHeight="1">
      <c r="A8" s="3307"/>
      <c r="B8" s="3307"/>
      <c r="C8" s="3307"/>
      <c r="D8" s="3307"/>
    </row>
    <row r="9" spans="1:5" ht="24" customHeight="1">
      <c r="A9" s="3307"/>
      <c r="B9" s="3307"/>
      <c r="C9" s="3307"/>
      <c r="D9" s="3307"/>
      <c r="E9" s="3302" t="s">
        <v>3176</v>
      </c>
    </row>
  </sheetData>
  <mergeCells count="1">
    <mergeCell ref="A1:E1"/>
  </mergeCells>
  <phoneticPr fontId="22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8" zoomScale="80" zoomScaleNormal="60" zoomScaleSheetLayoutView="80" workbookViewId="0">
      <selection activeCell="A4" sqref="A4:F4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3005</v>
      </c>
      <c r="D1" s="2797" t="s">
        <v>3048</v>
      </c>
      <c r="E1" s="2241" t="s">
        <v>2358</v>
      </c>
      <c r="F1" s="2242">
        <f ca="1">J53</f>
        <v>23.22</v>
      </c>
      <c r="G1" s="3258">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20615</v>
      </c>
      <c r="C2" s="3263"/>
      <c r="D2" s="3264"/>
      <c r="E2" s="3265"/>
      <c r="F2" s="3265"/>
      <c r="G2" s="3259"/>
      <c r="H2" s="1939"/>
      <c r="I2" s="1939"/>
      <c r="J2" s="1939"/>
      <c r="K2" s="1940"/>
      <c r="L2" s="1939"/>
      <c r="M2" s="1939"/>
    </row>
    <row r="3" spans="1:33" ht="18" customHeight="1" thickBot="1">
      <c r="A3" s="822" t="s">
        <v>1717</v>
      </c>
      <c r="B3" s="823">
        <f ca="1">IF(ISERROR(B2*10000/F43),0,ROUND(B2*10000/F43,0))</f>
        <v>15298</v>
      </c>
      <c r="C3" s="3263"/>
      <c r="D3" s="3264"/>
      <c r="E3" s="3265"/>
      <c r="F3" s="3265"/>
      <c r="G3" s="3259"/>
      <c r="H3" s="766" t="s">
        <v>689</v>
      </c>
      <c r="I3" s="1315"/>
      <c r="J3" s="1315"/>
      <c r="K3" s="1524"/>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1591</v>
      </c>
      <c r="D5" s="2348" t="s">
        <v>2442</v>
      </c>
      <c r="E5" s="2342"/>
      <c r="F5" s="2343"/>
      <c r="G5" s="1944"/>
      <c r="H5" s="771">
        <v>1</v>
      </c>
      <c r="I5" s="772" t="s">
        <v>2439</v>
      </c>
      <c r="J5" s="55">
        <f ca="1">J6+J10+J12</f>
        <v>0</v>
      </c>
      <c r="K5" s="2348" t="s">
        <v>2442</v>
      </c>
      <c r="L5" s="2342"/>
      <c r="M5" s="2343"/>
    </row>
    <row r="6" spans="1:33" ht="18" customHeight="1">
      <c r="A6" s="1744" t="s">
        <v>1814</v>
      </c>
      <c r="B6" s="3603" t="s">
        <v>2444</v>
      </c>
      <c r="C6" s="773">
        <f ca="1">ROUND(F6*F8*F7*(1-F9)/10000,0)</f>
        <v>1589</v>
      </c>
      <c r="D6" s="2349" t="s">
        <v>2443</v>
      </c>
      <c r="E6" s="774" t="s">
        <v>1728</v>
      </c>
      <c r="F6" s="775">
        <f ca="1">INDIRECT("'数据-取费表'!u"&amp;$G$1)</f>
        <v>3.8</v>
      </c>
      <c r="G6" s="1944"/>
      <c r="H6" s="2356" t="s">
        <v>2449</v>
      </c>
      <c r="I6" s="3603" t="s">
        <v>2444</v>
      </c>
      <c r="J6" s="773">
        <f ca="1">ROUND(M6*M8*M7*(1-M9)/10000,0)</f>
        <v>0</v>
      </c>
      <c r="K6" s="339" t="s">
        <v>1727</v>
      </c>
      <c r="L6" s="774" t="s">
        <v>1728</v>
      </c>
      <c r="M6" s="775">
        <f ca="1">INDIRECT("'数据-取费表'!z"&amp;$G$1)</f>
        <v>0</v>
      </c>
    </row>
    <row r="7" spans="1:33" ht="18" customHeight="1">
      <c r="A7" s="2352"/>
      <c r="B7" s="3604"/>
      <c r="C7" s="778"/>
      <c r="D7" s="779"/>
      <c r="E7" s="774" t="s">
        <v>1729</v>
      </c>
      <c r="F7" s="775">
        <f ca="1">IF(INDIRECT("'数据-取费表'!ah"&amp;$G$1)="",INDIRECT("'数据-取费表'!k"&amp;$G$1),INDIRECT("'数据-取费表'!ah"&amp;$G$1))</f>
        <v>13475.490000000002</v>
      </c>
      <c r="G7" s="1944"/>
      <c r="H7" s="2341"/>
      <c r="I7" s="3604"/>
      <c r="J7" s="778"/>
      <c r="K7" s="779"/>
      <c r="L7" s="774" t="s">
        <v>1729</v>
      </c>
      <c r="M7" s="775">
        <f ca="1">F7</f>
        <v>13475.490000000002</v>
      </c>
    </row>
    <row r="8" spans="1:33" ht="18" customHeight="1">
      <c r="A8" s="2345"/>
      <c r="B8" s="3605"/>
      <c r="C8" s="778"/>
      <c r="D8" s="779"/>
      <c r="E8" s="774" t="s">
        <v>1730</v>
      </c>
      <c r="F8" s="775">
        <f ca="1">INDIRECT("'数据-取费表'!ai"&amp;$G$1)</f>
        <v>365</v>
      </c>
      <c r="G8" s="1944"/>
      <c r="H8" s="2341"/>
      <c r="I8" s="3605"/>
      <c r="J8" s="778"/>
      <c r="K8" s="779"/>
      <c r="L8" s="774" t="s">
        <v>1730</v>
      </c>
      <c r="M8" s="775">
        <f ca="1">INDIRECT("'数据-取费表'!ai"&amp;$G$1)</f>
        <v>365</v>
      </c>
    </row>
    <row r="9" spans="1:33" ht="18" customHeight="1">
      <c r="A9" s="776"/>
      <c r="B9" s="3606"/>
      <c r="C9" s="778"/>
      <c r="D9" s="779"/>
      <c r="E9" s="774" t="s">
        <v>1731</v>
      </c>
      <c r="F9" s="784">
        <f ca="1">INDIRECT("'数据-取费表'!w"&amp;$G$1)</f>
        <v>0.15</v>
      </c>
      <c r="G9" s="1944"/>
      <c r="H9" s="2357"/>
      <c r="I9" s="3605"/>
      <c r="J9" s="778"/>
      <c r="K9" s="779"/>
      <c r="L9" s="785" t="s">
        <v>1731</v>
      </c>
      <c r="M9" s="786">
        <f ca="1">INDIRECT("'数据-取费表'!ab"&amp;$G$1)</f>
        <v>0</v>
      </c>
    </row>
    <row r="10" spans="1:33" ht="18" customHeight="1">
      <c r="A10" s="1744" t="s">
        <v>2447</v>
      </c>
      <c r="B10" s="2346" t="s">
        <v>2440</v>
      </c>
      <c r="C10" s="789">
        <f ca="1">ROUND(IF(F10="押一",C6/12*F11,IF(F10="押二",C6/12*2*F11,IF(F10="押三",C6/12*3*F11,C11*F11))),0)</f>
        <v>2</v>
      </c>
      <c r="D10" s="2353" t="s">
        <v>2938</v>
      </c>
      <c r="E10" s="2350" t="s">
        <v>2445</v>
      </c>
      <c r="F10" s="2464" t="s">
        <v>3194</v>
      </c>
      <c r="G10" s="1944"/>
      <c r="H10" s="2413" t="s">
        <v>2450</v>
      </c>
      <c r="I10" s="2418" t="s">
        <v>2440</v>
      </c>
      <c r="J10" s="773">
        <f ca="1">ROUND(IF(M10="押一",J6/12*M11,IF(M10="押二",J6/12*2*M11,IF(M10="押三",J6/12*3*M11,J11*M11))),0)</f>
        <v>0</v>
      </c>
      <c r="K10" s="2353" t="s">
        <v>2938</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5195</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1874</v>
      </c>
      <c r="B14" s="774" t="s">
        <v>639</v>
      </c>
      <c r="C14" s="794">
        <f ca="1">INDIRECT("'数据-取费表'!m"&amp;$G$1)+INDIRECT("'数据-取费表'!t"&amp;$G$1)</f>
        <v>3371</v>
      </c>
      <c r="D14" s="1892" t="s">
        <v>1735</v>
      </c>
      <c r="E14" s="1893"/>
      <c r="F14" s="795"/>
      <c r="G14" s="1944"/>
      <c r="H14" s="1576" t="s">
        <v>1820</v>
      </c>
      <c r="I14" s="2110" t="s">
        <v>2805</v>
      </c>
      <c r="J14" s="53">
        <f ca="1">C29</f>
        <v>5195</v>
      </c>
      <c r="K14" s="26"/>
      <c r="L14" s="791"/>
      <c r="M14" s="792"/>
    </row>
    <row r="15" spans="1:33" s="1946" customFormat="1" ht="18" customHeight="1" thickBot="1">
      <c r="A15" s="1575" t="s">
        <v>1875</v>
      </c>
      <c r="B15" s="774" t="s">
        <v>641</v>
      </c>
      <c r="C15" s="53">
        <f ca="1">ROUND(C14*F15,0)</f>
        <v>101</v>
      </c>
      <c r="D15" s="796" t="s">
        <v>1736</v>
      </c>
      <c r="E15" s="796" t="s">
        <v>1737</v>
      </c>
      <c r="F15" s="797">
        <f>'数据-取费表'!B33</f>
        <v>0.03</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521</v>
      </c>
      <c r="K16" s="1735" t="s">
        <v>1740</v>
      </c>
      <c r="L16" s="2338"/>
      <c r="M16" s="2343"/>
    </row>
    <row r="17" spans="1:33" s="1946" customFormat="1" ht="18" customHeight="1">
      <c r="A17" s="1575" t="s">
        <v>1877</v>
      </c>
      <c r="B17" s="774" t="s">
        <v>647</v>
      </c>
      <c r="C17" s="53">
        <f ca="1">ROUND(F17*(F43+INDIRECT("'数据-取费表'!S"&amp;$G$1))/10000,0)</f>
        <v>202</v>
      </c>
      <c r="D17" s="774" t="s">
        <v>1741</v>
      </c>
      <c r="E17" s="774" t="s">
        <v>1742</v>
      </c>
      <c r="F17" s="56">
        <f>'数据-取费表'!B35</f>
        <v>150</v>
      </c>
      <c r="G17" s="3260"/>
      <c r="H17" s="1576" t="s">
        <v>1820</v>
      </c>
      <c r="I17" s="774" t="s">
        <v>650</v>
      </c>
      <c r="J17" s="3018">
        <f ca="1">ROUND(IF(AND(项目基本情况!B11="自然人",项目基本情况!B10="北京市"),J6*M17/(1+'数据-取费表'!C42),J18+J19+J20),0)</f>
        <v>443</v>
      </c>
      <c r="K17" s="2337" t="s">
        <v>1743</v>
      </c>
      <c r="L17" s="2336"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4" t="s">
        <v>653</v>
      </c>
      <c r="C18" s="53">
        <f ca="1">ROUND(C14*F18,0)</f>
        <v>51</v>
      </c>
      <c r="D18" s="774" t="s">
        <v>1736</v>
      </c>
      <c r="E18" s="774" t="s">
        <v>1737</v>
      </c>
      <c r="F18" s="799">
        <f>'数据-取费表'!B36</f>
        <v>1.4999999999999999E-2</v>
      </c>
      <c r="G18" s="3260"/>
      <c r="H18" s="1575" t="s">
        <v>1874</v>
      </c>
      <c r="I18" s="774" t="s">
        <v>1745</v>
      </c>
      <c r="J18" s="53">
        <f ca="1">ROUND(J6*M18/(1+'数据-取费表'!C42),1)</f>
        <v>0</v>
      </c>
      <c r="K18" s="2336" t="s">
        <v>1746</v>
      </c>
      <c r="L18" s="774" t="s">
        <v>1737</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1820</v>
      </c>
      <c r="B19" s="774" t="s">
        <v>656</v>
      </c>
      <c r="C19" s="53">
        <f ca="1">SUM(C14:C18)</f>
        <v>3725</v>
      </c>
      <c r="D19" s="259" t="s">
        <v>1747</v>
      </c>
      <c r="E19" s="1895"/>
      <c r="F19" s="56"/>
      <c r="G19" s="1944"/>
      <c r="H19" s="1575" t="s">
        <v>1875</v>
      </c>
      <c r="I19" s="774" t="s">
        <v>1748</v>
      </c>
      <c r="J19" s="53">
        <f ca="1">IF(K19="按租金收入计税",ROUND(J6*M19/(1+'数据-取费表'!C42),1),ROUND(C29*F33*0.7,1))</f>
        <v>436.4</v>
      </c>
      <c r="K19" s="800" t="s">
        <v>659</v>
      </c>
      <c r="L19" s="774" t="s">
        <v>1737</v>
      </c>
      <c r="M19" s="799">
        <f>IF(K19="按租金收入计税",'数据-取费表'!B51,'数据-取费表'!B50)</f>
        <v>1.2E-2</v>
      </c>
    </row>
    <row r="20" spans="1:33" s="1946" customFormat="1" ht="18" customHeight="1">
      <c r="A20" s="1576" t="s">
        <v>1879</v>
      </c>
      <c r="B20" s="774" t="s">
        <v>660</v>
      </c>
      <c r="C20" s="53">
        <f ca="1">ROUND(C19*F20,0)</f>
        <v>75</v>
      </c>
      <c r="D20" s="801" t="s">
        <v>1749</v>
      </c>
      <c r="E20" s="774" t="s">
        <v>1737</v>
      </c>
      <c r="F20" s="799">
        <f>'数据-取费表'!B37</f>
        <v>0.02</v>
      </c>
      <c r="G20" s="3260"/>
      <c r="H20" s="1578" t="s">
        <v>1870</v>
      </c>
      <c r="I20" s="339" t="s">
        <v>1750</v>
      </c>
      <c r="J20" s="54">
        <f ca="1">ROUND(M20*M21/10000,0)</f>
        <v>7</v>
      </c>
      <c r="K20" s="803" t="s">
        <v>1751</v>
      </c>
      <c r="L20" s="774" t="s">
        <v>1752</v>
      </c>
      <c r="M20" s="632">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4" t="s">
        <v>1753</v>
      </c>
      <c r="C21" s="53" t="s">
        <v>1754</v>
      </c>
      <c r="D21" s="801" t="s">
        <v>2285</v>
      </c>
      <c r="E21" s="774" t="s">
        <v>1755</v>
      </c>
      <c r="F21" s="799">
        <f>'数据-取费表'!B38</f>
        <v>0.02</v>
      </c>
      <c r="G21" s="3260"/>
      <c r="H21" s="2358"/>
      <c r="I21" s="783"/>
      <c r="J21" s="69"/>
      <c r="K21" s="805"/>
      <c r="L21" s="774" t="s">
        <v>1756</v>
      </c>
      <c r="M21" s="775">
        <f ca="1">INDIRECT("'数据-取费表'!r"&amp;$G$1)</f>
        <v>4803.2799999999988</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4" t="s">
        <v>1757</v>
      </c>
      <c r="C22" s="53"/>
      <c r="D22" s="2423" t="str">
        <f>IF(F23&lt;=1,"单利计息。","复利计息。")&amp;"建造成本、管理费用、销售费用产生的利息。"</f>
        <v>复利计息。建造成本、管理费用、销售费用产生的利息。</v>
      </c>
      <c r="E22" s="1895"/>
      <c r="F22" s="56"/>
      <c r="G22" s="1944"/>
      <c r="H22" s="1576" t="s">
        <v>1879</v>
      </c>
      <c r="I22" s="774" t="s">
        <v>1758</v>
      </c>
      <c r="J22" s="53">
        <f ca="1">ROUND(J14*M22,0)</f>
        <v>78</v>
      </c>
      <c r="K22" s="2336" t="s">
        <v>1759</v>
      </c>
      <c r="L22" s="774" t="s">
        <v>1737</v>
      </c>
      <c r="M22" s="806">
        <f ca="1">INDIRECT("'数据-取费表'!Ak"&amp;$G$1)</f>
        <v>1.4999999999999999E-2</v>
      </c>
    </row>
    <row r="23" spans="1:33" s="1946" customFormat="1" ht="18" customHeight="1">
      <c r="A23" s="1575" t="s">
        <v>1821</v>
      </c>
      <c r="B23" s="774" t="s">
        <v>2516</v>
      </c>
      <c r="C23" s="53">
        <f ca="1">ROUND(IF('数据-取费表'!B22&lt;=1,(C19+C20)*F24*F23/2,(C19+C20)*(POWER((1+F24),F23/2)-1)),0)</f>
        <v>227</v>
      </c>
      <c r="D23" s="2422" t="str">
        <f>IF(F23&lt;=1,"(建造成本+管理费用)×利率×(建设周期÷2)","(建造成本+管理费用)×((1+利率)^(建设周期÷2)-1)")</f>
        <v>(建造成本+管理费用)×((1+利率)^(建设周期÷2)-1)</v>
      </c>
      <c r="E23" s="774" t="s">
        <v>1760</v>
      </c>
      <c r="F23" s="632">
        <f>'数据-取费表'!B20</f>
        <v>2.5</v>
      </c>
      <c r="G23" s="3260"/>
      <c r="H23" s="1576" t="s">
        <v>1880</v>
      </c>
      <c r="I23" s="774" t="s">
        <v>673</v>
      </c>
      <c r="J23" s="53">
        <f ca="1">ROUND(J13*M23,0)</f>
        <v>0</v>
      </c>
      <c r="K23" s="233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4" t="s">
        <v>1762</v>
      </c>
      <c r="C24" s="53">
        <f ca="1">ROUND(IF('数据-取费表'!B22&lt;=1,F21*F24*F23/2,F21*(POWER((1+F24),F23/2)-1)),4)</f>
        <v>1.1999999999999999E-3</v>
      </c>
      <c r="D24" s="2422" t="str">
        <f>IF(F23&lt;=1,"销售费用×利率×(建设周期÷2)","销售费用×((1+利率)^(建设周期÷2)-1)")</f>
        <v>销售费用×((1+利率)^(建设周期÷2)-1)</v>
      </c>
      <c r="E24" s="774" t="s">
        <v>1763</v>
      </c>
      <c r="F24" s="808">
        <f ca="1">'数据-取费表'!B40</f>
        <v>4.7500000000000001E-2</v>
      </c>
      <c r="G24" s="3260"/>
      <c r="H24" s="2403" t="s">
        <v>1881</v>
      </c>
      <c r="I24" s="2398" t="s">
        <v>660</v>
      </c>
      <c r="J24" s="2396">
        <f ca="1">ROUND(J5*M24,0)</f>
        <v>0</v>
      </c>
      <c r="K24" s="2397" t="s">
        <v>1764</v>
      </c>
      <c r="L24" s="2398" t="s">
        <v>1737</v>
      </c>
      <c r="M24" s="2394">
        <f ca="1">INDIRECT("'数据-取费表'!Am"&amp;$G$1)</f>
        <v>1.4999999999999999E-2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4" t="s">
        <v>678</v>
      </c>
      <c r="C25" s="53"/>
      <c r="D25" s="259" t="s">
        <v>1765</v>
      </c>
      <c r="E25" s="1895"/>
      <c r="F25" s="56"/>
      <c r="G25" s="1944"/>
      <c r="H25" s="1743" t="s">
        <v>1766</v>
      </c>
      <c r="I25" s="2722" t="s">
        <v>2801</v>
      </c>
      <c r="J25" s="782">
        <f ca="1">J5-J16</f>
        <v>-521</v>
      </c>
      <c r="K25" s="2400" t="s">
        <v>1767</v>
      </c>
      <c r="L25" s="2401"/>
      <c r="M25" s="2402"/>
    </row>
    <row r="26" spans="1:33" ht="18" customHeight="1">
      <c r="A26" s="1575" t="s">
        <v>1821</v>
      </c>
      <c r="B26" s="774" t="s">
        <v>2421</v>
      </c>
      <c r="C26" s="53">
        <f ca="1">ROUND((C19+C20)*F26,0)</f>
        <v>760</v>
      </c>
      <c r="D26" s="801" t="s">
        <v>1768</v>
      </c>
      <c r="E26" s="785" t="s">
        <v>1769</v>
      </c>
      <c r="F26" s="784">
        <f ca="1">INDIRECT("'数据-取费表'!q"&amp;$G$1)</f>
        <v>0.2</v>
      </c>
      <c r="G26" s="1944"/>
      <c r="H26" s="2354" t="s">
        <v>1770</v>
      </c>
      <c r="I26" s="2111" t="s">
        <v>2806</v>
      </c>
      <c r="J26" s="773">
        <f ca="1">IF(J5&lt;&gt;0,ROUND(J25*(1-((1+M28)/(1+M26))^M27)/(M26-M28),0),0)</f>
        <v>0</v>
      </c>
      <c r="K26" s="803" t="s">
        <v>1771</v>
      </c>
      <c r="L26" s="774" t="s">
        <v>2403</v>
      </c>
      <c r="M26" s="784">
        <f ca="1">INDIRECT("'数据-取费表'!I"&amp;$G$1)</f>
        <v>5.5E-2</v>
      </c>
    </row>
    <row r="27" spans="1:33" ht="18" customHeight="1">
      <c r="A27" s="1575" t="s">
        <v>1822</v>
      </c>
      <c r="B27" s="774" t="s">
        <v>680</v>
      </c>
      <c r="C27" s="53">
        <f ca="1">ROUND(F21*F26,4)</f>
        <v>4.0000000000000001E-3</v>
      </c>
      <c r="D27" s="801" t="s">
        <v>1772</v>
      </c>
      <c r="E27" s="796"/>
      <c r="F27" s="797"/>
      <c r="G27" s="1944"/>
      <c r="H27" s="2355"/>
      <c r="I27" s="777"/>
      <c r="J27" s="778"/>
      <c r="K27" s="810" t="s">
        <v>1773</v>
      </c>
      <c r="L27" s="774" t="s">
        <v>1774</v>
      </c>
      <c r="M27" s="811">
        <f ca="1">INDIRECT("'数据-取费表'!ag"&amp;$G$1)</f>
        <v>0</v>
      </c>
    </row>
    <row r="28" spans="1:33" s="1946" customFormat="1" ht="18" customHeight="1">
      <c r="A28" s="1577" t="s">
        <v>1831</v>
      </c>
      <c r="B28" s="774" t="s">
        <v>681</v>
      </c>
      <c r="C28" s="53">
        <f>ROUND(F28/(1+'数据-取费表'!C42),4)</f>
        <v>5.33E-2</v>
      </c>
      <c r="D28" s="801" t="s">
        <v>2286</v>
      </c>
      <c r="E28" s="774" t="s">
        <v>1775</v>
      </c>
      <c r="F28" s="799">
        <f>'数据-取费表'!B41</f>
        <v>5.6000000000000001E-2</v>
      </c>
      <c r="G28" s="3260"/>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5195</v>
      </c>
      <c r="D29" s="2397"/>
      <c r="E29" s="2398"/>
      <c r="F29" s="2399"/>
      <c r="G29" s="3260"/>
      <c r="H29" s="812" t="s">
        <v>1777</v>
      </c>
      <c r="I29" s="813" t="s">
        <v>1778</v>
      </c>
      <c r="J29" s="814">
        <f ca="1">ROUND(J26/(1+F40)^F41,0)</f>
        <v>0</v>
      </c>
      <c r="K29" s="815" t="s">
        <v>1779</v>
      </c>
      <c r="L29" s="816"/>
      <c r="M29" s="817">
        <f ca="1">INDIRECT("'数据-取费表'!k"&amp;$G$1)</f>
        <v>13475.490000000002</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384</v>
      </c>
      <c r="D30" s="1735" t="s">
        <v>1781</v>
      </c>
      <c r="E30" s="2338"/>
      <c r="F30" s="2343"/>
      <c r="G30" s="1944"/>
      <c r="H30" s="1947"/>
      <c r="I30" s="1948"/>
      <c r="J30" s="1949"/>
      <c r="K30" s="1950"/>
      <c r="L30" s="1951"/>
      <c r="M30" s="1952"/>
    </row>
    <row r="31" spans="1:33" ht="18" customHeight="1">
      <c r="A31" s="1576" t="s">
        <v>1820</v>
      </c>
      <c r="B31" s="774" t="s">
        <v>650</v>
      </c>
      <c r="C31" s="3018">
        <f ca="1">ROUND(IF(AND(项目基本情况!B11="自然人",项目基本情况!B10="北京市"),C6*F31/(1+'数据-取费表'!C42),C32+C33+C34),0)</f>
        <v>274</v>
      </c>
      <c r="D31" s="1892" t="s">
        <v>1782</v>
      </c>
      <c r="E31" s="1890" t="s">
        <v>1783</v>
      </c>
      <c r="F31" s="3017" t="str">
        <f>IF(项目基本情况!B11="企业","——",IF('数据-取费表'!B10="住宅",IF(F6*F7*F8/12/(1+'数据-取费表'!F30)&gt;100000,4%,2.5%),IF(F6*F7*F8/12/(1+'数据-取费表'!F30)&gt;100000,12%,7%)))</f>
        <v>——</v>
      </c>
      <c r="G31" s="1944"/>
      <c r="H31" s="3257" t="s">
        <v>2998</v>
      </c>
      <c r="I31" s="1948"/>
      <c r="J31" s="1949"/>
      <c r="K31" s="1950"/>
      <c r="L31" s="1951"/>
      <c r="M31" s="1952"/>
    </row>
    <row r="32" spans="1:33" ht="18" customHeight="1">
      <c r="A32" s="1575" t="s">
        <v>1821</v>
      </c>
      <c r="B32" s="774" t="s">
        <v>1784</v>
      </c>
      <c r="C32" s="53">
        <f ca="1">ROUND(C6*F32/(1+'数据-取费表'!C42),1)</f>
        <v>84.7</v>
      </c>
      <c r="D32" s="1890" t="s">
        <v>1785</v>
      </c>
      <c r="E32" s="774" t="s">
        <v>1786</v>
      </c>
      <c r="F32" s="799">
        <f>'数据-取费表'!B41</f>
        <v>5.6000000000000001E-2</v>
      </c>
      <c r="G32" s="1944"/>
      <c r="H32" s="1953"/>
      <c r="I32" s="1954"/>
      <c r="J32" s="1955"/>
      <c r="K32" s="1956"/>
      <c r="L32" s="1957"/>
      <c r="M32" s="1958"/>
    </row>
    <row r="33" spans="1:18" ht="18" customHeight="1">
      <c r="A33" s="1575" t="s">
        <v>1822</v>
      </c>
      <c r="B33" s="774" t="s">
        <v>1787</v>
      </c>
      <c r="C33" s="53">
        <f ca="1">IF(D33="按租金收入计税",ROUND(C6*F33/(1+'数据-取费表'!C42),1),IF(D33="按房产原值计税",ROUND(C29*F33*0.7,1),INDIRECT("'数据-取费表'!Aj"&amp;$G$1)))</f>
        <v>181.6</v>
      </c>
      <c r="D33" s="800" t="s">
        <v>3050</v>
      </c>
      <c r="E33" s="774" t="s">
        <v>1786</v>
      </c>
      <c r="F33" s="799">
        <f>IF(D33="按租金收入计税",'数据-取费表'!B51,'数据-取费表'!B50)</f>
        <v>0.12</v>
      </c>
      <c r="G33" s="1944"/>
      <c r="H33" s="1959"/>
      <c r="I33" s="1959"/>
      <c r="J33" s="1959"/>
      <c r="K33" s="1960"/>
      <c r="L33" s="1959"/>
      <c r="M33" s="1959"/>
    </row>
    <row r="34" spans="1:18" ht="18" customHeight="1">
      <c r="A34" s="1578" t="s">
        <v>1823</v>
      </c>
      <c r="B34" s="339" t="s">
        <v>1788</v>
      </c>
      <c r="C34" s="54">
        <f ca="1">ROUND(F34*F35/10000,1)</f>
        <v>7.2</v>
      </c>
      <c r="D34" s="803" t="s">
        <v>1789</v>
      </c>
      <c r="E34" s="774" t="s">
        <v>1790</v>
      </c>
      <c r="F34" s="632">
        <f>'数据-取费表'!B52</f>
        <v>15</v>
      </c>
      <c r="G34" s="1944"/>
      <c r="H34" s="1947"/>
      <c r="I34" s="824" t="s">
        <v>1803</v>
      </c>
      <c r="J34" s="825"/>
      <c r="K34" s="1962"/>
      <c r="L34" s="1961"/>
      <c r="M34" s="1961"/>
    </row>
    <row r="35" spans="1:18" ht="18" customHeight="1">
      <c r="A35" s="804"/>
      <c r="B35" s="783"/>
      <c r="C35" s="69"/>
      <c r="D35" s="805"/>
      <c r="E35" s="774" t="s">
        <v>1791</v>
      </c>
      <c r="F35" s="775">
        <f ca="1">INDIRECT("'数据-取费表'!r"&amp;$G$1)</f>
        <v>4803.2799999999988</v>
      </c>
      <c r="G35" s="1944"/>
      <c r="H35" s="1947"/>
      <c r="I35" s="826" t="s">
        <v>1804</v>
      </c>
      <c r="J35" s="827">
        <f ca="1">ROUND(C13*J36,0)</f>
        <v>416</v>
      </c>
      <c r="K35" s="1960"/>
      <c r="L35" s="1959"/>
      <c r="M35" s="1959"/>
    </row>
    <row r="36" spans="1:18" ht="18" customHeight="1">
      <c r="A36" s="1576" t="s">
        <v>1879</v>
      </c>
      <c r="B36" s="774" t="s">
        <v>1792</v>
      </c>
      <c r="C36" s="53">
        <f ca="1">ROUND(C29*F36,1)</f>
        <v>77.900000000000006</v>
      </c>
      <c r="D36" s="1890" t="s">
        <v>1793</v>
      </c>
      <c r="E36" s="774" t="s">
        <v>1786</v>
      </c>
      <c r="F36" s="806">
        <f ca="1">INDIRECT("'数据-取费表'!Ak"&amp;$G$1)</f>
        <v>1.4999999999999999E-2</v>
      </c>
      <c r="G36" s="1944"/>
      <c r="H36" s="1959"/>
      <c r="I36" s="828" t="s">
        <v>1805</v>
      </c>
      <c r="J36" s="829">
        <f ca="1">INDIRECT("'数据-取费表'!j"&amp;$G$1)</f>
        <v>0.08</v>
      </c>
      <c r="K36" s="1963"/>
      <c r="L36" s="1959"/>
      <c r="M36" s="1959"/>
    </row>
    <row r="37" spans="1:18" ht="18" customHeight="1">
      <c r="A37" s="1576" t="s">
        <v>1880</v>
      </c>
      <c r="B37" s="774" t="s">
        <v>673</v>
      </c>
      <c r="C37" s="53">
        <f ca="1">ROUND(C13*F37,1)</f>
        <v>7.8</v>
      </c>
      <c r="D37" s="1890" t="s">
        <v>1794</v>
      </c>
      <c r="E37" s="774" t="s">
        <v>1786</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23.9</v>
      </c>
      <c r="D38" s="2397" t="s">
        <v>1795</v>
      </c>
      <c r="E38" s="2398" t="s">
        <v>1786</v>
      </c>
      <c r="F38" s="2394">
        <f ca="1">INDIRECT("'数据-取费表'!Am"&amp;$G$1)</f>
        <v>1.4999999999999999E-2</v>
      </c>
      <c r="G38" s="1944"/>
      <c r="H38" s="1959"/>
      <c r="I38" s="832" t="s">
        <v>1807</v>
      </c>
      <c r="J38" s="833"/>
      <c r="K38" s="1964"/>
      <c r="L38" s="1959"/>
      <c r="M38" s="1959"/>
    </row>
    <row r="39" spans="1:18" ht="24.6" customHeight="1" thickTop="1">
      <c r="A39" s="1743" t="s">
        <v>1884</v>
      </c>
      <c r="B39" s="2722" t="s">
        <v>2801</v>
      </c>
      <c r="C39" s="782">
        <f ca="1">C5-C30</f>
        <v>1207</v>
      </c>
      <c r="D39" s="2400" t="s">
        <v>1796</v>
      </c>
      <c r="E39" s="2401"/>
      <c r="F39" s="2402"/>
      <c r="G39" s="1944"/>
      <c r="H39" s="1959"/>
      <c r="I39" s="826" t="s">
        <v>1808</v>
      </c>
      <c r="J39" s="834">
        <f ca="1">ROUND(J35/C39,3)</f>
        <v>0.34499999999999997</v>
      </c>
      <c r="K39" s="1964"/>
      <c r="L39" s="1959"/>
      <c r="M39" s="1959"/>
    </row>
    <row r="40" spans="1:18" ht="18" customHeight="1">
      <c r="A40" s="771" t="s">
        <v>1885</v>
      </c>
      <c r="B40" s="2111" t="s">
        <v>2288</v>
      </c>
      <c r="C40" s="773">
        <f ca="1">ROUND(C39*(1-((1+F42)/(1+F40))^F41)/(F40-F42),0)</f>
        <v>20615</v>
      </c>
      <c r="D40" s="803" t="s">
        <v>1797</v>
      </c>
      <c r="E40" s="774" t="s">
        <v>2403</v>
      </c>
      <c r="F40" s="784">
        <f ca="1">INDIRECT("'数据-取费表'!I"&amp;$G$1)</f>
        <v>5.5E-2</v>
      </c>
      <c r="G40" s="1944"/>
      <c r="H40" s="1944"/>
      <c r="I40" s="826" t="s">
        <v>1809</v>
      </c>
      <c r="J40" s="834">
        <f ca="1">1-J39</f>
        <v>0.65500000000000003</v>
      </c>
      <c r="K40" s="1964"/>
      <c r="L40" s="1944"/>
      <c r="M40" s="1944"/>
    </row>
    <row r="41" spans="1:18" ht="18" customHeight="1">
      <c r="A41" s="776"/>
      <c r="B41" s="777"/>
      <c r="C41" s="778"/>
      <c r="D41" s="810" t="s">
        <v>1798</v>
      </c>
      <c r="E41" s="774" t="s">
        <v>2929</v>
      </c>
      <c r="F41" s="811">
        <f ca="1">IF(INDIRECT("'数据-取费表'!af"&amp;$G$1)=0,INDIRECT("'数据-取费表'!ae"&amp;$G$1),INDIRECT("'数据-取费表'!af"&amp;$G$1))</f>
        <v>23.22</v>
      </c>
      <c r="G41" s="1944"/>
      <c r="H41" s="1899"/>
      <c r="I41" s="832" t="s">
        <v>1810</v>
      </c>
      <c r="J41" s="835"/>
      <c r="K41" s="1963"/>
      <c r="L41" s="1899"/>
      <c r="M41" s="1899"/>
    </row>
    <row r="42" spans="1:18" ht="18" customHeight="1">
      <c r="A42" s="780"/>
      <c r="B42" s="781"/>
      <c r="C42" s="782"/>
      <c r="D42" s="805"/>
      <c r="E42" s="774" t="s">
        <v>1799</v>
      </c>
      <c r="F42" s="784">
        <f ca="1">INDIRECT("'数据-取费表'!v"&amp;$G$1)</f>
        <v>0.03</v>
      </c>
      <c r="G42" s="1944"/>
      <c r="H42" s="1899"/>
      <c r="I42" s="836" t="s">
        <v>1811</v>
      </c>
      <c r="J42" s="834">
        <f ca="1">ROUND(C13/C40,3)</f>
        <v>0.252</v>
      </c>
      <c r="K42" s="1963"/>
      <c r="L42" s="1899"/>
      <c r="M42" s="1899"/>
    </row>
    <row r="43" spans="1:18" ht="18" customHeight="1" thickBot="1">
      <c r="A43" s="812" t="s">
        <v>1777</v>
      </c>
      <c r="B43" s="813" t="s">
        <v>1800</v>
      </c>
      <c r="C43" s="814">
        <f ca="1">ROUND(C40*10000/F43,0)</f>
        <v>15298</v>
      </c>
      <c r="D43" s="815" t="s">
        <v>1801</v>
      </c>
      <c r="E43" s="816" t="s">
        <v>1802</v>
      </c>
      <c r="F43" s="817">
        <f ca="1">INDIRECT("'数据-取费表'!k"&amp;$G$1)</f>
        <v>13475.490000000002</v>
      </c>
      <c r="G43" s="1944"/>
      <c r="H43" s="1899"/>
      <c r="I43" s="836" t="s">
        <v>1812</v>
      </c>
      <c r="J43" s="837">
        <f ca="1">1-J42</f>
        <v>0.748</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-21818</v>
      </c>
      <c r="D46" s="3261"/>
      <c r="E46" s="3261"/>
      <c r="F46" s="3261"/>
      <c r="I46" s="2232" t="s">
        <v>2327</v>
      </c>
      <c r="J46" s="2233"/>
      <c r="K46" s="2234"/>
      <c r="L46" s="2810">
        <f>IF(OR(M47="住宅",D1="土地（套用方法）"),0,IF(L48&gt;J51,L60,J60))</f>
        <v>0</v>
      </c>
      <c r="M46" s="3262"/>
      <c r="O46" s="2248" t="s">
        <v>2394</v>
      </c>
      <c r="P46" s="1525"/>
      <c r="Q46" s="1533"/>
      <c r="R46" s="1525"/>
    </row>
    <row r="47" spans="1:18" s="1941" customFormat="1" ht="18" customHeight="1" thickBot="1">
      <c r="A47" s="2226">
        <v>1</v>
      </c>
      <c r="B47" s="2227" t="s">
        <v>629</v>
      </c>
      <c r="C47" s="2425">
        <f ca="1">C48+C52+C54</f>
        <v>0</v>
      </c>
      <c r="D47" s="3261"/>
      <c r="E47" s="3261"/>
      <c r="F47" s="3261"/>
      <c r="I47" s="2801" t="s">
        <v>2328</v>
      </c>
      <c r="J47" s="2235" t="s">
        <v>3051</v>
      </c>
      <c r="K47" s="2807" t="s">
        <v>2333</v>
      </c>
      <c r="L47" s="2811">
        <f ca="1">INDIRECT("'数据-取费表'!d"&amp;$G$1)</f>
        <v>40</v>
      </c>
      <c r="M47" s="1533"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25.72</v>
      </c>
      <c r="M48" s="3262"/>
      <c r="O48" s="2252" t="s">
        <v>2363</v>
      </c>
      <c r="P48" s="2253" t="s">
        <v>2389</v>
      </c>
      <c r="Q48" s="2254">
        <f ca="1">C40+J29</f>
        <v>20615</v>
      </c>
      <c r="R48" s="2253" t="s">
        <v>2364</v>
      </c>
    </row>
    <row r="49" spans="1:18" s="1941" customFormat="1" ht="18" customHeight="1" thickBot="1">
      <c r="A49" s="776"/>
      <c r="B49" s="777"/>
      <c r="C49" s="778"/>
      <c r="D49" s="779"/>
      <c r="E49" s="774" t="s">
        <v>1729</v>
      </c>
      <c r="F49" s="775">
        <f ca="1">F7</f>
        <v>13475.490000000002</v>
      </c>
      <c r="G49" s="1971"/>
      <c r="H49" s="1974"/>
      <c r="I49" s="2798" t="s">
        <v>2330</v>
      </c>
      <c r="J49" s="2237">
        <v>2022</v>
      </c>
      <c r="K49" s="2809" t="s">
        <v>2336</v>
      </c>
      <c r="L49" s="2238"/>
      <c r="M49" s="3262"/>
      <c r="O49" s="2252" t="s">
        <v>2365</v>
      </c>
      <c r="P49" s="2253" t="s">
        <v>2390</v>
      </c>
      <c r="Q49" s="2254">
        <f ca="1">J60</f>
        <v>473</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2"/>
      <c r="O50" s="2255" t="s">
        <v>2367</v>
      </c>
      <c r="P50" s="2253" t="s">
        <v>2391</v>
      </c>
      <c r="Q50" s="2254">
        <f ca="1">C29</f>
        <v>5195</v>
      </c>
      <c r="R50" s="2253" t="s">
        <v>2364</v>
      </c>
    </row>
    <row r="51" spans="1:18" s="1941" customFormat="1" ht="18" customHeight="1" thickBot="1">
      <c r="A51" s="776"/>
      <c r="B51" s="777"/>
      <c r="C51" s="778"/>
      <c r="D51" s="779"/>
      <c r="E51" s="774" t="s">
        <v>634</v>
      </c>
      <c r="F51" s="2225"/>
      <c r="H51" s="1974"/>
      <c r="I51" s="2802" t="s">
        <v>2332</v>
      </c>
      <c r="J51" s="2806">
        <f>IF(J49="",J50,J49+J50-YEAR('数据-取费表'!B2))</f>
        <v>62</v>
      </c>
      <c r="K51" s="2798" t="s">
        <v>2338</v>
      </c>
      <c r="L51" s="2812">
        <f ca="1">ROUND(-PV(INDIRECT("'数据-取费表'!h"&amp;$G$1),J51,(C39-C13*J36),0),0)</f>
        <v>15059</v>
      </c>
      <c r="M51" s="3262"/>
      <c r="O51" s="2255" t="s">
        <v>2368</v>
      </c>
      <c r="P51" s="2253" t="s">
        <v>2369</v>
      </c>
      <c r="Q51" s="2256">
        <f ca="1">J58</f>
        <v>0.60499999999999998</v>
      </c>
      <c r="R51" s="2257"/>
    </row>
    <row r="52" spans="1:18" s="1941" customFormat="1" ht="18" customHeight="1" thickBot="1">
      <c r="A52" s="771" t="s">
        <v>2517</v>
      </c>
      <c r="B52" s="2346" t="s">
        <v>2440</v>
      </c>
      <c r="C52" s="789">
        <f ca="1">ROUND(IF(F52="押一",C48/12*F11,IF(F52="押二",C48/12*2*F11,IF(F52="押三",C48/12*3*F11,C53*F11))),0)</f>
        <v>0</v>
      </c>
      <c r="D52" s="2353" t="s">
        <v>2939</v>
      </c>
      <c r="E52" s="2350" t="s">
        <v>2445</v>
      </c>
      <c r="F52" s="2464"/>
      <c r="I52" s="2803" t="s">
        <v>2405</v>
      </c>
      <c r="J52" s="2239">
        <v>8.5000000000000006E-2</v>
      </c>
      <c r="K52" s="2803" t="s">
        <v>2404</v>
      </c>
      <c r="L52" s="2239"/>
      <c r="M52" s="3262"/>
      <c r="O52" s="2255" t="s">
        <v>2370</v>
      </c>
      <c r="P52" s="2253" t="s">
        <v>2371</v>
      </c>
      <c r="Q52" s="2256">
        <f>J52</f>
        <v>8.5000000000000006E-2</v>
      </c>
      <c r="R52" s="2257"/>
    </row>
    <row r="53" spans="1:18" s="1941" customFormat="1" ht="39.75" customHeight="1" thickBot="1">
      <c r="A53" s="776"/>
      <c r="B53" s="2347" t="s">
        <v>2554</v>
      </c>
      <c r="C53" s="2351"/>
      <c r="D53" s="2353"/>
      <c r="E53" s="2350"/>
      <c r="F53" s="790"/>
      <c r="I53" s="2804" t="s">
        <v>2942</v>
      </c>
      <c r="J53" s="2857">
        <f ca="1">IF(M47="住宅",IF(D1="——",MAX(J51,L48),MAX(J51,L48-'数据-取费表'!B20)),IF(D1="——",MIN(J51,L48),MIN(J51,L48-'数据-取费表'!B20)))</f>
        <v>23.22</v>
      </c>
      <c r="K53" s="3615" t="s">
        <v>2931</v>
      </c>
      <c r="L53" s="3616"/>
      <c r="M53" s="3262"/>
      <c r="O53" s="2255" t="s">
        <v>2372</v>
      </c>
      <c r="P53" s="2253" t="s">
        <v>2373</v>
      </c>
      <c r="Q53" s="2254">
        <f ca="1">J53</f>
        <v>23.22</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2375</v>
      </c>
      <c r="P54" s="2253" t="s">
        <v>2392</v>
      </c>
      <c r="Q54" s="2254">
        <f ca="1">Q48+Q49</f>
        <v>21088</v>
      </c>
      <c r="R54" s="2257" t="s">
        <v>2376</v>
      </c>
    </row>
    <row r="55" spans="1:18" s="1941" customFormat="1" ht="18" customHeight="1" thickTop="1" thickBot="1">
      <c r="A55" s="787">
        <v>2</v>
      </c>
      <c r="B55" s="788" t="s">
        <v>638</v>
      </c>
      <c r="C55" s="789">
        <f ca="1">C13</f>
        <v>5195</v>
      </c>
      <c r="D55" s="785"/>
      <c r="E55" s="785"/>
      <c r="F55" s="790"/>
      <c r="I55" s="2815" t="s">
        <v>2339</v>
      </c>
      <c r="J55" s="2787">
        <f ca="1">ROUND(IF(J47="钢混",J57/J50,1-(1-2%)*(J50-J57)/J50),3)</f>
        <v>0.60499999999999998</v>
      </c>
      <c r="K55" s="2816" t="s">
        <v>2340</v>
      </c>
      <c r="L55" s="2240"/>
      <c r="M55" s="3262"/>
      <c r="O55" s="2258" t="s">
        <v>2395</v>
      </c>
      <c r="P55" s="1525"/>
      <c r="Q55" s="1533"/>
      <c r="R55" s="1525"/>
    </row>
    <row r="56" spans="1:18" s="1941" customFormat="1" ht="42.75" customHeight="1" thickBot="1">
      <c r="A56" s="1577"/>
      <c r="B56" s="2110" t="s">
        <v>2289</v>
      </c>
      <c r="C56" s="53">
        <f ca="1">C29</f>
        <v>5195</v>
      </c>
      <c r="D56" s="2480"/>
      <c r="E56" s="774"/>
      <c r="F56" s="799"/>
      <c r="I56" s="2817" t="s">
        <v>2341</v>
      </c>
      <c r="J56" s="2827" t="s">
        <v>3046</v>
      </c>
      <c r="K56" s="2798" t="s">
        <v>2346</v>
      </c>
      <c r="L56" s="1821" t="str">
        <f ca="1">IF(L48&lt;J51,"——",L48-J51)</f>
        <v>——</v>
      </c>
      <c r="M56" s="3262"/>
      <c r="O56" s="2249" t="s">
        <v>2359</v>
      </c>
      <c r="P56" s="2250" t="s">
        <v>2360</v>
      </c>
      <c r="Q56" s="2251" t="s">
        <v>2361</v>
      </c>
      <c r="R56" s="2250" t="s">
        <v>2362</v>
      </c>
    </row>
    <row r="57" spans="1:18" s="1941" customFormat="1" ht="28.5" customHeight="1" thickBot="1">
      <c r="A57" s="787" t="s">
        <v>1738</v>
      </c>
      <c r="B57" s="788" t="s">
        <v>645</v>
      </c>
      <c r="C57" s="789">
        <f ca="1">ROUND(C58+C63+C64+C65,0)</f>
        <v>93</v>
      </c>
      <c r="D57" s="26" t="s">
        <v>1740</v>
      </c>
      <c r="E57" s="2481"/>
      <c r="F57" s="56"/>
      <c r="I57" s="2818" t="s">
        <v>2342</v>
      </c>
      <c r="J57" s="2819">
        <f ca="1">IF(OR(M47="住宅",J51&lt;L48,J56="是"),"——",J51-L48)</f>
        <v>36.28</v>
      </c>
      <c r="K57" s="2798" t="s">
        <v>2347</v>
      </c>
      <c r="L57" s="1821" t="str">
        <f ca="1">IF(L48&lt;J51,"——",IF(L55="比较法",L49,IF(L55="基准地价",L50,L51)))</f>
        <v>——</v>
      </c>
      <c r="M57" s="3262"/>
      <c r="O57" s="2252" t="s">
        <v>2363</v>
      </c>
      <c r="P57" s="2253" t="s">
        <v>2393</v>
      </c>
      <c r="Q57" s="2254">
        <f ca="1">C40+J29</f>
        <v>20615</v>
      </c>
      <c r="R57" s="2253" t="s">
        <v>2364</v>
      </c>
    </row>
    <row r="58" spans="1:18" s="1941" customFormat="1" ht="28.5" customHeight="1" thickBot="1">
      <c r="A58" s="1576" t="s">
        <v>1814</v>
      </c>
      <c r="B58" s="774" t="s">
        <v>650</v>
      </c>
      <c r="C58" s="3018">
        <f ca="1">ROUND(IF(AND(项目基本情况!B11="自然人",项目基本情况!B10="北京市"),C48*F58/(1+'数据-取费表'!C42),C59+C60+C61),0)</f>
        <v>7</v>
      </c>
      <c r="D58" s="2479" t="s">
        <v>651</v>
      </c>
      <c r="E58" s="2480" t="s">
        <v>684</v>
      </c>
      <c r="F58" s="3017" t="str">
        <f>IF(项目基本情况!B11="企业","——",IF('数据-取费表'!B10="住宅",IF(F48*F49*F50/12/(1+'数据-取费表'!F30)&gt;100000,4%,2.5%),IF(F48*F49*F50/12/(1+'数据-取费表'!F30)&gt;100000,12%,7%)))</f>
        <v>——</v>
      </c>
      <c r="I58" s="2818" t="s">
        <v>2343</v>
      </c>
      <c r="J58" s="2788">
        <f ca="1">IF(J55&lt;0.4,0.4,J55)</f>
        <v>0.60499999999999998</v>
      </c>
      <c r="K58" s="2798" t="s">
        <v>2348</v>
      </c>
      <c r="L58" s="1821" t="e">
        <f ca="1">ROUND(POWER(1+L52,L47-L48)*(POWER(1+L52,L48)-1)/(POWER(1+L52,L47)-1),4)</f>
        <v>#DIV/0!</v>
      </c>
      <c r="M58" s="3262"/>
      <c r="O58" s="2252" t="s">
        <v>2365</v>
      </c>
      <c r="P58" s="2253" t="s">
        <v>2396</v>
      </c>
      <c r="Q58" s="2254">
        <f ca="1">L60</f>
        <v>0</v>
      </c>
      <c r="R58" s="2257" t="s">
        <v>2398</v>
      </c>
    </row>
    <row r="59" spans="1:18" s="1941" customFormat="1" ht="28.5" customHeight="1" thickBot="1">
      <c r="A59" s="1575" t="s">
        <v>1821</v>
      </c>
      <c r="B59" s="774" t="s">
        <v>654</v>
      </c>
      <c r="C59" s="53">
        <f ca="1">ROUND(C47*F59/1.05,1)</f>
        <v>0</v>
      </c>
      <c r="D59" s="2480" t="s">
        <v>1746</v>
      </c>
      <c r="E59" s="774" t="s">
        <v>1737</v>
      </c>
      <c r="F59" s="799">
        <f t="shared" ref="F59:F65" si="0">F32</f>
        <v>5.6000000000000001E-2</v>
      </c>
      <c r="I59" s="2818" t="s">
        <v>2344</v>
      </c>
      <c r="J59" s="2819">
        <f ca="1">IF(OR(M47="住宅",J51&lt;L48,J56="是"),"——",ROUND(C29*J58,0))</f>
        <v>3143</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2367</v>
      </c>
      <c r="P59" s="2253" t="s">
        <v>2397</v>
      </c>
      <c r="Q59" s="2254">
        <f>IF(L55="比较法",L49,IF(L55="基准地价",L50,0))</f>
        <v>0</v>
      </c>
      <c r="R59" s="2253" t="s">
        <v>2364</v>
      </c>
    </row>
    <row r="60" spans="1:18" s="1941" customFormat="1" ht="18" customHeight="1" thickBot="1">
      <c r="A60" s="1575" t="s">
        <v>1822</v>
      </c>
      <c r="B60" s="774" t="s">
        <v>1748</v>
      </c>
      <c r="C60" s="53">
        <f ca="1">IF(D60="按租金收入计税",ROUND(C47*F60,1),IF(D60="按房产原值计税",ROUND(C56*F60*0.7,1),INDIRECT("'数据-取费表'!Aj"&amp;$G$1)))</f>
        <v>0</v>
      </c>
      <c r="D60" s="2480" t="str">
        <f>D33</f>
        <v>按租金收入计税</v>
      </c>
      <c r="E60" s="774" t="s">
        <v>1737</v>
      </c>
      <c r="F60" s="799">
        <f t="shared" si="0"/>
        <v>0.12</v>
      </c>
      <c r="I60" s="2820" t="s">
        <v>2345</v>
      </c>
      <c r="J60" s="2821">
        <f ca="1">IF(OR(M47="住宅",J51&lt;L48,J56="是"),"0",ROUND(J59/(1+J52)^J53,0))</f>
        <v>473</v>
      </c>
      <c r="K60" s="2822" t="s">
        <v>2350</v>
      </c>
      <c r="L60" s="2821">
        <f ca="1">IF(OR(M47="住宅",L48&lt;J51),0,ROUND(L57*(L58/L59-1),0))</f>
        <v>0</v>
      </c>
      <c r="M60" s="3262"/>
      <c r="O60" s="2255" t="s">
        <v>2368</v>
      </c>
      <c r="P60" s="2253" t="s">
        <v>2377</v>
      </c>
      <c r="Q60" s="2256">
        <f>L52</f>
        <v>0</v>
      </c>
      <c r="R60" s="2257"/>
    </row>
    <row r="61" spans="1:18" s="1941" customFormat="1" ht="18" customHeight="1" thickBot="1">
      <c r="A61" s="1578" t="s">
        <v>1823</v>
      </c>
      <c r="B61" s="339" t="s">
        <v>662</v>
      </c>
      <c r="C61" s="54">
        <f ca="1">ROUND(F61*F62/10000,1)</f>
        <v>7.2</v>
      </c>
      <c r="D61" s="803" t="s">
        <v>663</v>
      </c>
      <c r="E61" s="774" t="s">
        <v>664</v>
      </c>
      <c r="F61" s="632">
        <f t="shared" si="0"/>
        <v>15</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4803.2799999999988</v>
      </c>
      <c r="I62" s="2823" t="s">
        <v>2351</v>
      </c>
      <c r="J62" s="2824" t="s">
        <v>2352</v>
      </c>
      <c r="K62" s="2824" t="s">
        <v>2353</v>
      </c>
      <c r="L62" s="2824" t="s">
        <v>2334</v>
      </c>
      <c r="M62" s="2825" t="s">
        <v>2910</v>
      </c>
      <c r="O62" s="2255" t="s">
        <v>2372</v>
      </c>
      <c r="P62" s="2253" t="str">
        <f>K59</f>
        <v>建设期及建筑物耐用年限下的土地年期修正系数Kn</v>
      </c>
      <c r="Q62" s="2254" t="e">
        <f ca="1">L59</f>
        <v>#DIV/0!</v>
      </c>
      <c r="R62" s="2257" t="s">
        <v>2381</v>
      </c>
    </row>
    <row r="63" spans="1:18" s="1941" customFormat="1" ht="15.75" thickBot="1">
      <c r="A63" s="1576" t="s">
        <v>1879</v>
      </c>
      <c r="B63" s="774" t="s">
        <v>670</v>
      </c>
      <c r="C63" s="53">
        <f ca="1">ROUND(C56*F63,1)</f>
        <v>77.900000000000006</v>
      </c>
      <c r="D63" s="2480" t="s">
        <v>1793</v>
      </c>
      <c r="E63" s="774" t="s">
        <v>1737</v>
      </c>
      <c r="F63" s="806">
        <f t="shared" ca="1" si="0"/>
        <v>1.4999999999999999E-2</v>
      </c>
      <c r="I63" s="2823" t="s">
        <v>2354</v>
      </c>
      <c r="J63" s="2824">
        <v>70</v>
      </c>
      <c r="K63" s="2824">
        <v>50</v>
      </c>
      <c r="L63" s="2824">
        <v>80</v>
      </c>
      <c r="M63" s="2826">
        <v>0.02</v>
      </c>
      <c r="O63" s="2252" t="s">
        <v>2375</v>
      </c>
      <c r="P63" s="2253" t="s">
        <v>2392</v>
      </c>
      <c r="Q63" s="2254">
        <f ca="1">Q57+Q58</f>
        <v>20615</v>
      </c>
      <c r="R63" s="2257" t="s">
        <v>2376</v>
      </c>
    </row>
    <row r="64" spans="1:18" s="1941" customFormat="1" ht="16.5" thickBot="1">
      <c r="A64" s="1576" t="s">
        <v>1880</v>
      </c>
      <c r="B64" s="774" t="s">
        <v>673</v>
      </c>
      <c r="C64" s="53">
        <f ca="1">ROUND(C55*F64,1)</f>
        <v>7.8</v>
      </c>
      <c r="D64" s="2480" t="s">
        <v>674</v>
      </c>
      <c r="E64" s="774" t="s">
        <v>1737</v>
      </c>
      <c r="F64" s="807">
        <f t="shared" ca="1" si="0"/>
        <v>1.5E-3</v>
      </c>
      <c r="I64" s="2823" t="s">
        <v>2355</v>
      </c>
      <c r="J64" s="2824">
        <v>50</v>
      </c>
      <c r="K64" s="2824">
        <v>35</v>
      </c>
      <c r="L64" s="2824">
        <v>60</v>
      </c>
      <c r="M64" s="835">
        <v>0</v>
      </c>
      <c r="O64" s="2258" t="s">
        <v>2399</v>
      </c>
      <c r="P64" s="1525"/>
      <c r="Q64" s="1533"/>
      <c r="R64" s="1525"/>
    </row>
    <row r="65" spans="1:18" s="1941" customFormat="1" ht="15.75" thickBot="1">
      <c r="A65" s="1576" t="s">
        <v>1881</v>
      </c>
      <c r="B65" s="774" t="s">
        <v>660</v>
      </c>
      <c r="C65" s="53">
        <f ca="1">ROUND(C47*F65,1)</f>
        <v>0</v>
      </c>
      <c r="D65" s="2480" t="s">
        <v>677</v>
      </c>
      <c r="E65" s="774" t="s">
        <v>1737</v>
      </c>
      <c r="F65" s="784">
        <f t="shared" ca="1" si="0"/>
        <v>1.4999999999999999E-2</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-93</v>
      </c>
      <c r="D66" s="2479" t="s">
        <v>694</v>
      </c>
      <c r="E66" s="2478"/>
      <c r="F66" s="809"/>
      <c r="K66" s="1967"/>
      <c r="O66" s="2252" t="s">
        <v>2363</v>
      </c>
      <c r="P66" s="2253" t="s">
        <v>2393</v>
      </c>
      <c r="Q66" s="2254">
        <f ca="1">C40+J29</f>
        <v>20615</v>
      </c>
      <c r="R66" s="2253" t="s">
        <v>2364</v>
      </c>
    </row>
    <row r="67" spans="1:18" s="1941" customFormat="1" ht="20.25" thickBot="1">
      <c r="A67" s="771" t="s">
        <v>1770</v>
      </c>
      <c r="B67" s="2111" t="s">
        <v>2288</v>
      </c>
      <c r="C67" s="773">
        <f ca="1">ROUND(C66*(1-((1+F69)/(1+F67))^F68)/(F67-F69),0)</f>
        <v>-1203</v>
      </c>
      <c r="D67" s="803" t="s">
        <v>698</v>
      </c>
      <c r="E67" s="774" t="s">
        <v>699</v>
      </c>
      <c r="F67" s="784">
        <f ca="1">F40</f>
        <v>5.5E-2</v>
      </c>
      <c r="K67" s="1967"/>
      <c r="O67" s="2252" t="s">
        <v>2365</v>
      </c>
      <c r="P67" s="2253" t="s">
        <v>2396</v>
      </c>
      <c r="Q67" s="2254">
        <f ca="1">L60</f>
        <v>0</v>
      </c>
      <c r="R67" s="2257" t="s">
        <v>2398</v>
      </c>
    </row>
    <row r="68" spans="1:18" ht="21.75" thickBot="1">
      <c r="A68" s="776"/>
      <c r="B68" s="777"/>
      <c r="C68" s="778"/>
      <c r="D68" s="810" t="s">
        <v>1798</v>
      </c>
      <c r="E68" s="774" t="s">
        <v>1774</v>
      </c>
      <c r="F68" s="811">
        <f ca="1">F41</f>
        <v>23.22</v>
      </c>
      <c r="O68" s="2255" t="s">
        <v>2367</v>
      </c>
      <c r="P68" s="2253" t="s">
        <v>2397</v>
      </c>
      <c r="Q68" s="2259">
        <f ca="1">L51</f>
        <v>15059</v>
      </c>
      <c r="R68" s="2260" t="s">
        <v>2400</v>
      </c>
    </row>
    <row r="69" spans="1:18" ht="20.25" thickBot="1">
      <c r="A69" s="780"/>
      <c r="B69" s="781"/>
      <c r="C69" s="782"/>
      <c r="D69" s="805"/>
      <c r="E69" s="774" t="s">
        <v>704</v>
      </c>
      <c r="F69" s="2225"/>
      <c r="O69" s="2255" t="s">
        <v>2368</v>
      </c>
      <c r="P69" s="2261" t="s">
        <v>2382</v>
      </c>
      <c r="Q69" s="2254">
        <f ca="1">ROUND(Q70-Q71*Q72,0)</f>
        <v>791</v>
      </c>
      <c r="R69" s="2257"/>
    </row>
    <row r="70" spans="1:18" ht="15.75" thickBot="1">
      <c r="A70" s="812" t="s">
        <v>1777</v>
      </c>
      <c r="B70" s="813" t="s">
        <v>1800</v>
      </c>
      <c r="C70" s="814">
        <f ca="1">ROUND(C67*10000/F70,0)</f>
        <v>-893</v>
      </c>
      <c r="D70" s="815" t="s">
        <v>1801</v>
      </c>
      <c r="E70" s="816" t="s">
        <v>1802</v>
      </c>
      <c r="F70" s="817">
        <f ca="1">F43</f>
        <v>13475.490000000002</v>
      </c>
      <c r="O70" s="2255" t="s">
        <v>2383</v>
      </c>
      <c r="P70" s="2261" t="s">
        <v>2384</v>
      </c>
      <c r="Q70" s="2254">
        <f ca="1">C39</f>
        <v>1207</v>
      </c>
      <c r="R70" s="2253" t="s">
        <v>2364</v>
      </c>
    </row>
    <row r="71" spans="1:18" ht="15.75" thickBot="1">
      <c r="O71" s="2255" t="s">
        <v>2385</v>
      </c>
      <c r="P71" s="2261" t="s">
        <v>2386</v>
      </c>
      <c r="Q71" s="2254">
        <f ca="1">C13</f>
        <v>5195</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20615</v>
      </c>
      <c r="R76" s="2257"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conditionalFormatting sqref="C11">
    <cfRule type="expression" dxfId="100" priority="4">
      <formula>$F$10="自定义"</formula>
    </cfRule>
  </conditionalFormatting>
  <conditionalFormatting sqref="J11">
    <cfRule type="expression" dxfId="99" priority="2">
      <formula>$M$10="自定义"</formula>
    </cfRule>
  </conditionalFormatting>
  <conditionalFormatting sqref="C53">
    <cfRule type="expression" dxfId="9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33" t="s">
        <v>2452</v>
      </c>
      <c r="B1" s="3634"/>
      <c r="C1" s="3635"/>
      <c r="D1" s="3636">
        <f>SUM(I10,I15,I20,I21,I23)</f>
        <v>0</v>
      </c>
      <c r="E1" s="3636"/>
      <c r="F1" s="3636"/>
      <c r="G1" s="3636"/>
      <c r="H1" s="3636"/>
      <c r="I1" s="3637"/>
    </row>
    <row r="2" spans="1:9">
      <c r="A2" s="3623" t="s">
        <v>2453</v>
      </c>
      <c r="B2" s="3624" t="s">
        <v>2454</v>
      </c>
      <c r="C2" s="3624"/>
      <c r="D2" s="2359" t="s">
        <v>2455</v>
      </c>
      <c r="E2" s="2359" t="s">
        <v>2456</v>
      </c>
      <c r="F2" s="2359" t="s">
        <v>2457</v>
      </c>
      <c r="G2" s="2359" t="s">
        <v>2458</v>
      </c>
      <c r="H2" s="2359" t="s">
        <v>2459</v>
      </c>
      <c r="I2" s="2360" t="s">
        <v>2460</v>
      </c>
    </row>
    <row r="3" spans="1:9">
      <c r="A3" s="3623"/>
      <c r="B3" s="3624" t="s">
        <v>2461</v>
      </c>
      <c r="C3" s="3624"/>
      <c r="D3" s="2361"/>
      <c r="E3" s="2359"/>
      <c r="F3" s="2362"/>
      <c r="G3" s="2362"/>
      <c r="H3" s="2363"/>
      <c r="I3" s="2364">
        <f>ROUND(D3*E3*F3*G3*H3/10000,0)</f>
        <v>0</v>
      </c>
    </row>
    <row r="4" spans="1:9">
      <c r="A4" s="3623"/>
      <c r="B4" s="3624" t="s">
        <v>2462</v>
      </c>
      <c r="C4" s="3624"/>
      <c r="D4" s="2361"/>
      <c r="E4" s="2359"/>
      <c r="F4" s="2362"/>
      <c r="G4" s="2362"/>
      <c r="H4" s="2363"/>
      <c r="I4" s="2364">
        <f t="shared" ref="I4:I9" si="0">ROUND(D4*E4*F4*G4*H4/10000,0)</f>
        <v>0</v>
      </c>
    </row>
    <row r="5" spans="1:9">
      <c r="A5" s="3623"/>
      <c r="B5" s="3624" t="s">
        <v>2463</v>
      </c>
      <c r="C5" s="3624"/>
      <c r="D5" s="2361"/>
      <c r="E5" s="2359"/>
      <c r="F5" s="2362"/>
      <c r="G5" s="2362"/>
      <c r="H5" s="2363"/>
      <c r="I5" s="2364">
        <f t="shared" si="0"/>
        <v>0</v>
      </c>
    </row>
    <row r="6" spans="1:9">
      <c r="A6" s="3623"/>
      <c r="B6" s="3624" t="s">
        <v>2464</v>
      </c>
      <c r="C6" s="3624"/>
      <c r="D6" s="2361"/>
      <c r="E6" s="2359"/>
      <c r="F6" s="2362"/>
      <c r="G6" s="2362"/>
      <c r="H6" s="2363"/>
      <c r="I6" s="2364">
        <f t="shared" si="0"/>
        <v>0</v>
      </c>
    </row>
    <row r="7" spans="1:9">
      <c r="A7" s="3623"/>
      <c r="B7" s="3624" t="s">
        <v>2465</v>
      </c>
      <c r="C7" s="3624"/>
      <c r="D7" s="2361"/>
      <c r="E7" s="2359"/>
      <c r="F7" s="2362"/>
      <c r="G7" s="2362"/>
      <c r="H7" s="2363"/>
      <c r="I7" s="2364">
        <f t="shared" si="0"/>
        <v>0</v>
      </c>
    </row>
    <row r="8" spans="1:9">
      <c r="A8" s="3623"/>
      <c r="B8" s="3624" t="s">
        <v>2466</v>
      </c>
      <c r="C8" s="3624"/>
      <c r="D8" s="2361"/>
      <c r="E8" s="2359"/>
      <c r="F8" s="2362"/>
      <c r="G8" s="2362"/>
      <c r="H8" s="2363"/>
      <c r="I8" s="2364">
        <f t="shared" si="0"/>
        <v>0</v>
      </c>
    </row>
    <row r="9" spans="1:9">
      <c r="A9" s="3623"/>
      <c r="B9" s="3624" t="s">
        <v>2467</v>
      </c>
      <c r="C9" s="3624"/>
      <c r="D9" s="2361"/>
      <c r="E9" s="2359"/>
      <c r="F9" s="2362"/>
      <c r="G9" s="2362"/>
      <c r="H9" s="2363"/>
      <c r="I9" s="2364">
        <f t="shared" si="0"/>
        <v>0</v>
      </c>
    </row>
    <row r="10" spans="1:9">
      <c r="A10" s="3623"/>
      <c r="B10" s="3625" t="s">
        <v>2468</v>
      </c>
      <c r="C10" s="3625"/>
      <c r="D10" s="2365">
        <v>527</v>
      </c>
      <c r="E10" s="2365" t="e">
        <f>ROUND(D1*10000/D10/H9,0)</f>
        <v>#DIV/0!</v>
      </c>
      <c r="F10" s="2366"/>
      <c r="G10" s="2366"/>
      <c r="H10" s="2367"/>
      <c r="I10" s="2368">
        <f>SUM(I3:I9)</f>
        <v>0</v>
      </c>
    </row>
    <row r="11" spans="1:9" ht="14.25">
      <c r="A11" s="3623" t="s">
        <v>2469</v>
      </c>
      <c r="B11" s="3624" t="s">
        <v>2470</v>
      </c>
      <c r="C11" s="3624"/>
      <c r="D11" s="2361" t="s">
        <v>2471</v>
      </c>
      <c r="E11" s="2361" t="s">
        <v>2472</v>
      </c>
      <c r="F11" s="2362" t="s">
        <v>2473</v>
      </c>
      <c r="G11" s="2362" t="s">
        <v>2474</v>
      </c>
      <c r="H11" s="2369" t="s">
        <v>2475</v>
      </c>
      <c r="I11" s="2360" t="s">
        <v>2476</v>
      </c>
    </row>
    <row r="12" spans="1:9">
      <c r="A12" s="3623"/>
      <c r="B12" s="3624" t="s">
        <v>2477</v>
      </c>
      <c r="C12" s="3624"/>
      <c r="D12" s="2361"/>
      <c r="E12" s="2361"/>
      <c r="F12" s="2362"/>
      <c r="G12" s="2363"/>
      <c r="H12" s="2370"/>
      <c r="I12" s="2360">
        <f>ROUND(D12*E12*F12*G12/10000,0)</f>
        <v>0</v>
      </c>
    </row>
    <row r="13" spans="1:9">
      <c r="A13" s="3623"/>
      <c r="B13" s="3624" t="s">
        <v>2478</v>
      </c>
      <c r="C13" s="3624"/>
      <c r="D13" s="2361"/>
      <c r="E13" s="2361"/>
      <c r="F13" s="2362"/>
      <c r="G13" s="2363"/>
      <c r="H13" s="2370"/>
      <c r="I13" s="2360">
        <f>ROUND(D13*E13*F13*G13/10000,0)</f>
        <v>0</v>
      </c>
    </row>
    <row r="14" spans="1:9">
      <c r="A14" s="3623"/>
      <c r="B14" s="3624" t="s">
        <v>2479</v>
      </c>
      <c r="C14" s="3624"/>
      <c r="D14" s="2361"/>
      <c r="E14" s="2361"/>
      <c r="F14" s="2362"/>
      <c r="G14" s="2363"/>
      <c r="H14" s="2370"/>
      <c r="I14" s="2360">
        <f>ROUND(D14*E14*F14*G14/10000,0)</f>
        <v>0</v>
      </c>
    </row>
    <row r="15" spans="1:9">
      <c r="A15" s="3623"/>
      <c r="B15" s="3625" t="s">
        <v>2468</v>
      </c>
      <c r="C15" s="3625"/>
      <c r="D15" s="2365"/>
      <c r="E15" s="2365">
        <f>SUM(E12:E14)</f>
        <v>0</v>
      </c>
      <c r="F15" s="2366"/>
      <c r="G15" s="2363"/>
      <c r="H15" s="2370"/>
      <c r="I15" s="2371">
        <f>SUM(I12:I14)</f>
        <v>0</v>
      </c>
    </row>
    <row r="16" spans="1:9" ht="24">
      <c r="A16" s="3623" t="s">
        <v>2480</v>
      </c>
      <c r="B16" s="3624" t="s">
        <v>2481</v>
      </c>
      <c r="C16" s="3624"/>
      <c r="D16" s="2361" t="s">
        <v>2482</v>
      </c>
      <c r="E16" s="2372" t="s">
        <v>2483</v>
      </c>
      <c r="F16" s="2362" t="s">
        <v>2484</v>
      </c>
      <c r="G16" s="2363" t="s">
        <v>2474</v>
      </c>
      <c r="H16" s="2369" t="s">
        <v>2475</v>
      </c>
      <c r="I16" s="2360" t="s">
        <v>2476</v>
      </c>
    </row>
    <row r="17" spans="1:9" ht="14.25">
      <c r="A17" s="3623"/>
      <c r="B17" s="3624" t="s">
        <v>2485</v>
      </c>
      <c r="C17" s="3624"/>
      <c r="D17" s="2361"/>
      <c r="E17" s="2361"/>
      <c r="F17" s="2362"/>
      <c r="G17" s="2363"/>
      <c r="H17" s="2373"/>
      <c r="I17" s="2374">
        <f>ROUND(D17*E17*F17*G17/10000,0)</f>
        <v>0</v>
      </c>
    </row>
    <row r="18" spans="1:9" ht="14.25">
      <c r="A18" s="3623"/>
      <c r="B18" s="3624" t="s">
        <v>2486</v>
      </c>
      <c r="C18" s="3624"/>
      <c r="D18" s="2361"/>
      <c r="E18" s="2361"/>
      <c r="F18" s="2362"/>
      <c r="G18" s="2363"/>
      <c r="H18" s="2373"/>
      <c r="I18" s="2374">
        <f>ROUND(D18*E18*F18*G18/10000,0)</f>
        <v>0</v>
      </c>
    </row>
    <row r="19" spans="1:9" ht="14.25">
      <c r="A19" s="3623"/>
      <c r="B19" s="3624" t="s">
        <v>2487</v>
      </c>
      <c r="C19" s="3624"/>
      <c r="D19" s="2361"/>
      <c r="E19" s="2361"/>
      <c r="F19" s="2362"/>
      <c r="G19" s="2363"/>
      <c r="H19" s="2373"/>
      <c r="I19" s="2374">
        <f>ROUND(D19*E19*F19*G19/10000,0)</f>
        <v>0</v>
      </c>
    </row>
    <row r="20" spans="1:9">
      <c r="A20" s="3623"/>
      <c r="B20" s="3625" t="s">
        <v>2468</v>
      </c>
      <c r="C20" s="3625"/>
      <c r="D20" s="2365">
        <f>SUM(D17:D19)</f>
        <v>0</v>
      </c>
      <c r="E20" s="2365"/>
      <c r="F20" s="2366"/>
      <c r="G20" s="2363"/>
      <c r="H20" s="2370"/>
      <c r="I20" s="2371">
        <f>SUM(I17:I19)</f>
        <v>0</v>
      </c>
    </row>
    <row r="21" spans="1:9">
      <c r="A21" s="3623" t="s">
        <v>2488</v>
      </c>
      <c r="B21" s="3626"/>
      <c r="C21" s="3626"/>
      <c r="D21" s="3626"/>
      <c r="E21" s="3626"/>
      <c r="F21" s="3626"/>
      <c r="G21" s="3626"/>
      <c r="H21" s="2375">
        <v>0.1</v>
      </c>
      <c r="I21" s="2368">
        <f>ROUND(I10*H21,0)</f>
        <v>0</v>
      </c>
    </row>
    <row r="22" spans="1:9" ht="14.25">
      <c r="A22" s="3627" t="s">
        <v>2489</v>
      </c>
      <c r="B22" s="3628"/>
      <c r="C22" s="3629"/>
      <c r="D22" s="2376" t="s">
        <v>2490</v>
      </c>
      <c r="E22" s="2376" t="s">
        <v>2491</v>
      </c>
      <c r="F22" s="2377" t="s">
        <v>2492</v>
      </c>
      <c r="G22" s="2377" t="s">
        <v>2493</v>
      </c>
      <c r="H22" s="2369" t="s">
        <v>2494</v>
      </c>
      <c r="I22" s="2360" t="s">
        <v>2495</v>
      </c>
    </row>
    <row r="23" spans="1:9" ht="14.25" thickBot="1">
      <c r="A23" s="3630"/>
      <c r="B23" s="3631"/>
      <c r="C23" s="3632"/>
      <c r="D23" s="2378"/>
      <c r="E23" s="2378"/>
      <c r="F23" s="2378"/>
      <c r="G23" s="2379"/>
      <c r="H23" s="2380"/>
      <c r="I23" s="2381">
        <f>ROUND(E23*D23*F23*(1-G23)/10000,0)</f>
        <v>0</v>
      </c>
    </row>
    <row r="26" spans="1:9">
      <c r="A26" s="2382" t="s">
        <v>2496</v>
      </c>
      <c r="B26" s="2382"/>
      <c r="C26" s="2382"/>
      <c r="D26" s="2382"/>
      <c r="E26" s="3620">
        <f>C27-C30-C31-C32</f>
        <v>0</v>
      </c>
      <c r="F26" s="3620"/>
      <c r="G26" s="3620"/>
      <c r="H26" s="2755" t="s">
        <v>2822</v>
      </c>
    </row>
    <row r="27" spans="1:9">
      <c r="A27" s="2383">
        <v>1</v>
      </c>
      <c r="B27" s="2384" t="s">
        <v>2497</v>
      </c>
      <c r="C27" s="2384"/>
      <c r="D27" s="2384"/>
      <c r="E27" s="3621"/>
      <c r="F27" s="3621"/>
      <c r="G27" s="3621"/>
    </row>
    <row r="28" spans="1:9">
      <c r="A28" s="2385" t="s">
        <v>2498</v>
      </c>
      <c r="B28" s="2384" t="s">
        <v>2499</v>
      </c>
      <c r="C28" s="2384"/>
      <c r="D28" s="2384"/>
      <c r="E28" s="3621"/>
      <c r="F28" s="3621"/>
      <c r="G28" s="3621"/>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622"/>
      <c r="F32" s="3622"/>
      <c r="G32" s="3622"/>
    </row>
    <row r="33" spans="1:7" hidden="1">
      <c r="A33" s="3617" t="s">
        <v>2507</v>
      </c>
      <c r="B33" s="3618"/>
      <c r="C33" s="3618"/>
      <c r="D33" s="3619"/>
      <c r="E33" s="3620"/>
      <c r="F33" s="3620"/>
      <c r="G33" s="3620"/>
    </row>
    <row r="34" spans="1:7" hidden="1">
      <c r="A34" s="2387">
        <v>1</v>
      </c>
      <c r="B34" s="2384" t="s">
        <v>2508</v>
      </c>
      <c r="C34" s="2384"/>
      <c r="D34" s="2384"/>
      <c r="E34" s="3621"/>
      <c r="F34" s="3621"/>
      <c r="G34" s="3621"/>
    </row>
    <row r="35" spans="1:7" hidden="1">
      <c r="A35" s="2387">
        <v>2</v>
      </c>
      <c r="B35" s="2384" t="s">
        <v>2509</v>
      </c>
      <c r="C35" s="2384"/>
      <c r="D35" s="2384"/>
      <c r="E35" s="3621"/>
      <c r="F35" s="3621"/>
      <c r="G35" s="3621"/>
    </row>
    <row r="36" spans="1:7" hidden="1">
      <c r="A36" s="2387">
        <v>3</v>
      </c>
      <c r="B36" s="2384" t="s">
        <v>2510</v>
      </c>
      <c r="C36" s="2384"/>
      <c r="D36" s="2384"/>
      <c r="E36" s="3621"/>
      <c r="F36" s="3621"/>
      <c r="G36" s="3621"/>
    </row>
    <row r="37" spans="1:7" hidden="1">
      <c r="A37" s="2387">
        <v>4</v>
      </c>
      <c r="B37" s="2384" t="s">
        <v>2511</v>
      </c>
      <c r="C37" s="2384"/>
      <c r="D37" s="2384"/>
      <c r="E37" s="3621"/>
      <c r="F37" s="3621"/>
      <c r="G37" s="3621"/>
    </row>
    <row r="38" spans="1:7" hidden="1">
      <c r="A38" s="3617" t="s">
        <v>2512</v>
      </c>
      <c r="B38" s="3618"/>
      <c r="C38" s="3618"/>
      <c r="D38" s="3619"/>
      <c r="E38" s="3620"/>
      <c r="F38" s="3620"/>
      <c r="G38" s="36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0</v>
      </c>
      <c r="C2" s="3267"/>
      <c r="D2" s="3267"/>
      <c r="E2" s="3267"/>
      <c r="F2" s="3267"/>
      <c r="G2" s="3267"/>
    </row>
    <row r="3" spans="1:25" s="1941" customFormat="1" ht="18" customHeight="1">
      <c r="A3" s="1329" t="s">
        <v>1675</v>
      </c>
      <c r="B3" s="419">
        <f ca="1">ROUND(B2*10000/'数据-汇总表'!E3,0)</f>
        <v>0</v>
      </c>
      <c r="C3" s="3267"/>
      <c r="D3" s="3267"/>
      <c r="E3" s="3267"/>
      <c r="F3" s="3267"/>
      <c r="G3" s="3267"/>
    </row>
    <row r="4" spans="1:25" s="1941" customFormat="1" ht="18" customHeight="1">
      <c r="A4" s="420" t="s">
        <v>462</v>
      </c>
      <c r="B4" s="421">
        <f ca="1">ROUND(B2*10000/'数据-汇总表'!D3,0)</f>
        <v>0</v>
      </c>
      <c r="C4" s="3220"/>
      <c r="D4" s="3267"/>
      <c r="E4" s="3267"/>
      <c r="F4" s="3267"/>
      <c r="G4" s="3267"/>
    </row>
    <row r="5" spans="1:25" s="1941" customFormat="1" ht="18" customHeight="1" thickBot="1">
      <c r="A5" s="423"/>
      <c r="B5" s="424">
        <f ca="1">ROUND(B2/('数据-汇总表'!D3/666.67),0)</f>
        <v>0</v>
      </c>
      <c r="C5" s="425" t="s">
        <v>463</v>
      </c>
      <c r="D5" s="3267"/>
      <c r="E5" s="3267"/>
      <c r="F5" s="3267"/>
      <c r="G5" s="3267"/>
    </row>
    <row r="6" spans="1:25" s="2063" customFormat="1" ht="13.5" customHeight="1">
      <c r="A6" s="735"/>
      <c r="B6" s="736" t="s">
        <v>598</v>
      </c>
      <c r="C6" s="737" t="s">
        <v>599</v>
      </c>
      <c r="D6" s="737" t="s">
        <v>600</v>
      </c>
      <c r="E6" s="738" t="s">
        <v>601</v>
      </c>
      <c r="F6" s="738" t="s">
        <v>602</v>
      </c>
      <c r="G6" s="3266" t="s">
        <v>2999</v>
      </c>
    </row>
    <row r="7" spans="1:25" s="2063" customFormat="1" ht="13.5" customHeight="1">
      <c r="A7" s="2322">
        <v>1</v>
      </c>
      <c r="B7" s="739" t="s">
        <v>603</v>
      </c>
      <c r="C7" s="740">
        <f>C8+C9</f>
        <v>0</v>
      </c>
      <c r="D7" s="740"/>
      <c r="E7" s="741"/>
      <c r="F7" s="741"/>
      <c r="G7" s="2331"/>
    </row>
    <row r="8" spans="1:25" s="2063" customFormat="1" ht="13.5" customHeight="1">
      <c r="A8" s="2322" t="s">
        <v>2422</v>
      </c>
      <c r="B8" s="2325" t="s">
        <v>2424</v>
      </c>
      <c r="C8" s="3270">
        <f t="shared" ref="C8:C9" si="0">ROUND(D8*E8/10000,0)</f>
        <v>0</v>
      </c>
      <c r="D8" s="3270">
        <v>0</v>
      </c>
      <c r="E8" s="3271">
        <v>0</v>
      </c>
      <c r="F8" s="741"/>
      <c r="G8" s="742"/>
    </row>
    <row r="9" spans="1:25" s="2063" customFormat="1" ht="13.5" customHeight="1">
      <c r="A9" s="2322" t="s">
        <v>2423</v>
      </c>
      <c r="B9" s="2325" t="s">
        <v>2425</v>
      </c>
      <c r="C9" s="3270">
        <f t="shared" si="0"/>
        <v>0</v>
      </c>
      <c r="D9" s="3270">
        <v>0</v>
      </c>
      <c r="E9" s="3271">
        <v>0</v>
      </c>
      <c r="F9" s="741"/>
      <c r="G9" s="742"/>
    </row>
    <row r="10" spans="1:25" s="2063" customFormat="1" ht="36">
      <c r="A10" s="2322">
        <v>2</v>
      </c>
      <c r="B10" s="739" t="s">
        <v>607</v>
      </c>
      <c r="C10" s="740">
        <f>C11+C14+C15</f>
        <v>0</v>
      </c>
      <c r="D10" s="750"/>
      <c r="E10" s="740"/>
      <c r="F10" s="751"/>
      <c r="G10" s="749" t="s">
        <v>608</v>
      </c>
    </row>
    <row r="11" spans="1:25" s="2063" customFormat="1" ht="13.5" customHeight="1">
      <c r="A11" s="2322" t="s">
        <v>2422</v>
      </c>
      <c r="B11" s="743" t="s">
        <v>604</v>
      </c>
      <c r="C11" s="744">
        <f>'数据-取费表'!B29</f>
        <v>0</v>
      </c>
      <c r="D11" s="745"/>
      <c r="E11" s="744"/>
      <c r="F11" s="746"/>
      <c r="G11" s="2330" t="s">
        <v>2433</v>
      </c>
    </row>
    <row r="12" spans="1:25" s="2063" customFormat="1" ht="13.5" customHeight="1">
      <c r="A12" s="2328" t="s">
        <v>2430</v>
      </c>
      <c r="B12" s="747" t="s">
        <v>605</v>
      </c>
      <c r="C12" s="748">
        <f>ROUND(D12*E12/10000,0)</f>
        <v>985</v>
      </c>
      <c r="D12" s="3270">
        <f>'数据-汇总表'!E5</f>
        <v>197017.96</v>
      </c>
      <c r="E12" s="3270">
        <f>'数据-取费表'!B27</f>
        <v>50</v>
      </c>
      <c r="F12" s="746"/>
      <c r="G12" s="749"/>
    </row>
    <row r="13" spans="1:25" s="2063" customFormat="1" ht="13.5" customHeight="1">
      <c r="A13" s="2328" t="s">
        <v>2429</v>
      </c>
      <c r="B13" s="747" t="s">
        <v>606</v>
      </c>
      <c r="C13" s="748">
        <f>ROUND(D13*E13/10000,0)</f>
        <v>712</v>
      </c>
      <c r="D13" s="3270">
        <f>'数据-汇总表'!E6</f>
        <v>79104.97</v>
      </c>
      <c r="E13" s="3270">
        <f>'数据-取费表'!B28</f>
        <v>90</v>
      </c>
      <c r="F13" s="746"/>
      <c r="G13" s="749"/>
    </row>
    <row r="14" spans="1:25" s="2063" customFormat="1" ht="13.5" customHeight="1">
      <c r="A14" s="2322" t="s">
        <v>2423</v>
      </c>
      <c r="B14" s="2327" t="s">
        <v>2426</v>
      </c>
      <c r="C14" s="3272">
        <f t="shared" ref="C14:C15" si="1">ROUND(D14*E14/10000,0)</f>
        <v>0</v>
      </c>
      <c r="D14" s="3270">
        <v>0</v>
      </c>
      <c r="E14" s="3271">
        <v>0</v>
      </c>
      <c r="F14" s="2326"/>
      <c r="G14" s="2329" t="s">
        <v>2431</v>
      </c>
    </row>
    <row r="15" spans="1:25" s="2063" customFormat="1" ht="13.5" customHeight="1">
      <c r="A15" s="2322" t="s">
        <v>2428</v>
      </c>
      <c r="B15" s="2327" t="s">
        <v>2427</v>
      </c>
      <c r="C15" s="3272">
        <f t="shared" si="1"/>
        <v>0</v>
      </c>
      <c r="D15" s="3270">
        <v>0</v>
      </c>
      <c r="E15" s="3271">
        <v>0</v>
      </c>
      <c r="F15" s="2326"/>
      <c r="G15" s="2329" t="s">
        <v>2432</v>
      </c>
    </row>
    <row r="16" spans="1:25" s="2064" customFormat="1" ht="48">
      <c r="A16" s="2322">
        <v>3</v>
      </c>
      <c r="B16" s="739" t="s">
        <v>609</v>
      </c>
      <c r="C16" s="3272">
        <f t="shared" ref="C16" si="2">ROUND(D16*E16/10000,0)</f>
        <v>0</v>
      </c>
      <c r="D16" s="3270">
        <v>0</v>
      </c>
      <c r="E16" s="3271">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0</v>
      </c>
      <c r="D22" s="750"/>
      <c r="E22" s="740"/>
      <c r="F22" s="756">
        <f>'数据-取费表'!AP16</f>
        <v>0.90100000000000002</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34" t="s">
        <v>516</v>
      </c>
      <c r="D4" s="3535"/>
      <c r="E4" s="3559" t="s">
        <v>517</v>
      </c>
      <c r="F4" s="3560"/>
      <c r="G4" s="3534" t="s">
        <v>518</v>
      </c>
      <c r="H4" s="3535"/>
      <c r="I4" s="3534" t="s">
        <v>519</v>
      </c>
      <c r="J4" s="3535"/>
      <c r="K4" s="508" t="s">
        <v>520</v>
      </c>
      <c r="L4" s="2014"/>
      <c r="M4" s="2015"/>
      <c r="N4" s="2015"/>
      <c r="O4" s="2015"/>
      <c r="P4" s="3536" t="s">
        <v>521</v>
      </c>
      <c r="Q4" s="3537"/>
      <c r="R4" s="3522" t="s">
        <v>517</v>
      </c>
      <c r="S4" s="3523"/>
      <c r="T4" s="3522" t="s">
        <v>518</v>
      </c>
      <c r="U4" s="3523"/>
      <c r="V4" s="3542" t="s">
        <v>519</v>
      </c>
      <c r="W4" s="3542"/>
      <c r="X4" s="1500"/>
      <c r="Y4" s="3522" t="s">
        <v>521</v>
      </c>
      <c r="Z4" s="3523"/>
      <c r="AA4" s="3517" t="s">
        <v>517</v>
      </c>
      <c r="AB4" s="3542" t="s">
        <v>518</v>
      </c>
      <c r="AC4" s="3517" t="s">
        <v>519</v>
      </c>
    </row>
    <row r="5" spans="1:29" ht="15">
      <c r="A5" s="509"/>
      <c r="B5" s="510"/>
      <c r="C5" s="3545" t="s">
        <v>2897</v>
      </c>
      <c r="D5" s="3546"/>
      <c r="E5" s="3561" t="s">
        <v>2898</v>
      </c>
      <c r="F5" s="3562"/>
      <c r="G5" s="3545" t="s">
        <v>2899</v>
      </c>
      <c r="H5" s="3546"/>
      <c r="I5" s="3545" t="s">
        <v>2900</v>
      </c>
      <c r="J5" s="3546"/>
      <c r="K5" s="508"/>
      <c r="L5" s="2014"/>
      <c r="M5" s="2015"/>
      <c r="N5" s="2015"/>
      <c r="O5" s="2015"/>
      <c r="P5" s="3538"/>
      <c r="Q5" s="3539"/>
      <c r="R5" s="3524"/>
      <c r="S5" s="3525"/>
      <c r="T5" s="3524"/>
      <c r="U5" s="3525"/>
      <c r="V5" s="3542"/>
      <c r="W5" s="3542"/>
      <c r="X5" s="1500"/>
      <c r="Y5" s="3524"/>
      <c r="Z5" s="3525"/>
      <c r="AA5" s="3518"/>
      <c r="AB5" s="3542"/>
      <c r="AC5" s="3518"/>
    </row>
    <row r="6" spans="1:29" ht="15.75" thickBot="1">
      <c r="A6" s="511"/>
      <c r="B6" s="512"/>
      <c r="C6" s="3543" t="s">
        <v>2901</v>
      </c>
      <c r="D6" s="3544"/>
      <c r="E6" s="3563" t="s">
        <v>2901</v>
      </c>
      <c r="F6" s="3564"/>
      <c r="G6" s="3543" t="s">
        <v>2901</v>
      </c>
      <c r="H6" s="3544"/>
      <c r="I6" s="3543" t="s">
        <v>2901</v>
      </c>
      <c r="J6" s="3544"/>
      <c r="K6" s="508" t="s">
        <v>522</v>
      </c>
      <c r="L6" s="2014"/>
      <c r="M6" s="2015"/>
      <c r="N6" s="2015"/>
      <c r="O6" s="2015"/>
      <c r="P6" s="3540"/>
      <c r="Q6" s="3541"/>
      <c r="R6" s="3524"/>
      <c r="S6" s="3525"/>
      <c r="T6" s="3526"/>
      <c r="U6" s="3527"/>
      <c r="V6" s="3542"/>
      <c r="W6" s="3542"/>
      <c r="X6" s="1500"/>
      <c r="Y6" s="3526"/>
      <c r="Z6" s="3527"/>
      <c r="AA6" s="3519"/>
      <c r="AB6" s="3542"/>
      <c r="AC6" s="3519"/>
    </row>
    <row r="7" spans="1:29" s="1202" customFormat="1" ht="15.75" thickBot="1">
      <c r="A7" s="2628"/>
      <c r="B7" s="2635" t="s">
        <v>523</v>
      </c>
      <c r="C7" s="513">
        <f>'数据-取费表'!B2</f>
        <v>44077</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20" t="s">
        <v>524</v>
      </c>
      <c r="Q7" s="3529"/>
      <c r="R7" s="1501" t="s">
        <v>8</v>
      </c>
      <c r="S7" s="1502">
        <f t="shared" ref="S7:S15" si="0">F7</f>
        <v>0</v>
      </c>
      <c r="T7" s="1501" t="s">
        <v>8</v>
      </c>
      <c r="U7" s="1502">
        <f t="shared" ref="U7:U15" si="1">H7</f>
        <v>0</v>
      </c>
      <c r="V7" s="1501" t="s">
        <v>8</v>
      </c>
      <c r="W7" s="1502">
        <f t="shared" ref="W7:W15" si="2">J7</f>
        <v>0</v>
      </c>
      <c r="X7" s="1503"/>
      <c r="Y7" s="3520" t="s">
        <v>524</v>
      </c>
      <c r="Z7" s="3521"/>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20" t="s">
        <v>527</v>
      </c>
      <c r="Q8" s="3521"/>
      <c r="R8" s="1501" t="s">
        <v>8</v>
      </c>
      <c r="S8" s="1502">
        <f t="shared" si="0"/>
        <v>0</v>
      </c>
      <c r="T8" s="1501" t="s">
        <v>8</v>
      </c>
      <c r="U8" s="1502">
        <f t="shared" si="1"/>
        <v>0</v>
      </c>
      <c r="V8" s="1501" t="s">
        <v>8</v>
      </c>
      <c r="W8" s="1502">
        <f t="shared" si="2"/>
        <v>0</v>
      </c>
      <c r="X8" s="1503"/>
      <c r="Y8" s="3520" t="s">
        <v>527</v>
      </c>
      <c r="Z8" s="3521"/>
      <c r="AA8" s="1504" t="e">
        <f t="shared" ref="AA8:AA46" si="3">D8/F8</f>
        <v>#DIV/0!</v>
      </c>
      <c r="AB8" s="1504" t="e">
        <f t="shared" ref="AB8:AB46" si="4">D8/H8</f>
        <v>#DIV/0!</v>
      </c>
      <c r="AC8" s="1504"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28" t="s">
        <v>529</v>
      </c>
      <c r="Q9" s="1133" t="str">
        <f t="shared" ref="Q9:Q15" si="6">B9</f>
        <v>用途</v>
      </c>
      <c r="R9" s="1501" t="s">
        <v>8</v>
      </c>
      <c r="S9" s="1502">
        <f t="shared" si="0"/>
        <v>100</v>
      </c>
      <c r="T9" s="1501" t="s">
        <v>8</v>
      </c>
      <c r="U9" s="1502">
        <f t="shared" si="1"/>
        <v>100</v>
      </c>
      <c r="V9" s="1501" t="s">
        <v>8</v>
      </c>
      <c r="W9" s="1502">
        <f t="shared" si="2"/>
        <v>100</v>
      </c>
      <c r="X9" s="1503"/>
      <c r="Y9" s="3479"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28"/>
      <c r="Q10" s="1133" t="str">
        <f t="shared" si="6"/>
        <v>土地使用年限（年）</v>
      </c>
      <c r="R10" s="1501" t="s">
        <v>8</v>
      </c>
      <c r="S10" s="1502">
        <f t="shared" si="0"/>
        <v>100</v>
      </c>
      <c r="T10" s="1501" t="s">
        <v>8</v>
      </c>
      <c r="U10" s="1502">
        <f t="shared" si="1"/>
        <v>100</v>
      </c>
      <c r="V10" s="1501" t="s">
        <v>8</v>
      </c>
      <c r="W10" s="1502">
        <f t="shared" si="2"/>
        <v>100</v>
      </c>
      <c r="X10" s="1503"/>
      <c r="Y10" s="3479"/>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28"/>
      <c r="Q11" s="1133" t="str">
        <f t="shared" si="6"/>
        <v>容积率</v>
      </c>
      <c r="R11" s="1501" t="s">
        <v>8</v>
      </c>
      <c r="S11" s="1502" t="e">
        <f t="shared" si="0"/>
        <v>#N/A</v>
      </c>
      <c r="T11" s="1501" t="s">
        <v>8</v>
      </c>
      <c r="U11" s="1502" t="e">
        <f t="shared" si="1"/>
        <v>#N/A</v>
      </c>
      <c r="V11" s="1501" t="s">
        <v>8</v>
      </c>
      <c r="W11" s="1502" t="e">
        <f t="shared" si="2"/>
        <v>#N/A</v>
      </c>
      <c r="X11" s="1503"/>
      <c r="Y11" s="3479"/>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28"/>
      <c r="Q12" s="1133">
        <f t="shared" si="6"/>
        <v>111</v>
      </c>
      <c r="R12" s="1501" t="s">
        <v>8</v>
      </c>
      <c r="S12" s="1502">
        <f t="shared" si="0"/>
        <v>100</v>
      </c>
      <c r="T12" s="1501" t="s">
        <v>8</v>
      </c>
      <c r="U12" s="1502">
        <f t="shared" si="1"/>
        <v>100</v>
      </c>
      <c r="V12" s="1501" t="s">
        <v>8</v>
      </c>
      <c r="W12" s="1502">
        <f t="shared" si="2"/>
        <v>100</v>
      </c>
      <c r="X12" s="1503"/>
      <c r="Y12" s="3479"/>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28"/>
      <c r="Q13" s="1133">
        <f t="shared" si="6"/>
        <v>111</v>
      </c>
      <c r="R13" s="1501" t="s">
        <v>8</v>
      </c>
      <c r="S13" s="1502">
        <f t="shared" si="0"/>
        <v>100</v>
      </c>
      <c r="T13" s="1501" t="s">
        <v>8</v>
      </c>
      <c r="U13" s="1502">
        <f t="shared" si="1"/>
        <v>100</v>
      </c>
      <c r="V13" s="1501" t="s">
        <v>8</v>
      </c>
      <c r="W13" s="1502">
        <f t="shared" si="2"/>
        <v>100</v>
      </c>
      <c r="X13" s="1503"/>
      <c r="Y13" s="3479"/>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28"/>
      <c r="Q14" s="1133">
        <f t="shared" si="6"/>
        <v>111</v>
      </c>
      <c r="R14" s="1501" t="s">
        <v>8</v>
      </c>
      <c r="S14" s="1502">
        <f t="shared" si="0"/>
        <v>100</v>
      </c>
      <c r="T14" s="1501" t="s">
        <v>8</v>
      </c>
      <c r="U14" s="1502">
        <f t="shared" si="1"/>
        <v>100</v>
      </c>
      <c r="V14" s="1501" t="s">
        <v>8</v>
      </c>
      <c r="W14" s="1502">
        <f t="shared" si="2"/>
        <v>100</v>
      </c>
      <c r="X14" s="1503"/>
      <c r="Y14" s="3479"/>
      <c r="Z14" s="1132">
        <f t="shared" si="7"/>
        <v>111</v>
      </c>
      <c r="AA14" s="1504">
        <f t="shared" si="3"/>
        <v>1</v>
      </c>
      <c r="AB14" s="1504">
        <f t="shared" si="4"/>
        <v>1</v>
      </c>
      <c r="AC14" s="1504">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30" t="s">
        <v>534</v>
      </c>
      <c r="Q15" s="1505" t="str">
        <f t="shared" si="6"/>
        <v>商业繁华度</v>
      </c>
      <c r="R15" s="1506" t="s">
        <v>8</v>
      </c>
      <c r="S15" s="1507">
        <f t="shared" si="0"/>
        <v>100</v>
      </c>
      <c r="T15" s="1506" t="s">
        <v>8</v>
      </c>
      <c r="U15" s="1507">
        <f t="shared" si="1"/>
        <v>100</v>
      </c>
      <c r="V15" s="1506" t="s">
        <v>8</v>
      </c>
      <c r="W15" s="1507">
        <f t="shared" si="2"/>
        <v>100</v>
      </c>
      <c r="X15" s="1500"/>
      <c r="Y15" s="3530"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31"/>
      <c r="Q16" s="1505"/>
      <c r="R16" s="1506"/>
      <c r="S16" s="1507"/>
      <c r="T16" s="1506"/>
      <c r="U16" s="1507"/>
      <c r="V16" s="1506"/>
      <c r="W16" s="1507"/>
      <c r="X16" s="1500"/>
      <c r="Y16" s="3531"/>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31"/>
      <c r="Q17" s="1505" t="str">
        <f>B17</f>
        <v>交通便捷度</v>
      </c>
      <c r="R17" s="1506" t="s">
        <v>8</v>
      </c>
      <c r="S17" s="1507">
        <f>F17</f>
        <v>100</v>
      </c>
      <c r="T17" s="1506" t="s">
        <v>8</v>
      </c>
      <c r="U17" s="1507">
        <f>H17</f>
        <v>100</v>
      </c>
      <c r="V17" s="1506" t="s">
        <v>8</v>
      </c>
      <c r="W17" s="1507">
        <f>J17</f>
        <v>100</v>
      </c>
      <c r="X17" s="1500"/>
      <c r="Y17" s="3531"/>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31"/>
      <c r="Q18" s="1505"/>
      <c r="R18" s="1506"/>
      <c r="S18" s="1507"/>
      <c r="T18" s="1506"/>
      <c r="U18" s="1507"/>
      <c r="V18" s="1506"/>
      <c r="W18" s="1507"/>
      <c r="X18" s="1500"/>
      <c r="Y18" s="3531"/>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31"/>
      <c r="Q19" s="1505" t="str">
        <f>B19</f>
        <v>公共配套设施</v>
      </c>
      <c r="R19" s="1506" t="s">
        <v>8</v>
      </c>
      <c r="S19" s="1507">
        <f>F19</f>
        <v>100</v>
      </c>
      <c r="T19" s="1506" t="s">
        <v>8</v>
      </c>
      <c r="U19" s="1507">
        <f>H19</f>
        <v>100</v>
      </c>
      <c r="V19" s="1506" t="s">
        <v>8</v>
      </c>
      <c r="W19" s="1507">
        <f>J19</f>
        <v>100</v>
      </c>
      <c r="X19" s="1500"/>
      <c r="Y19" s="3531"/>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31"/>
      <c r="Q20" s="1505"/>
      <c r="R20" s="1506"/>
      <c r="S20" s="1507"/>
      <c r="T20" s="1506"/>
      <c r="U20" s="1507"/>
      <c r="V20" s="1506"/>
      <c r="W20" s="1507"/>
      <c r="X20" s="1500"/>
      <c r="Y20" s="3531"/>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31"/>
      <c r="Q21" s="2428" t="str">
        <f>B21</f>
        <v>基础设施水平</v>
      </c>
      <c r="R21" s="1506" t="s">
        <v>8</v>
      </c>
      <c r="S21" s="1507">
        <f>F21</f>
        <v>100</v>
      </c>
      <c r="T21" s="1506" t="s">
        <v>8</v>
      </c>
      <c r="U21" s="1507">
        <f>H21</f>
        <v>100</v>
      </c>
      <c r="V21" s="1506" t="s">
        <v>8</v>
      </c>
      <c r="W21" s="1507">
        <f>J21</f>
        <v>100</v>
      </c>
      <c r="X21" s="2430"/>
      <c r="Y21" s="3531"/>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31"/>
      <c r="Q22" s="2428"/>
      <c r="R22" s="1506"/>
      <c r="S22" s="1507"/>
      <c r="T22" s="1506"/>
      <c r="U22" s="1507"/>
      <c r="V22" s="1506"/>
      <c r="W22" s="1507"/>
      <c r="X22" s="2430"/>
      <c r="Y22" s="3531"/>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31"/>
      <c r="Q23" s="1505" t="str">
        <f>B23</f>
        <v>自然及人文环境</v>
      </c>
      <c r="R23" s="1506" t="s">
        <v>8</v>
      </c>
      <c r="S23" s="1507">
        <f>F23</f>
        <v>100</v>
      </c>
      <c r="T23" s="1506" t="s">
        <v>8</v>
      </c>
      <c r="U23" s="1507">
        <f>H23</f>
        <v>100</v>
      </c>
      <c r="V23" s="1506" t="s">
        <v>8</v>
      </c>
      <c r="W23" s="1507">
        <f>J23</f>
        <v>100</v>
      </c>
      <c r="X23" s="1500"/>
      <c r="Y23" s="3531"/>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31"/>
      <c r="Q24" s="1505"/>
      <c r="R24" s="1506"/>
      <c r="S24" s="1507"/>
      <c r="T24" s="1506"/>
      <c r="U24" s="1507"/>
      <c r="V24" s="1506"/>
      <c r="W24" s="1507"/>
      <c r="X24" s="1500"/>
      <c r="Y24" s="3531"/>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31"/>
      <c r="Q25" s="1505" t="str">
        <f t="shared" ref="Q25:Q46" si="11">B25</f>
        <v>临街状况</v>
      </c>
      <c r="R25" s="1506" t="s">
        <v>8</v>
      </c>
      <c r="S25" s="1507">
        <f>F25</f>
        <v>100</v>
      </c>
      <c r="T25" s="1506" t="s">
        <v>8</v>
      </c>
      <c r="U25" s="1507">
        <f>H25</f>
        <v>100</v>
      </c>
      <c r="V25" s="1506" t="s">
        <v>8</v>
      </c>
      <c r="W25" s="1507">
        <f>J25</f>
        <v>100</v>
      </c>
      <c r="X25" s="1500"/>
      <c r="Y25" s="3531"/>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31"/>
      <c r="Q26" s="1505" t="str">
        <f t="shared" si="11"/>
        <v>平面位置/可视性</v>
      </c>
      <c r="R26" s="1506" t="s">
        <v>8</v>
      </c>
      <c r="S26" s="1507">
        <f>F26</f>
        <v>100</v>
      </c>
      <c r="T26" s="1506" t="s">
        <v>8</v>
      </c>
      <c r="U26" s="1507">
        <f>H26</f>
        <v>100</v>
      </c>
      <c r="V26" s="1506" t="s">
        <v>8</v>
      </c>
      <c r="W26" s="1507">
        <f>J26</f>
        <v>100</v>
      </c>
      <c r="X26" s="1500"/>
      <c r="Y26" s="3531"/>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31"/>
      <c r="Q27" s="1133" t="str">
        <f t="shared" si="11"/>
        <v>人流量</v>
      </c>
      <c r="R27" s="1501" t="s">
        <v>8</v>
      </c>
      <c r="S27" s="1502">
        <f>F27</f>
        <v>100</v>
      </c>
      <c r="T27" s="1501" t="s">
        <v>8</v>
      </c>
      <c r="U27" s="1502">
        <f>H27</f>
        <v>100</v>
      </c>
      <c r="V27" s="1501" t="s">
        <v>8</v>
      </c>
      <c r="W27" s="1502">
        <f>J27</f>
        <v>100</v>
      </c>
      <c r="X27" s="1503"/>
      <c r="Y27" s="3531"/>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31"/>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31"/>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31"/>
      <c r="Q29" s="1505">
        <f t="shared" si="11"/>
        <v>111</v>
      </c>
      <c r="R29" s="1506" t="s">
        <v>8</v>
      </c>
      <c r="S29" s="1507">
        <f t="shared" si="12"/>
        <v>100</v>
      </c>
      <c r="T29" s="1506" t="s">
        <v>8</v>
      </c>
      <c r="U29" s="1507">
        <f t="shared" si="13"/>
        <v>100</v>
      </c>
      <c r="V29" s="1506" t="s">
        <v>8</v>
      </c>
      <c r="W29" s="1507">
        <f t="shared" si="14"/>
        <v>100</v>
      </c>
      <c r="X29" s="1500"/>
      <c r="Y29" s="3531"/>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31"/>
      <c r="Q30" s="1505">
        <f t="shared" si="11"/>
        <v>111</v>
      </c>
      <c r="R30" s="1506" t="s">
        <v>8</v>
      </c>
      <c r="S30" s="1507">
        <f t="shared" si="12"/>
        <v>100</v>
      </c>
      <c r="T30" s="1506" t="s">
        <v>8</v>
      </c>
      <c r="U30" s="1507">
        <f t="shared" si="13"/>
        <v>100</v>
      </c>
      <c r="V30" s="1506" t="s">
        <v>8</v>
      </c>
      <c r="W30" s="1507">
        <f t="shared" si="14"/>
        <v>100</v>
      </c>
      <c r="X30" s="1500"/>
      <c r="Y30" s="3531"/>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31"/>
      <c r="Q31" s="1505">
        <f t="shared" si="11"/>
        <v>111</v>
      </c>
      <c r="R31" s="1506" t="s">
        <v>8</v>
      </c>
      <c r="S31" s="1507">
        <f t="shared" si="12"/>
        <v>100</v>
      </c>
      <c r="T31" s="1506" t="s">
        <v>8</v>
      </c>
      <c r="U31" s="1507">
        <f t="shared" si="13"/>
        <v>100</v>
      </c>
      <c r="V31" s="1506" t="s">
        <v>8</v>
      </c>
      <c r="W31" s="1507">
        <f t="shared" si="14"/>
        <v>100</v>
      </c>
      <c r="X31" s="1500"/>
      <c r="Y31" s="3531"/>
      <c r="Z31" s="1508">
        <f t="shared" si="15"/>
        <v>111</v>
      </c>
      <c r="AA31" s="1509">
        <f t="shared" si="3"/>
        <v>1</v>
      </c>
      <c r="AB31" s="1509">
        <f t="shared" si="4"/>
        <v>1</v>
      </c>
      <c r="AC31" s="1509">
        <f t="shared" si="5"/>
        <v>1</v>
      </c>
    </row>
    <row r="32" spans="1:29" ht="15">
      <c r="A32" s="2623"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32" t="s">
        <v>544</v>
      </c>
      <c r="Q32" s="1505" t="str">
        <f t="shared" si="11"/>
        <v>商业类型</v>
      </c>
      <c r="R32" s="1506" t="s">
        <v>8</v>
      </c>
      <c r="S32" s="1507">
        <f t="shared" si="12"/>
        <v>100</v>
      </c>
      <c r="T32" s="1506" t="s">
        <v>8</v>
      </c>
      <c r="U32" s="1507">
        <f t="shared" si="13"/>
        <v>100</v>
      </c>
      <c r="V32" s="1506" t="s">
        <v>8</v>
      </c>
      <c r="W32" s="1507">
        <f t="shared" si="14"/>
        <v>100</v>
      </c>
      <c r="X32" s="1500"/>
      <c r="Y32" s="3533"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33"/>
      <c r="Q33" s="1534" t="str">
        <f t="shared" si="11"/>
        <v>项目建筑规模</v>
      </c>
      <c r="R33" s="1510" t="s">
        <v>8</v>
      </c>
      <c r="S33" s="1511" t="e">
        <f t="shared" si="12"/>
        <v>#N/A</v>
      </c>
      <c r="T33" s="1510" t="s">
        <v>8</v>
      </c>
      <c r="U33" s="1511" t="e">
        <f t="shared" si="13"/>
        <v>#N/A</v>
      </c>
      <c r="V33" s="1510" t="s">
        <v>8</v>
      </c>
      <c r="W33" s="1511" t="e">
        <f t="shared" si="14"/>
        <v>#N/A</v>
      </c>
      <c r="X33" s="1512"/>
      <c r="Y33" s="3533"/>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33"/>
      <c r="Q34" s="1505" t="str">
        <f t="shared" si="11"/>
        <v>建筑结构</v>
      </c>
      <c r="R34" s="1506" t="s">
        <v>8</v>
      </c>
      <c r="S34" s="1507">
        <f t="shared" si="12"/>
        <v>100</v>
      </c>
      <c r="T34" s="1506" t="s">
        <v>8</v>
      </c>
      <c r="U34" s="1507">
        <f t="shared" si="13"/>
        <v>100</v>
      </c>
      <c r="V34" s="1506" t="s">
        <v>8</v>
      </c>
      <c r="W34" s="1507">
        <f t="shared" si="14"/>
        <v>100</v>
      </c>
      <c r="X34" s="1500"/>
      <c r="Y34" s="3533"/>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33"/>
      <c r="Q35" s="1505" t="str">
        <f t="shared" si="11"/>
        <v>公共部分装修</v>
      </c>
      <c r="R35" s="1506" t="s">
        <v>8</v>
      </c>
      <c r="S35" s="1507">
        <f t="shared" si="12"/>
        <v>100</v>
      </c>
      <c r="T35" s="1506" t="s">
        <v>8</v>
      </c>
      <c r="U35" s="1507">
        <f t="shared" si="13"/>
        <v>100</v>
      </c>
      <c r="V35" s="1506" t="s">
        <v>8</v>
      </c>
      <c r="W35" s="1507">
        <f t="shared" si="14"/>
        <v>100</v>
      </c>
      <c r="X35" s="1500"/>
      <c r="Y35" s="3533"/>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33"/>
      <c r="Q36" s="1505" t="str">
        <f t="shared" si="11"/>
        <v>成新度</v>
      </c>
      <c r="R36" s="1506" t="s">
        <v>8</v>
      </c>
      <c r="S36" s="1507" t="e">
        <f t="shared" si="12"/>
        <v>#N/A</v>
      </c>
      <c r="T36" s="1506" t="s">
        <v>8</v>
      </c>
      <c r="U36" s="1507" t="e">
        <f t="shared" si="13"/>
        <v>#N/A</v>
      </c>
      <c r="V36" s="1506" t="s">
        <v>8</v>
      </c>
      <c r="W36" s="1507" t="e">
        <f t="shared" si="14"/>
        <v>#N/A</v>
      </c>
      <c r="X36" s="1500"/>
      <c r="Y36" s="3533"/>
      <c r="Z36" s="1508" t="str">
        <f t="shared" si="15"/>
        <v>成新度</v>
      </c>
      <c r="AA36" s="1509" t="e">
        <f t="shared" si="3"/>
        <v>#N/A</v>
      </c>
      <c r="AB36" s="1509" t="e">
        <f t="shared" si="4"/>
        <v>#N/A</v>
      </c>
      <c r="AC36" s="1509"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33"/>
      <c r="Q37" s="1133" t="str">
        <f t="shared" si="11"/>
        <v>市政基础设施</v>
      </c>
      <c r="R37" s="1501" t="s">
        <v>8</v>
      </c>
      <c r="S37" s="1502">
        <f t="shared" si="12"/>
        <v>100</v>
      </c>
      <c r="T37" s="1501" t="s">
        <v>8</v>
      </c>
      <c r="U37" s="1502">
        <f t="shared" si="13"/>
        <v>100</v>
      </c>
      <c r="V37" s="1501" t="s">
        <v>8</v>
      </c>
      <c r="W37" s="1502">
        <f t="shared" si="14"/>
        <v>100</v>
      </c>
      <c r="X37" s="1503"/>
      <c r="Y37" s="3533"/>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33" t="s">
        <v>760</v>
      </c>
      <c r="Q38" s="1505" t="str">
        <f t="shared" si="11"/>
        <v>业态</v>
      </c>
      <c r="R38" s="1506" t="s">
        <v>8</v>
      </c>
      <c r="S38" s="1507">
        <f t="shared" si="12"/>
        <v>100</v>
      </c>
      <c r="T38" s="1506" t="s">
        <v>8</v>
      </c>
      <c r="U38" s="1507">
        <f t="shared" si="13"/>
        <v>100</v>
      </c>
      <c r="V38" s="1506" t="s">
        <v>8</v>
      </c>
      <c r="W38" s="1507">
        <f t="shared" si="14"/>
        <v>100</v>
      </c>
      <c r="X38" s="1500"/>
      <c r="Y38" s="3533"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3"/>
      <c r="Q39" s="1505" t="str">
        <f t="shared" si="11"/>
        <v>层高</v>
      </c>
      <c r="R39" s="1506" t="s">
        <v>8</v>
      </c>
      <c r="S39" s="1507">
        <f t="shared" si="12"/>
        <v>100</v>
      </c>
      <c r="T39" s="1506" t="s">
        <v>8</v>
      </c>
      <c r="U39" s="1507">
        <f t="shared" si="13"/>
        <v>100</v>
      </c>
      <c r="V39" s="1506" t="s">
        <v>8</v>
      </c>
      <c r="W39" s="1507">
        <f t="shared" si="14"/>
        <v>100</v>
      </c>
      <c r="X39" s="1500"/>
      <c r="Y39" s="3533"/>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33"/>
      <c r="Q40" s="1505" t="str">
        <f t="shared" si="11"/>
        <v>单套建筑面积</v>
      </c>
      <c r="R40" s="1506" t="s">
        <v>8</v>
      </c>
      <c r="S40" s="1507">
        <f t="shared" si="12"/>
        <v>100</v>
      </c>
      <c r="T40" s="1506" t="s">
        <v>8</v>
      </c>
      <c r="U40" s="1507">
        <f t="shared" si="13"/>
        <v>100</v>
      </c>
      <c r="V40" s="1506" t="s">
        <v>8</v>
      </c>
      <c r="W40" s="1507">
        <f t="shared" si="14"/>
        <v>100</v>
      </c>
      <c r="X40" s="1500"/>
      <c r="Y40" s="3533"/>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33"/>
      <c r="Q41" s="1534" t="str">
        <f t="shared" si="11"/>
        <v>进深比</v>
      </c>
      <c r="R41" s="1510" t="s">
        <v>8</v>
      </c>
      <c r="S41" s="1511">
        <f t="shared" si="12"/>
        <v>100</v>
      </c>
      <c r="T41" s="1510" t="s">
        <v>8</v>
      </c>
      <c r="U41" s="1511">
        <f t="shared" si="13"/>
        <v>100</v>
      </c>
      <c r="V41" s="1510" t="s">
        <v>8</v>
      </c>
      <c r="W41" s="1511">
        <f t="shared" si="14"/>
        <v>100</v>
      </c>
      <c r="X41" s="1512"/>
      <c r="Y41" s="3533"/>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33"/>
      <c r="Q42" s="1505" t="str">
        <f t="shared" si="11"/>
        <v>内部装修</v>
      </c>
      <c r="R42" s="1506" t="s">
        <v>8</v>
      </c>
      <c r="S42" s="1507">
        <f t="shared" si="12"/>
        <v>100</v>
      </c>
      <c r="T42" s="1506" t="s">
        <v>8</v>
      </c>
      <c r="U42" s="1507">
        <f t="shared" si="13"/>
        <v>100</v>
      </c>
      <c r="V42" s="1506" t="s">
        <v>8</v>
      </c>
      <c r="W42" s="1507">
        <f t="shared" si="14"/>
        <v>100</v>
      </c>
      <c r="X42" s="1500"/>
      <c r="Y42" s="3533"/>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33"/>
      <c r="Q43" s="1505" t="str">
        <f t="shared" si="11"/>
        <v>内部装修维护情况</v>
      </c>
      <c r="R43" s="1506" t="s">
        <v>8</v>
      </c>
      <c r="S43" s="1507">
        <f t="shared" si="12"/>
        <v>100</v>
      </c>
      <c r="T43" s="1506" t="s">
        <v>8</v>
      </c>
      <c r="U43" s="1507">
        <f t="shared" si="13"/>
        <v>100</v>
      </c>
      <c r="V43" s="1506" t="s">
        <v>8</v>
      </c>
      <c r="W43" s="1507">
        <f t="shared" si="14"/>
        <v>100</v>
      </c>
      <c r="X43" s="1500"/>
      <c r="Y43" s="3533"/>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33"/>
      <c r="Q44" s="1133">
        <f t="shared" si="11"/>
        <v>111</v>
      </c>
      <c r="R44" s="1501" t="s">
        <v>8</v>
      </c>
      <c r="S44" s="1502">
        <f t="shared" si="12"/>
        <v>100</v>
      </c>
      <c r="T44" s="1501" t="s">
        <v>8</v>
      </c>
      <c r="U44" s="1502">
        <f t="shared" si="13"/>
        <v>100</v>
      </c>
      <c r="V44" s="1501" t="s">
        <v>8</v>
      </c>
      <c r="W44" s="1502">
        <f t="shared" si="14"/>
        <v>100</v>
      </c>
      <c r="X44" s="1503"/>
      <c r="Y44" s="3533"/>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33"/>
      <c r="Q45" s="1505">
        <f t="shared" si="11"/>
        <v>111</v>
      </c>
      <c r="R45" s="1506" t="s">
        <v>8</v>
      </c>
      <c r="S45" s="1507">
        <f t="shared" si="12"/>
        <v>100</v>
      </c>
      <c r="T45" s="1506" t="s">
        <v>8</v>
      </c>
      <c r="U45" s="1507">
        <f t="shared" si="13"/>
        <v>100</v>
      </c>
      <c r="V45" s="1506" t="s">
        <v>8</v>
      </c>
      <c r="W45" s="1507">
        <f t="shared" si="14"/>
        <v>100</v>
      </c>
      <c r="X45" s="1500"/>
      <c r="Y45" s="3533"/>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13"/>
      <c r="Q46" s="1505">
        <f t="shared" si="11"/>
        <v>111</v>
      </c>
      <c r="R46" s="1506" t="s">
        <v>8</v>
      </c>
      <c r="S46" s="1507">
        <f t="shared" si="12"/>
        <v>100</v>
      </c>
      <c r="T46" s="1506" t="s">
        <v>8</v>
      </c>
      <c r="U46" s="1507">
        <f t="shared" si="13"/>
        <v>100</v>
      </c>
      <c r="V46" s="1506" t="s">
        <v>8</v>
      </c>
      <c r="W46" s="1507">
        <f t="shared" si="14"/>
        <v>100</v>
      </c>
      <c r="X46" s="1500"/>
      <c r="Y46" s="3613"/>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528" t="str">
        <f>A47</f>
        <v>成交单价（元/平方米）</v>
      </c>
      <c r="Q47" s="3528"/>
      <c r="R47" s="3612">
        <f>E47</f>
        <v>0</v>
      </c>
      <c r="S47" s="3612"/>
      <c r="T47" s="3612">
        <f>G47</f>
        <v>0</v>
      </c>
      <c r="U47" s="3612"/>
      <c r="V47" s="3612">
        <f>I47</f>
        <v>0</v>
      </c>
      <c r="W47" s="3612"/>
      <c r="X47" s="1495"/>
      <c r="Y47" s="1514"/>
      <c r="Z47" s="1495"/>
      <c r="AA47" s="1495"/>
      <c r="AB47" s="1495"/>
      <c r="AC47" s="1495"/>
    </row>
    <row r="48" spans="1:29" ht="15.75" thickBot="1">
      <c r="A48" s="609" t="s">
        <v>2740</v>
      </c>
      <c r="B48" s="876"/>
      <c r="C48" s="2475" t="e">
        <f>R49</f>
        <v>#DIV/0!</v>
      </c>
      <c r="D48" s="3013" t="s">
        <v>2972</v>
      </c>
      <c r="E48" s="2476" t="e">
        <f>R48</f>
        <v>#DIV/0!</v>
      </c>
      <c r="F48" s="3014"/>
      <c r="G48" s="2475" t="e">
        <f>T48</f>
        <v>#DIV/0!</v>
      </c>
      <c r="H48" s="3014"/>
      <c r="I48" s="2476" t="e">
        <f>V48</f>
        <v>#DIV/0!</v>
      </c>
      <c r="J48" s="3014"/>
      <c r="K48" s="3022">
        <f>F48+H48+J48</f>
        <v>0</v>
      </c>
      <c r="L48" s="2025"/>
      <c r="M48" s="2026"/>
      <c r="N48" s="2015"/>
      <c r="O48" s="2026"/>
      <c r="P48" s="3528" t="str">
        <f>A48</f>
        <v>比较价格（元/平方米）</v>
      </c>
      <c r="Q48" s="3528"/>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495"/>
      <c r="Y48" s="1495"/>
      <c r="Z48" s="1495"/>
      <c r="AA48" s="1495"/>
      <c r="AB48" s="1495"/>
      <c r="AC48" s="1495"/>
    </row>
    <row r="49" spans="1:29" ht="15.75" thickBot="1">
      <c r="A49" s="613" t="s">
        <v>2903</v>
      </c>
      <c r="B49" s="614"/>
      <c r="C49" s="2477" t="e">
        <f>R49</f>
        <v>#DIV/0!</v>
      </c>
      <c r="D49" s="2477"/>
      <c r="E49" s="2477"/>
      <c r="F49" s="2477"/>
      <c r="G49" s="2477"/>
      <c r="H49" s="2477"/>
      <c r="I49" s="2477"/>
      <c r="J49" s="2477"/>
      <c r="K49" s="1540"/>
      <c r="L49" s="2025"/>
      <c r="M49" s="2026"/>
      <c r="N49" s="2015"/>
      <c r="O49" s="2026"/>
      <c r="P49" s="3549" t="str">
        <f>A49</f>
        <v>估价对象XX用房的比较价格（楼面单价，元/平方米）</v>
      </c>
      <c r="Q49" s="3550"/>
      <c r="R49" s="3611" t="e">
        <f>IF(F1="售价",ROUND(IF(D48="简单平均",AVERAGE(R48:V48),R48*F48+T48*H48+V48*J48),0),ROUND(IF(D48="简单平均",AVERAGE(R48:V48),R48*F48+T48*H48+V48*J48),1))</f>
        <v>#DIV/0!</v>
      </c>
      <c r="S49" s="3611"/>
      <c r="T49" s="3611"/>
      <c r="U49" s="3611"/>
      <c r="V49" s="3611"/>
      <c r="W49" s="3611"/>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7" priority="20" stopIfTrue="1" operator="containsText" text="超过">
      <formula>NOT(ISERROR(SEARCH("超过",F52)))</formula>
    </cfRule>
  </conditionalFormatting>
  <conditionalFormatting sqref="H54">
    <cfRule type="containsText" dxfId="96" priority="18" stopIfTrue="1" operator="containsText" text="超过">
      <formula>NOT(ISERROR(SEARCH("超过",H54)))</formula>
    </cfRule>
  </conditionalFormatting>
  <conditionalFormatting sqref="F54">
    <cfRule type="containsText" dxfId="95" priority="17" stopIfTrue="1" operator="containsText" text="超过">
      <formula>NOT(ISERROR(SEARCH("超过",F54)))</formula>
    </cfRule>
  </conditionalFormatting>
  <conditionalFormatting sqref="F53 H53">
    <cfRule type="containsText" dxfId="94" priority="16" stopIfTrue="1" operator="containsText" text="超过">
      <formula>NOT(ISERROR(SEARCH("超过",F53)))</formula>
    </cfRule>
  </conditionalFormatting>
  <conditionalFormatting sqref="E52">
    <cfRule type="expression" dxfId="93" priority="15" stopIfTrue="1">
      <formula>$F$52="超过30%"</formula>
    </cfRule>
  </conditionalFormatting>
  <conditionalFormatting sqref="E53">
    <cfRule type="expression" dxfId="92" priority="14" stopIfTrue="1">
      <formula>$F$53="超过20%"</formula>
    </cfRule>
  </conditionalFormatting>
  <conditionalFormatting sqref="E54">
    <cfRule type="expression" dxfId="91" priority="13" stopIfTrue="1">
      <formula>$F$54="超过30%"</formula>
    </cfRule>
  </conditionalFormatting>
  <conditionalFormatting sqref="G54">
    <cfRule type="expression" dxfId="90" priority="12" stopIfTrue="1">
      <formula>$H$54="超过30%"</formula>
    </cfRule>
  </conditionalFormatting>
  <conditionalFormatting sqref="G52">
    <cfRule type="expression" dxfId="89" priority="11" stopIfTrue="1">
      <formula>$H$52="超过30%"</formula>
    </cfRule>
  </conditionalFormatting>
  <conditionalFormatting sqref="G53">
    <cfRule type="expression" dxfId="88" priority="10" stopIfTrue="1">
      <formula>$H$53="超过20%"</formula>
    </cfRule>
  </conditionalFormatting>
  <conditionalFormatting sqref="J52">
    <cfRule type="containsText" dxfId="87" priority="9" stopIfTrue="1" operator="containsText" text="超过">
      <formula>NOT(ISERROR(SEARCH("超过",J52)))</formula>
    </cfRule>
  </conditionalFormatting>
  <conditionalFormatting sqref="J54">
    <cfRule type="containsText" dxfId="86" priority="8" stopIfTrue="1" operator="containsText" text="超过">
      <formula>NOT(ISERROR(SEARCH("超过",J54)))</formula>
    </cfRule>
  </conditionalFormatting>
  <conditionalFormatting sqref="J53">
    <cfRule type="containsText" dxfId="85" priority="7" stopIfTrue="1" operator="containsText" text="超过">
      <formula>NOT(ISERROR(SEARCH("超过",J53)))</formula>
    </cfRule>
  </conditionalFormatting>
  <conditionalFormatting sqref="I52">
    <cfRule type="expression" dxfId="84" priority="6" stopIfTrue="1">
      <formula>$J$52="超过30%"</formula>
    </cfRule>
  </conditionalFormatting>
  <conditionalFormatting sqref="I53">
    <cfRule type="expression" dxfId="83" priority="5" stopIfTrue="1">
      <formula>$J$53="超过20%"</formula>
    </cfRule>
  </conditionalFormatting>
  <conditionalFormatting sqref="I54">
    <cfRule type="expression" dxfId="82" priority="4" stopIfTrue="1">
      <formula>$J$54="超过30%"</formula>
    </cfRule>
  </conditionalFormatting>
  <conditionalFormatting sqref="F48">
    <cfRule type="expression" dxfId="81" priority="3">
      <formula>$D$48="简单平均"</formula>
    </cfRule>
  </conditionalFormatting>
  <conditionalFormatting sqref="H48">
    <cfRule type="expression" dxfId="80" priority="2">
      <formula>$D$48="简单平均"</formula>
    </cfRule>
  </conditionalFormatting>
  <conditionalFormatting sqref="J48">
    <cfRule type="expression" dxfId="79"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53" activeCellId="2" sqref="A51:B55 C51:K52 K53:K55"/>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6" t="s">
        <v>515</v>
      </c>
      <c r="B4" s="507"/>
      <c r="C4" s="3534" t="s">
        <v>516</v>
      </c>
      <c r="D4" s="3535"/>
      <c r="E4" s="3559" t="s">
        <v>517</v>
      </c>
      <c r="F4" s="3560"/>
      <c r="G4" s="3534" t="s">
        <v>518</v>
      </c>
      <c r="H4" s="3535"/>
      <c r="I4" s="3534" t="s">
        <v>519</v>
      </c>
      <c r="J4" s="3535"/>
      <c r="K4" s="508" t="s">
        <v>520</v>
      </c>
      <c r="L4" s="2014"/>
      <c r="M4" s="2015"/>
      <c r="N4" s="2015"/>
      <c r="O4" s="2015"/>
      <c r="P4" s="3638" t="s">
        <v>521</v>
      </c>
      <c r="Q4" s="3537"/>
      <c r="R4" s="3522" t="s">
        <v>517</v>
      </c>
      <c r="S4" s="3523"/>
      <c r="T4" s="3522" t="s">
        <v>518</v>
      </c>
      <c r="U4" s="3523"/>
      <c r="V4" s="3542" t="s">
        <v>519</v>
      </c>
      <c r="W4" s="3542"/>
      <c r="X4" s="1500"/>
      <c r="Y4" s="3522" t="s">
        <v>521</v>
      </c>
      <c r="Z4" s="3523"/>
      <c r="AA4" s="3517" t="s">
        <v>517</v>
      </c>
      <c r="AB4" s="3517" t="s">
        <v>518</v>
      </c>
      <c r="AC4" s="3517" t="s">
        <v>519</v>
      </c>
    </row>
    <row r="5" spans="1:29" ht="15">
      <c r="A5" s="509"/>
      <c r="B5" s="510"/>
      <c r="C5" s="3545" t="s">
        <v>2897</v>
      </c>
      <c r="D5" s="3546"/>
      <c r="E5" s="3561" t="s">
        <v>2898</v>
      </c>
      <c r="F5" s="3562"/>
      <c r="G5" s="3545" t="s">
        <v>2899</v>
      </c>
      <c r="H5" s="3546"/>
      <c r="I5" s="3545" t="s">
        <v>2900</v>
      </c>
      <c r="J5" s="3546"/>
      <c r="K5" s="508"/>
      <c r="L5" s="2014"/>
      <c r="M5" s="2015"/>
      <c r="N5" s="2015"/>
      <c r="O5" s="2015"/>
      <c r="P5" s="3639"/>
      <c r="Q5" s="3539"/>
      <c r="R5" s="3524"/>
      <c r="S5" s="3525"/>
      <c r="T5" s="3524"/>
      <c r="U5" s="3525"/>
      <c r="V5" s="3542"/>
      <c r="W5" s="3542"/>
      <c r="X5" s="1500"/>
      <c r="Y5" s="3524"/>
      <c r="Z5" s="3525"/>
      <c r="AA5" s="3518"/>
      <c r="AB5" s="3518"/>
      <c r="AC5" s="3518"/>
    </row>
    <row r="6" spans="1:29" ht="15.75" thickBot="1">
      <c r="A6" s="511"/>
      <c r="B6" s="512"/>
      <c r="C6" s="3543" t="s">
        <v>2901</v>
      </c>
      <c r="D6" s="3544"/>
      <c r="E6" s="3563" t="s">
        <v>2901</v>
      </c>
      <c r="F6" s="3564"/>
      <c r="G6" s="3543" t="s">
        <v>2901</v>
      </c>
      <c r="H6" s="3544"/>
      <c r="I6" s="3543" t="s">
        <v>2901</v>
      </c>
      <c r="J6" s="3544"/>
      <c r="K6" s="508" t="s">
        <v>522</v>
      </c>
      <c r="L6" s="2014"/>
      <c r="M6" s="2015"/>
      <c r="N6" s="2015"/>
      <c r="O6" s="2015"/>
      <c r="P6" s="3640"/>
      <c r="Q6" s="3541"/>
      <c r="R6" s="3524"/>
      <c r="S6" s="3525"/>
      <c r="T6" s="3526"/>
      <c r="U6" s="3527"/>
      <c r="V6" s="3542"/>
      <c r="W6" s="3542"/>
      <c r="X6" s="1500"/>
      <c r="Y6" s="3526"/>
      <c r="Z6" s="3527"/>
      <c r="AA6" s="3519"/>
      <c r="AB6" s="3519"/>
      <c r="AC6" s="3519"/>
    </row>
    <row r="7" spans="1:29" s="1202" customFormat="1" ht="15.75" thickBot="1">
      <c r="A7" s="2628"/>
      <c r="B7" s="2635" t="s">
        <v>523</v>
      </c>
      <c r="C7" s="513">
        <f>'数据-取费表'!B2</f>
        <v>44077</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29" t="s">
        <v>524</v>
      </c>
      <c r="Q7" s="3529"/>
      <c r="R7" s="1501" t="s">
        <v>8</v>
      </c>
      <c r="S7" s="1502">
        <f t="shared" ref="S7:S15" si="0">F7</f>
        <v>0</v>
      </c>
      <c r="T7" s="1501" t="s">
        <v>8</v>
      </c>
      <c r="U7" s="1502">
        <f t="shared" ref="U7:U15" si="1">H7</f>
        <v>0</v>
      </c>
      <c r="V7" s="1501" t="s">
        <v>8</v>
      </c>
      <c r="W7" s="1502">
        <f t="shared" ref="W7:W15" si="2">J7</f>
        <v>0</v>
      </c>
      <c r="X7" s="1503"/>
      <c r="Y7" s="3520" t="s">
        <v>524</v>
      </c>
      <c r="Z7" s="3521"/>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29" t="s">
        <v>527</v>
      </c>
      <c r="Q8" s="3521"/>
      <c r="R8" s="1501" t="s">
        <v>8</v>
      </c>
      <c r="S8" s="1502">
        <f t="shared" si="0"/>
        <v>0</v>
      </c>
      <c r="T8" s="1501" t="s">
        <v>8</v>
      </c>
      <c r="U8" s="1502">
        <f t="shared" si="1"/>
        <v>0</v>
      </c>
      <c r="V8" s="1501" t="s">
        <v>8</v>
      </c>
      <c r="W8" s="1502">
        <f t="shared" si="2"/>
        <v>0</v>
      </c>
      <c r="X8" s="1503"/>
      <c r="Y8" s="3520" t="s">
        <v>527</v>
      </c>
      <c r="Z8" s="3521"/>
      <c r="AA8" s="1504" t="e">
        <f t="shared" ref="AA8:AA47" si="3">D8/F8</f>
        <v>#DIV/0!</v>
      </c>
      <c r="AB8" s="1504" t="e">
        <f t="shared" ref="AB8:AB47" si="4">D8/H8</f>
        <v>#DIV/0!</v>
      </c>
      <c r="AC8" s="1504"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28" t="s">
        <v>529</v>
      </c>
      <c r="Q9" s="1133" t="str">
        <f t="shared" ref="Q9:Q15" si="6">B9</f>
        <v>用途</v>
      </c>
      <c r="R9" s="1501" t="s">
        <v>8</v>
      </c>
      <c r="S9" s="1502">
        <f t="shared" si="0"/>
        <v>100</v>
      </c>
      <c r="T9" s="1501" t="s">
        <v>8</v>
      </c>
      <c r="U9" s="1502">
        <f t="shared" si="1"/>
        <v>100</v>
      </c>
      <c r="V9" s="1501" t="s">
        <v>8</v>
      </c>
      <c r="W9" s="1502">
        <f t="shared" si="2"/>
        <v>100</v>
      </c>
      <c r="X9" s="1503"/>
      <c r="Y9" s="3479"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28"/>
      <c r="Q10" s="1133" t="str">
        <f t="shared" si="6"/>
        <v>土地使用年限（年）</v>
      </c>
      <c r="R10" s="1501" t="s">
        <v>8</v>
      </c>
      <c r="S10" s="1502">
        <f t="shared" si="0"/>
        <v>100</v>
      </c>
      <c r="T10" s="1501" t="s">
        <v>8</v>
      </c>
      <c r="U10" s="1502">
        <f t="shared" si="1"/>
        <v>100</v>
      </c>
      <c r="V10" s="1501" t="s">
        <v>8</v>
      </c>
      <c r="W10" s="1502">
        <f t="shared" si="2"/>
        <v>100</v>
      </c>
      <c r="X10" s="1503"/>
      <c r="Y10" s="3479"/>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28"/>
      <c r="Q11" s="1133" t="str">
        <f t="shared" si="6"/>
        <v>容积率</v>
      </c>
      <c r="R11" s="1501" t="s">
        <v>8</v>
      </c>
      <c r="S11" s="1502" t="e">
        <f t="shared" si="0"/>
        <v>#N/A</v>
      </c>
      <c r="T11" s="1501" t="s">
        <v>8</v>
      </c>
      <c r="U11" s="1502" t="e">
        <f t="shared" si="1"/>
        <v>#N/A</v>
      </c>
      <c r="V11" s="1501" t="s">
        <v>8</v>
      </c>
      <c r="W11" s="1502" t="e">
        <f t="shared" si="2"/>
        <v>#N/A</v>
      </c>
      <c r="X11" s="1503"/>
      <c r="Y11" s="3479"/>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28"/>
      <c r="Q12" s="1133">
        <f t="shared" si="6"/>
        <v>111</v>
      </c>
      <c r="R12" s="1501" t="s">
        <v>8</v>
      </c>
      <c r="S12" s="1502">
        <f t="shared" si="0"/>
        <v>100</v>
      </c>
      <c r="T12" s="1501" t="s">
        <v>8</v>
      </c>
      <c r="U12" s="1502">
        <f t="shared" si="1"/>
        <v>100</v>
      </c>
      <c r="V12" s="1501" t="s">
        <v>8</v>
      </c>
      <c r="W12" s="1502">
        <f t="shared" si="2"/>
        <v>100</v>
      </c>
      <c r="X12" s="1503"/>
      <c r="Y12" s="3479"/>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28"/>
      <c r="Q13" s="1133">
        <f t="shared" si="6"/>
        <v>111</v>
      </c>
      <c r="R13" s="1501" t="s">
        <v>8</v>
      </c>
      <c r="S13" s="1502">
        <f t="shared" si="0"/>
        <v>100</v>
      </c>
      <c r="T13" s="1501" t="s">
        <v>8</v>
      </c>
      <c r="U13" s="1502">
        <f t="shared" si="1"/>
        <v>100</v>
      </c>
      <c r="V13" s="1501" t="s">
        <v>8</v>
      </c>
      <c r="W13" s="1502">
        <f t="shared" si="2"/>
        <v>100</v>
      </c>
      <c r="X13" s="1503"/>
      <c r="Y13" s="3479"/>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28"/>
      <c r="Q14" s="1133">
        <f t="shared" si="6"/>
        <v>111</v>
      </c>
      <c r="R14" s="1501" t="s">
        <v>8</v>
      </c>
      <c r="S14" s="1502">
        <f t="shared" si="0"/>
        <v>100</v>
      </c>
      <c r="T14" s="1501" t="s">
        <v>8</v>
      </c>
      <c r="U14" s="1502">
        <f t="shared" si="1"/>
        <v>100</v>
      </c>
      <c r="V14" s="1501" t="s">
        <v>8</v>
      </c>
      <c r="W14" s="1502">
        <f t="shared" si="2"/>
        <v>100</v>
      </c>
      <c r="X14" s="1503"/>
      <c r="Y14" s="3479"/>
      <c r="Z14" s="1132">
        <f t="shared" si="7"/>
        <v>111</v>
      </c>
      <c r="AA14" s="1504">
        <f t="shared" si="3"/>
        <v>1</v>
      </c>
      <c r="AB14" s="1504">
        <f t="shared" si="4"/>
        <v>1</v>
      </c>
      <c r="AC14" s="1504">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30" t="s">
        <v>534</v>
      </c>
      <c r="Q15" s="1505" t="str">
        <f t="shared" si="6"/>
        <v>办公集聚程度</v>
      </c>
      <c r="R15" s="1506" t="s">
        <v>8</v>
      </c>
      <c r="S15" s="1507">
        <f t="shared" si="0"/>
        <v>100</v>
      </c>
      <c r="T15" s="1506" t="s">
        <v>8</v>
      </c>
      <c r="U15" s="1507">
        <f t="shared" si="1"/>
        <v>100</v>
      </c>
      <c r="V15" s="1506" t="s">
        <v>8</v>
      </c>
      <c r="W15" s="1507">
        <f t="shared" si="2"/>
        <v>100</v>
      </c>
      <c r="X15" s="1500"/>
      <c r="Y15" s="3530"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31"/>
      <c r="Q16" s="1505"/>
      <c r="R16" s="1506"/>
      <c r="S16" s="1507"/>
      <c r="T16" s="1506"/>
      <c r="U16" s="1507"/>
      <c r="V16" s="1506"/>
      <c r="W16" s="1507"/>
      <c r="X16" s="1500"/>
      <c r="Y16" s="3531"/>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31"/>
      <c r="Q17" s="1505" t="str">
        <f>B17</f>
        <v>交通便捷度</v>
      </c>
      <c r="R17" s="1506" t="s">
        <v>8</v>
      </c>
      <c r="S17" s="1507">
        <f>F17</f>
        <v>100</v>
      </c>
      <c r="T17" s="1506" t="s">
        <v>8</v>
      </c>
      <c r="U17" s="1507">
        <f>H17</f>
        <v>100</v>
      </c>
      <c r="V17" s="1506" t="s">
        <v>8</v>
      </c>
      <c r="W17" s="1507">
        <f>J17</f>
        <v>100</v>
      </c>
      <c r="X17" s="1500"/>
      <c r="Y17" s="3531"/>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31"/>
      <c r="Q18" s="1505"/>
      <c r="R18" s="1506"/>
      <c r="S18" s="1507"/>
      <c r="T18" s="1506"/>
      <c r="U18" s="1507"/>
      <c r="V18" s="1506"/>
      <c r="W18" s="1507"/>
      <c r="X18" s="1500"/>
      <c r="Y18" s="3531"/>
      <c r="Z18" s="1508"/>
      <c r="AA18" s="1509">
        <v>1</v>
      </c>
      <c r="AB18" s="1509">
        <v>1</v>
      </c>
      <c r="AC18" s="1509">
        <v>1</v>
      </c>
    </row>
    <row r="19" spans="1:29" ht="42.75">
      <c r="A19" s="526"/>
      <c r="B19" s="2446"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31"/>
      <c r="Q19" s="1505" t="str">
        <f>B19</f>
        <v>公共配套设施</v>
      </c>
      <c r="R19" s="1506" t="s">
        <v>8</v>
      </c>
      <c r="S19" s="1507">
        <f>F19</f>
        <v>100</v>
      </c>
      <c r="T19" s="1506" t="s">
        <v>8</v>
      </c>
      <c r="U19" s="1507">
        <f>H19</f>
        <v>100</v>
      </c>
      <c r="V19" s="1506" t="s">
        <v>8</v>
      </c>
      <c r="W19" s="1507">
        <f>J19</f>
        <v>100</v>
      </c>
      <c r="X19" s="1500"/>
      <c r="Y19" s="3531"/>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31"/>
      <c r="Q20" s="1505"/>
      <c r="R20" s="1506"/>
      <c r="S20" s="1507"/>
      <c r="T20" s="1506"/>
      <c r="U20" s="1507"/>
      <c r="V20" s="1506"/>
      <c r="W20" s="1507"/>
      <c r="X20" s="1500"/>
      <c r="Y20" s="3531"/>
      <c r="Z20" s="1508"/>
      <c r="AA20" s="1509">
        <v>1</v>
      </c>
      <c r="AB20" s="1509">
        <v>1</v>
      </c>
      <c r="AC20" s="1509">
        <v>1</v>
      </c>
    </row>
    <row r="21" spans="1:29" ht="28.5">
      <c r="A21" s="526"/>
      <c r="B21" s="2434"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31"/>
      <c r="Q21" s="2428" t="str">
        <f>B21</f>
        <v>基础设施水平</v>
      </c>
      <c r="R21" s="1506" t="s">
        <v>8</v>
      </c>
      <c r="S21" s="1507">
        <f>F21</f>
        <v>100</v>
      </c>
      <c r="T21" s="1506" t="s">
        <v>8</v>
      </c>
      <c r="U21" s="1507">
        <f>H21</f>
        <v>100</v>
      </c>
      <c r="V21" s="1506" t="s">
        <v>8</v>
      </c>
      <c r="W21" s="1507">
        <f>J21</f>
        <v>100</v>
      </c>
      <c r="X21" s="2430"/>
      <c r="Y21" s="3531"/>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31"/>
      <c r="Q22" s="2428"/>
      <c r="R22" s="1506"/>
      <c r="S22" s="1507"/>
      <c r="T22" s="1506"/>
      <c r="U22" s="1507"/>
      <c r="V22" s="1506"/>
      <c r="W22" s="1507"/>
      <c r="X22" s="2430"/>
      <c r="Y22" s="3531"/>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31"/>
      <c r="Q23" s="1505" t="str">
        <f>B23</f>
        <v>环境质量</v>
      </c>
      <c r="R23" s="1506" t="s">
        <v>8</v>
      </c>
      <c r="S23" s="1507">
        <f>F23</f>
        <v>100</v>
      </c>
      <c r="T23" s="1506" t="s">
        <v>8</v>
      </c>
      <c r="U23" s="1507">
        <f>H23</f>
        <v>100</v>
      </c>
      <c r="V23" s="1506" t="s">
        <v>8</v>
      </c>
      <c r="W23" s="1507">
        <f>J23</f>
        <v>100</v>
      </c>
      <c r="X23" s="1500"/>
      <c r="Y23" s="3531"/>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31"/>
      <c r="Q24" s="1505"/>
      <c r="R24" s="1506"/>
      <c r="S24" s="1507"/>
      <c r="T24" s="1506"/>
      <c r="U24" s="1507"/>
      <c r="V24" s="1506"/>
      <c r="W24" s="1507"/>
      <c r="X24" s="1500"/>
      <c r="Y24" s="3531"/>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31"/>
      <c r="Q25" s="1505" t="str">
        <f>B25</f>
        <v>毗邻道路的类型与等级</v>
      </c>
      <c r="R25" s="1506" t="s">
        <v>8</v>
      </c>
      <c r="S25" s="1507">
        <f>F25</f>
        <v>100</v>
      </c>
      <c r="T25" s="1506" t="s">
        <v>8</v>
      </c>
      <c r="U25" s="1507">
        <f>H25</f>
        <v>100</v>
      </c>
      <c r="V25" s="1506" t="s">
        <v>8</v>
      </c>
      <c r="W25" s="1507">
        <f>J25</f>
        <v>100</v>
      </c>
      <c r="X25" s="1500"/>
      <c r="Y25" s="3531"/>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31"/>
      <c r="Q26" s="1505"/>
      <c r="R26" s="1506"/>
      <c r="S26" s="1507"/>
      <c r="T26" s="1506"/>
      <c r="U26" s="1507"/>
      <c r="V26" s="1506"/>
      <c r="W26" s="1507"/>
      <c r="X26" s="1500"/>
      <c r="Y26" s="3531"/>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31"/>
      <c r="Q27" s="1505" t="str">
        <f t="shared" ref="Q27:Q47" si="11">B27</f>
        <v>楼层</v>
      </c>
      <c r="R27" s="1506" t="s">
        <v>8</v>
      </c>
      <c r="S27" s="1507">
        <f>F27</f>
        <v>100</v>
      </c>
      <c r="T27" s="1506" t="s">
        <v>8</v>
      </c>
      <c r="U27" s="1507">
        <f>H27</f>
        <v>100</v>
      </c>
      <c r="V27" s="1506" t="s">
        <v>8</v>
      </c>
      <c r="W27" s="1507">
        <f>J27</f>
        <v>100</v>
      </c>
      <c r="X27" s="1500"/>
      <c r="Y27" s="3531"/>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31"/>
      <c r="Q28" s="1133" t="str">
        <f t="shared" si="11"/>
        <v>朝向</v>
      </c>
      <c r="R28" s="1501" t="s">
        <v>8</v>
      </c>
      <c r="S28" s="1502">
        <f>F28</f>
        <v>100</v>
      </c>
      <c r="T28" s="1501" t="s">
        <v>8</v>
      </c>
      <c r="U28" s="1502">
        <f>H28</f>
        <v>100</v>
      </c>
      <c r="V28" s="1501" t="s">
        <v>8</v>
      </c>
      <c r="W28" s="1502">
        <f>J28</f>
        <v>100</v>
      </c>
      <c r="X28" s="1503"/>
      <c r="Y28" s="3531"/>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31"/>
      <c r="Q29" s="1505">
        <f t="shared" si="11"/>
        <v>111</v>
      </c>
      <c r="R29" s="1506" t="s">
        <v>8</v>
      </c>
      <c r="S29" s="1507">
        <f t="shared" ref="S29:S47" si="12">F29</f>
        <v>100</v>
      </c>
      <c r="T29" s="1506" t="s">
        <v>8</v>
      </c>
      <c r="U29" s="1507">
        <f t="shared" ref="U29:U47" si="13">H29</f>
        <v>100</v>
      </c>
      <c r="V29" s="1506" t="s">
        <v>8</v>
      </c>
      <c r="W29" s="1507">
        <f t="shared" ref="W29:W47" si="14">J29</f>
        <v>100</v>
      </c>
      <c r="X29" s="1500"/>
      <c r="Y29" s="3531"/>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31"/>
      <c r="Q30" s="1505">
        <f t="shared" si="11"/>
        <v>111</v>
      </c>
      <c r="R30" s="1506" t="s">
        <v>8</v>
      </c>
      <c r="S30" s="1507">
        <f t="shared" si="12"/>
        <v>100</v>
      </c>
      <c r="T30" s="1506" t="s">
        <v>8</v>
      </c>
      <c r="U30" s="1507">
        <f t="shared" si="13"/>
        <v>100</v>
      </c>
      <c r="V30" s="1506" t="s">
        <v>8</v>
      </c>
      <c r="W30" s="1507">
        <f t="shared" si="14"/>
        <v>100</v>
      </c>
      <c r="X30" s="1500"/>
      <c r="Y30" s="3531"/>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31"/>
      <c r="Q31" s="1505">
        <f t="shared" si="11"/>
        <v>111</v>
      </c>
      <c r="R31" s="1506" t="s">
        <v>8</v>
      </c>
      <c r="S31" s="1507">
        <f t="shared" si="12"/>
        <v>100</v>
      </c>
      <c r="T31" s="1506" t="s">
        <v>8</v>
      </c>
      <c r="U31" s="1507">
        <f t="shared" si="13"/>
        <v>100</v>
      </c>
      <c r="V31" s="1506" t="s">
        <v>8</v>
      </c>
      <c r="W31" s="1507">
        <f t="shared" si="14"/>
        <v>100</v>
      </c>
      <c r="X31" s="1500"/>
      <c r="Y31" s="3531"/>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31"/>
      <c r="Q32" s="1505">
        <f t="shared" si="11"/>
        <v>111</v>
      </c>
      <c r="R32" s="1506" t="s">
        <v>8</v>
      </c>
      <c r="S32" s="1507">
        <f t="shared" si="12"/>
        <v>100</v>
      </c>
      <c r="T32" s="1506" t="s">
        <v>8</v>
      </c>
      <c r="U32" s="1507">
        <f t="shared" si="13"/>
        <v>100</v>
      </c>
      <c r="V32" s="1506" t="s">
        <v>8</v>
      </c>
      <c r="W32" s="1507">
        <f t="shared" si="14"/>
        <v>100</v>
      </c>
      <c r="X32" s="1500"/>
      <c r="Y32" s="3531"/>
      <c r="Z32" s="1508">
        <f t="shared" si="15"/>
        <v>111</v>
      </c>
      <c r="AA32" s="1509">
        <f t="shared" si="3"/>
        <v>1</v>
      </c>
      <c r="AB32" s="1509">
        <f t="shared" si="4"/>
        <v>1</v>
      </c>
      <c r="AC32" s="1509">
        <f t="shared" si="5"/>
        <v>1</v>
      </c>
    </row>
    <row r="33" spans="1:29" ht="15">
      <c r="A33" s="2623"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32" t="s">
        <v>544</v>
      </c>
      <c r="Q33" s="1505" t="str">
        <f t="shared" si="11"/>
        <v>建筑类型</v>
      </c>
      <c r="R33" s="1506" t="s">
        <v>8</v>
      </c>
      <c r="S33" s="1507">
        <f t="shared" si="12"/>
        <v>100</v>
      </c>
      <c r="T33" s="1506" t="s">
        <v>8</v>
      </c>
      <c r="U33" s="1507">
        <f t="shared" si="13"/>
        <v>100</v>
      </c>
      <c r="V33" s="1506" t="s">
        <v>8</v>
      </c>
      <c r="W33" s="1507">
        <f t="shared" si="14"/>
        <v>100</v>
      </c>
      <c r="X33" s="1500"/>
      <c r="Y33" s="3533"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33"/>
      <c r="Q34" s="1534" t="str">
        <f t="shared" si="11"/>
        <v>项目建筑规模</v>
      </c>
      <c r="R34" s="1510" t="s">
        <v>8</v>
      </c>
      <c r="S34" s="1511" t="e">
        <f t="shared" si="12"/>
        <v>#N/A</v>
      </c>
      <c r="T34" s="1510" t="s">
        <v>8</v>
      </c>
      <c r="U34" s="1511" t="e">
        <f t="shared" si="13"/>
        <v>#N/A</v>
      </c>
      <c r="V34" s="1510" t="s">
        <v>8</v>
      </c>
      <c r="W34" s="1511" t="e">
        <f t="shared" si="14"/>
        <v>#N/A</v>
      </c>
      <c r="X34" s="1512"/>
      <c r="Y34" s="3533"/>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33"/>
      <c r="Q35" s="1505" t="str">
        <f t="shared" si="11"/>
        <v>建筑结构</v>
      </c>
      <c r="R35" s="1506" t="s">
        <v>8</v>
      </c>
      <c r="S35" s="1507">
        <f t="shared" si="12"/>
        <v>100</v>
      </c>
      <c r="T35" s="1506" t="s">
        <v>8</v>
      </c>
      <c r="U35" s="1507">
        <f t="shared" si="13"/>
        <v>100</v>
      </c>
      <c r="V35" s="1506" t="s">
        <v>8</v>
      </c>
      <c r="W35" s="1507">
        <f t="shared" si="14"/>
        <v>100</v>
      </c>
      <c r="X35" s="1500"/>
      <c r="Y35" s="3533"/>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33"/>
      <c r="Q36" s="1505" t="str">
        <f t="shared" si="11"/>
        <v>公共部分装修</v>
      </c>
      <c r="R36" s="1506" t="s">
        <v>8</v>
      </c>
      <c r="S36" s="1507">
        <f t="shared" si="12"/>
        <v>100</v>
      </c>
      <c r="T36" s="1506" t="s">
        <v>8</v>
      </c>
      <c r="U36" s="1507">
        <f t="shared" si="13"/>
        <v>100</v>
      </c>
      <c r="V36" s="1506" t="s">
        <v>8</v>
      </c>
      <c r="W36" s="1507">
        <f t="shared" si="14"/>
        <v>100</v>
      </c>
      <c r="X36" s="1500"/>
      <c r="Y36" s="3533"/>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33"/>
      <c r="Q37" s="1505" t="str">
        <f t="shared" si="11"/>
        <v>成新度</v>
      </c>
      <c r="R37" s="1506" t="s">
        <v>8</v>
      </c>
      <c r="S37" s="1507" t="e">
        <f t="shared" si="12"/>
        <v>#N/A</v>
      </c>
      <c r="T37" s="1506" t="s">
        <v>8</v>
      </c>
      <c r="U37" s="1507" t="e">
        <f t="shared" si="13"/>
        <v>#N/A</v>
      </c>
      <c r="V37" s="1506" t="s">
        <v>8</v>
      </c>
      <c r="W37" s="1507" t="e">
        <f t="shared" si="14"/>
        <v>#N/A</v>
      </c>
      <c r="X37" s="1500"/>
      <c r="Y37" s="3533"/>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33"/>
      <c r="Q38" s="1133" t="str">
        <f t="shared" si="11"/>
        <v>写字楼等级</v>
      </c>
      <c r="R38" s="1501" t="s">
        <v>8</v>
      </c>
      <c r="S38" s="1502">
        <f t="shared" si="12"/>
        <v>100</v>
      </c>
      <c r="T38" s="1501" t="s">
        <v>8</v>
      </c>
      <c r="U38" s="1502">
        <f t="shared" si="13"/>
        <v>100</v>
      </c>
      <c r="V38" s="1501" t="s">
        <v>8</v>
      </c>
      <c r="W38" s="1502">
        <f t="shared" si="14"/>
        <v>100</v>
      </c>
      <c r="X38" s="1503"/>
      <c r="Y38" s="3533"/>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33" t="s">
        <v>544</v>
      </c>
      <c r="Q39" s="1505" t="str">
        <f t="shared" si="11"/>
        <v>物业管理</v>
      </c>
      <c r="R39" s="1506" t="s">
        <v>8</v>
      </c>
      <c r="S39" s="1507">
        <f t="shared" si="12"/>
        <v>100</v>
      </c>
      <c r="T39" s="1506" t="s">
        <v>8</v>
      </c>
      <c r="U39" s="1507">
        <f t="shared" si="13"/>
        <v>100</v>
      </c>
      <c r="V39" s="1506" t="s">
        <v>8</v>
      </c>
      <c r="W39" s="1507">
        <f t="shared" si="14"/>
        <v>100</v>
      </c>
      <c r="X39" s="1500"/>
      <c r="Y39" s="3533" t="s">
        <v>544</v>
      </c>
      <c r="Z39" s="1508" t="str">
        <f t="shared" si="15"/>
        <v>物业管理</v>
      </c>
      <c r="AA39" s="1509">
        <f t="shared" si="3"/>
        <v>1</v>
      </c>
      <c r="AB39" s="1509">
        <f t="shared" si="4"/>
        <v>1</v>
      </c>
      <c r="AC39" s="1509">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33"/>
      <c r="Q40" s="1505" t="str">
        <f t="shared" si="11"/>
        <v>市政基础设施</v>
      </c>
      <c r="R40" s="1506" t="s">
        <v>8</v>
      </c>
      <c r="S40" s="1507">
        <f t="shared" si="12"/>
        <v>100</v>
      </c>
      <c r="T40" s="1506" t="s">
        <v>8</v>
      </c>
      <c r="U40" s="1507">
        <f t="shared" si="13"/>
        <v>100</v>
      </c>
      <c r="V40" s="1506" t="s">
        <v>8</v>
      </c>
      <c r="W40" s="1507">
        <f t="shared" si="14"/>
        <v>100</v>
      </c>
      <c r="X40" s="1500"/>
      <c r="Y40" s="3533"/>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33"/>
      <c r="Q41" s="1505" t="str">
        <f t="shared" si="11"/>
        <v>层高</v>
      </c>
      <c r="R41" s="1506" t="s">
        <v>8</v>
      </c>
      <c r="S41" s="1507">
        <f t="shared" si="12"/>
        <v>100</v>
      </c>
      <c r="T41" s="1506" t="s">
        <v>8</v>
      </c>
      <c r="U41" s="1507">
        <f t="shared" si="13"/>
        <v>100</v>
      </c>
      <c r="V41" s="1506" t="s">
        <v>8</v>
      </c>
      <c r="W41" s="1507">
        <f t="shared" si="14"/>
        <v>100</v>
      </c>
      <c r="X41" s="1500"/>
      <c r="Y41" s="3533"/>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33"/>
      <c r="Q42" s="1534" t="str">
        <f t="shared" si="11"/>
        <v>单套建筑面积</v>
      </c>
      <c r="R42" s="1510" t="s">
        <v>8</v>
      </c>
      <c r="S42" s="1511">
        <f t="shared" si="12"/>
        <v>100</v>
      </c>
      <c r="T42" s="1510" t="s">
        <v>8</v>
      </c>
      <c r="U42" s="1511">
        <f t="shared" si="13"/>
        <v>100</v>
      </c>
      <c r="V42" s="1510" t="s">
        <v>8</v>
      </c>
      <c r="W42" s="1511">
        <f t="shared" si="14"/>
        <v>100</v>
      </c>
      <c r="X42" s="1512"/>
      <c r="Y42" s="3533"/>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33"/>
      <c r="Q43" s="1505" t="str">
        <f t="shared" si="11"/>
        <v>内部装修</v>
      </c>
      <c r="R43" s="1506" t="s">
        <v>8</v>
      </c>
      <c r="S43" s="1507">
        <f t="shared" si="12"/>
        <v>100</v>
      </c>
      <c r="T43" s="1506" t="s">
        <v>8</v>
      </c>
      <c r="U43" s="1507">
        <f t="shared" si="13"/>
        <v>100</v>
      </c>
      <c r="V43" s="1506" t="s">
        <v>8</v>
      </c>
      <c r="W43" s="1507">
        <f t="shared" si="14"/>
        <v>100</v>
      </c>
      <c r="X43" s="1500"/>
      <c r="Y43" s="3533"/>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33"/>
      <c r="Q44" s="1505" t="str">
        <f t="shared" si="11"/>
        <v>内部装修维护情况</v>
      </c>
      <c r="R44" s="1506" t="s">
        <v>8</v>
      </c>
      <c r="S44" s="1507">
        <f t="shared" si="12"/>
        <v>100</v>
      </c>
      <c r="T44" s="1506" t="s">
        <v>8</v>
      </c>
      <c r="U44" s="1507">
        <f t="shared" si="13"/>
        <v>100</v>
      </c>
      <c r="V44" s="1506" t="s">
        <v>8</v>
      </c>
      <c r="W44" s="1507">
        <f t="shared" si="14"/>
        <v>100</v>
      </c>
      <c r="X44" s="1500"/>
      <c r="Y44" s="3533"/>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33"/>
      <c r="Q45" s="1133">
        <f t="shared" si="11"/>
        <v>111</v>
      </c>
      <c r="R45" s="1501" t="s">
        <v>8</v>
      </c>
      <c r="S45" s="1502">
        <f t="shared" si="12"/>
        <v>100</v>
      </c>
      <c r="T45" s="1501" t="s">
        <v>8</v>
      </c>
      <c r="U45" s="1502">
        <f t="shared" si="13"/>
        <v>100</v>
      </c>
      <c r="V45" s="1501" t="s">
        <v>8</v>
      </c>
      <c r="W45" s="1502">
        <f t="shared" si="14"/>
        <v>100</v>
      </c>
      <c r="X45" s="1503"/>
      <c r="Y45" s="3533"/>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33"/>
      <c r="Q46" s="1505">
        <f t="shared" si="11"/>
        <v>111</v>
      </c>
      <c r="R46" s="1506" t="s">
        <v>8</v>
      </c>
      <c r="S46" s="1507">
        <f t="shared" si="12"/>
        <v>100</v>
      </c>
      <c r="T46" s="1506" t="s">
        <v>8</v>
      </c>
      <c r="U46" s="1507">
        <f t="shared" si="13"/>
        <v>100</v>
      </c>
      <c r="V46" s="1506" t="s">
        <v>8</v>
      </c>
      <c r="W46" s="1507">
        <f t="shared" si="14"/>
        <v>100</v>
      </c>
      <c r="X46" s="1500"/>
      <c r="Y46" s="3533"/>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13"/>
      <c r="Q47" s="1505">
        <f t="shared" si="11"/>
        <v>111</v>
      </c>
      <c r="R47" s="1506" t="s">
        <v>8</v>
      </c>
      <c r="S47" s="1507">
        <f t="shared" si="12"/>
        <v>100</v>
      </c>
      <c r="T47" s="1506" t="s">
        <v>8</v>
      </c>
      <c r="U47" s="1507">
        <f t="shared" si="13"/>
        <v>100</v>
      </c>
      <c r="V47" s="1506" t="s">
        <v>8</v>
      </c>
      <c r="W47" s="1507">
        <f t="shared" si="14"/>
        <v>100</v>
      </c>
      <c r="X47" s="1500"/>
      <c r="Y47" s="3613"/>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550" t="str">
        <f>A48</f>
        <v>成交单价（元/平方米）</v>
      </c>
      <c r="Q48" s="3528"/>
      <c r="R48" s="3612">
        <f>E48</f>
        <v>0</v>
      </c>
      <c r="S48" s="3612"/>
      <c r="T48" s="3612">
        <f>G48</f>
        <v>0</v>
      </c>
      <c r="U48" s="3612"/>
      <c r="V48" s="3612">
        <f>I48</f>
        <v>0</v>
      </c>
      <c r="W48" s="3612"/>
      <c r="X48" s="1495"/>
      <c r="Y48" s="1514"/>
      <c r="Z48" s="1495"/>
      <c r="AA48" s="1495"/>
      <c r="AB48" s="1495"/>
      <c r="AC48" s="1495"/>
    </row>
    <row r="49" spans="1:29" ht="15.75" thickBot="1">
      <c r="A49" s="609" t="s">
        <v>2740</v>
      </c>
      <c r="B49" s="876"/>
      <c r="C49" s="2475" t="e">
        <f>R50</f>
        <v>#DIV/0!</v>
      </c>
      <c r="D49" s="3013" t="s">
        <v>2972</v>
      </c>
      <c r="E49" s="2476" t="e">
        <f>R49</f>
        <v>#DIV/0!</v>
      </c>
      <c r="F49" s="3014"/>
      <c r="G49" s="2475" t="e">
        <f>T49</f>
        <v>#DIV/0!</v>
      </c>
      <c r="H49" s="3014"/>
      <c r="I49" s="2476" t="e">
        <f>V49</f>
        <v>#DIV/0!</v>
      </c>
      <c r="J49" s="3014"/>
      <c r="K49" s="3022">
        <f>F49+H49+J49</f>
        <v>0</v>
      </c>
      <c r="L49" s="2025"/>
      <c r="M49" s="2015"/>
      <c r="N49" s="2015"/>
      <c r="O49" s="2015"/>
      <c r="P49" s="3550" t="str">
        <f>A49</f>
        <v>比较价格（元/平方米）</v>
      </c>
      <c r="Q49" s="3528"/>
      <c r="R49" s="3612" t="e">
        <f>IF(F1="售价",ROUND(PRODUCT(R48,AA7:AA47),0),ROUND(PRODUCT(R48,AA7:AA47),1))</f>
        <v>#DIV/0!</v>
      </c>
      <c r="S49" s="3612"/>
      <c r="T49" s="3612" t="e">
        <f>IF(F1="售价",ROUND(PRODUCT(T48,AB7:AB47),0),ROUND(PRODUCT(T48,AB7:AB47),1))</f>
        <v>#DIV/0!</v>
      </c>
      <c r="U49" s="3612"/>
      <c r="V49" s="3612" t="e">
        <f>IF(F1="售价",ROUND(PRODUCT(V48,AC7:AC47),0),ROUND(PRODUCT(V48,AC7:AC47),1))</f>
        <v>#DIV/0!</v>
      </c>
      <c r="W49" s="3612"/>
      <c r="X49" s="1495"/>
      <c r="Y49" s="1495"/>
      <c r="Z49" s="1495"/>
      <c r="AA49" s="1495"/>
      <c r="AB49" s="1495"/>
      <c r="AC49" s="1495"/>
    </row>
    <row r="50" spans="1:29" ht="15.75" thickBot="1">
      <c r="A50" s="613" t="s">
        <v>2903</v>
      </c>
      <c r="B50" s="614"/>
      <c r="C50" s="2477" t="e">
        <f>R50</f>
        <v>#DIV/0!</v>
      </c>
      <c r="D50" s="2477"/>
      <c r="E50" s="2477"/>
      <c r="F50" s="2477"/>
      <c r="G50" s="2477"/>
      <c r="H50" s="2477"/>
      <c r="I50" s="2477"/>
      <c r="J50" s="2477"/>
      <c r="K50" s="1540"/>
      <c r="L50" s="2025"/>
      <c r="M50" s="2015"/>
      <c r="N50" s="2015"/>
      <c r="O50" s="2015"/>
      <c r="P50" s="3641" t="str">
        <f>A50</f>
        <v>估价对象XX用房的比较价格（楼面单价，元/平方米）</v>
      </c>
      <c r="Q50" s="3550"/>
      <c r="R50" s="3611" t="e">
        <f>IF(F1="售价",ROUND(IF(D49="简单平均",AVERAGE(R49:V49),R49*F49+T49*H49+V49*J49),0),ROUND(IF(D49="简单平均",AVERAGE(R49:V49),R49*F49+T49*H49+V49*J49),1))</f>
        <v>#DIV/0!</v>
      </c>
      <c r="S50" s="3611"/>
      <c r="T50" s="3611"/>
      <c r="U50" s="3611"/>
      <c r="V50" s="3611"/>
      <c r="W50" s="3611"/>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2020-9</v>
      </c>
      <c r="D59" s="2520">
        <f>EDATE(C59,-1)</f>
        <v>44044</v>
      </c>
      <c r="E59" s="2520">
        <f t="shared" ref="E59:O59" si="16">EDATE(D59,-1)</f>
        <v>44013</v>
      </c>
      <c r="F59" s="2520">
        <f t="shared" si="16"/>
        <v>43983</v>
      </c>
      <c r="G59" s="2520">
        <f t="shared" si="16"/>
        <v>43952</v>
      </c>
      <c r="H59" s="2520">
        <f t="shared" si="16"/>
        <v>43922</v>
      </c>
      <c r="I59" s="2520">
        <f t="shared" si="16"/>
        <v>43891</v>
      </c>
      <c r="J59" s="2520">
        <f t="shared" si="16"/>
        <v>43862</v>
      </c>
      <c r="K59" s="2520">
        <f t="shared" si="16"/>
        <v>43831</v>
      </c>
      <c r="L59" s="2520">
        <f t="shared" si="16"/>
        <v>43800</v>
      </c>
      <c r="M59" s="2520">
        <f t="shared" si="16"/>
        <v>43770</v>
      </c>
      <c r="N59" s="2520">
        <f t="shared" si="16"/>
        <v>43739</v>
      </c>
      <c r="O59" s="2520">
        <f t="shared" si="16"/>
        <v>43709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8" priority="19" stopIfTrue="1" operator="containsText" text="超过">
      <formula>NOT(ISERROR(SEARCH("超过",F53)))</formula>
    </cfRule>
  </conditionalFormatting>
  <conditionalFormatting sqref="H55">
    <cfRule type="containsText" dxfId="77" priority="18" stopIfTrue="1" operator="containsText" text="超过">
      <formula>NOT(ISERROR(SEARCH("超过",H55)))</formula>
    </cfRule>
  </conditionalFormatting>
  <conditionalFormatting sqref="F55">
    <cfRule type="containsText" dxfId="76" priority="17" stopIfTrue="1" operator="containsText" text="超过">
      <formula>NOT(ISERROR(SEARCH("超过",F55)))</formula>
    </cfRule>
  </conditionalFormatting>
  <conditionalFormatting sqref="F54 H54">
    <cfRule type="containsText" dxfId="75" priority="16" stopIfTrue="1" operator="containsText" text="超过">
      <formula>NOT(ISERROR(SEARCH("超过",F54)))</formula>
    </cfRule>
  </conditionalFormatting>
  <conditionalFormatting sqref="E53">
    <cfRule type="expression" dxfId="74" priority="15" stopIfTrue="1">
      <formula>$F$53="超过30%"</formula>
    </cfRule>
  </conditionalFormatting>
  <conditionalFormatting sqref="E54">
    <cfRule type="expression" dxfId="73" priority="14" stopIfTrue="1">
      <formula>$F$54="超过20%"</formula>
    </cfRule>
  </conditionalFormatting>
  <conditionalFormatting sqref="E55">
    <cfRule type="expression" dxfId="72" priority="13" stopIfTrue="1">
      <formula>$F$55="超过30%"</formula>
    </cfRule>
  </conditionalFormatting>
  <conditionalFormatting sqref="G55">
    <cfRule type="expression" dxfId="71" priority="12" stopIfTrue="1">
      <formula>$H$55="超过30%"</formula>
    </cfRule>
  </conditionalFormatting>
  <conditionalFormatting sqref="G53">
    <cfRule type="expression" dxfId="70" priority="11" stopIfTrue="1">
      <formula>$H$53="超过30%"</formula>
    </cfRule>
  </conditionalFormatting>
  <conditionalFormatting sqref="G54">
    <cfRule type="expression" dxfId="69" priority="10" stopIfTrue="1">
      <formula>$H$54="超过20%"</formula>
    </cfRule>
  </conditionalFormatting>
  <conditionalFormatting sqref="J53">
    <cfRule type="containsText" dxfId="68" priority="9" stopIfTrue="1" operator="containsText" text="超过">
      <formula>NOT(ISERROR(SEARCH("超过",J53)))</formula>
    </cfRule>
  </conditionalFormatting>
  <conditionalFormatting sqref="J55">
    <cfRule type="containsText" dxfId="67" priority="8" stopIfTrue="1" operator="containsText" text="超过">
      <formula>NOT(ISERROR(SEARCH("超过",J55)))</formula>
    </cfRule>
  </conditionalFormatting>
  <conditionalFormatting sqref="J54">
    <cfRule type="containsText" dxfId="66" priority="7" stopIfTrue="1" operator="containsText" text="超过">
      <formula>NOT(ISERROR(SEARCH("超过",J54)))</formula>
    </cfRule>
  </conditionalFormatting>
  <conditionalFormatting sqref="I53">
    <cfRule type="expression" dxfId="65" priority="6" stopIfTrue="1">
      <formula>$J$53="超过30%"</formula>
    </cfRule>
  </conditionalFormatting>
  <conditionalFormatting sqref="I54">
    <cfRule type="expression" dxfId="64" priority="5" stopIfTrue="1">
      <formula>$J$53+$J$54="超过20%"</formula>
    </cfRule>
  </conditionalFormatting>
  <conditionalFormatting sqref="I55">
    <cfRule type="expression" dxfId="63" priority="4" stopIfTrue="1">
      <formula>$J$55="超过30%"</formula>
    </cfRule>
  </conditionalFormatting>
  <conditionalFormatting sqref="F49">
    <cfRule type="expression" dxfId="62" priority="3">
      <formula>$D$49="简单平均"</formula>
    </cfRule>
  </conditionalFormatting>
  <conditionalFormatting sqref="H49">
    <cfRule type="expression" dxfId="61" priority="2">
      <formula>$D$49="简单平均"</formula>
    </cfRule>
  </conditionalFormatting>
  <conditionalFormatting sqref="J49">
    <cfRule type="expression" dxfId="60"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93.75">
      <c r="A7" s="2589" t="s">
        <v>2728</v>
      </c>
    </row>
    <row r="8" spans="1:4" ht="18.75">
      <c r="A8" s="1708" t="s">
        <v>1896</v>
      </c>
    </row>
    <row r="9" spans="1:4" ht="75">
      <c r="A9" s="17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2020年9月3日（评估专业人员勘察现场之日）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1" t="s">
        <v>2729</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515</v>
      </c>
      <c r="B4" s="507"/>
      <c r="C4" s="3534" t="s">
        <v>516</v>
      </c>
      <c r="D4" s="3535"/>
      <c r="E4" s="3559" t="s">
        <v>517</v>
      </c>
      <c r="F4" s="3560"/>
      <c r="G4" s="3534" t="s">
        <v>518</v>
      </c>
      <c r="H4" s="3535"/>
      <c r="I4" s="3534" t="s">
        <v>519</v>
      </c>
      <c r="J4" s="3535"/>
      <c r="K4" s="508" t="s">
        <v>520</v>
      </c>
      <c r="L4" s="2014"/>
      <c r="M4" s="2015"/>
      <c r="N4" s="2015"/>
      <c r="O4" s="2015"/>
      <c r="P4" s="3536" t="s">
        <v>521</v>
      </c>
      <c r="Q4" s="3537"/>
      <c r="R4" s="3522" t="s">
        <v>517</v>
      </c>
      <c r="S4" s="3523"/>
      <c r="T4" s="3522" t="s">
        <v>518</v>
      </c>
      <c r="U4" s="3523"/>
      <c r="V4" s="3542" t="s">
        <v>519</v>
      </c>
      <c r="W4" s="3542"/>
      <c r="X4" s="1500"/>
      <c r="Y4" s="3522" t="s">
        <v>521</v>
      </c>
      <c r="Z4" s="3523"/>
      <c r="AA4" s="3517" t="s">
        <v>517</v>
      </c>
      <c r="AB4" s="3518" t="s">
        <v>518</v>
      </c>
      <c r="AC4" s="3517" t="s">
        <v>519</v>
      </c>
    </row>
    <row r="5" spans="1:29" ht="15">
      <c r="A5" s="509"/>
      <c r="B5" s="510"/>
      <c r="C5" s="3545" t="s">
        <v>2897</v>
      </c>
      <c r="D5" s="3546"/>
      <c r="E5" s="3561" t="s">
        <v>2898</v>
      </c>
      <c r="F5" s="3562"/>
      <c r="G5" s="3545" t="s">
        <v>2899</v>
      </c>
      <c r="H5" s="3546"/>
      <c r="I5" s="3545" t="s">
        <v>2900</v>
      </c>
      <c r="J5" s="3546"/>
      <c r="K5" s="508"/>
      <c r="L5" s="2014"/>
      <c r="M5" s="2015"/>
      <c r="N5" s="2015"/>
      <c r="O5" s="2015"/>
      <c r="P5" s="3538"/>
      <c r="Q5" s="3539"/>
      <c r="R5" s="3524"/>
      <c r="S5" s="3525"/>
      <c r="T5" s="3524"/>
      <c r="U5" s="3525"/>
      <c r="V5" s="3542"/>
      <c r="W5" s="3542"/>
      <c r="X5" s="1500"/>
      <c r="Y5" s="3524"/>
      <c r="Z5" s="3525"/>
      <c r="AA5" s="3518"/>
      <c r="AB5" s="3518"/>
      <c r="AC5" s="3518"/>
    </row>
    <row r="6" spans="1:29" ht="15.75" thickBot="1">
      <c r="A6" s="511"/>
      <c r="B6" s="512"/>
      <c r="C6" s="3543" t="s">
        <v>2901</v>
      </c>
      <c r="D6" s="3544"/>
      <c r="E6" s="3563" t="s">
        <v>2901</v>
      </c>
      <c r="F6" s="3564"/>
      <c r="G6" s="3543" t="s">
        <v>2901</v>
      </c>
      <c r="H6" s="3544"/>
      <c r="I6" s="3543" t="s">
        <v>2901</v>
      </c>
      <c r="J6" s="3544"/>
      <c r="K6" s="508" t="s">
        <v>522</v>
      </c>
      <c r="L6" s="2014"/>
      <c r="M6" s="2015"/>
      <c r="N6" s="2015"/>
      <c r="O6" s="2015"/>
      <c r="P6" s="3540"/>
      <c r="Q6" s="3541"/>
      <c r="R6" s="3524"/>
      <c r="S6" s="3525"/>
      <c r="T6" s="3526"/>
      <c r="U6" s="3527"/>
      <c r="V6" s="3542"/>
      <c r="W6" s="3542"/>
      <c r="X6" s="1500"/>
      <c r="Y6" s="3526"/>
      <c r="Z6" s="3527"/>
      <c r="AA6" s="3519"/>
      <c r="AB6" s="3519"/>
      <c r="AC6" s="3519"/>
    </row>
    <row r="7" spans="1:29" s="1202" customFormat="1" ht="15.75" thickBot="1">
      <c r="A7" s="2628"/>
      <c r="B7" s="2635" t="s">
        <v>523</v>
      </c>
      <c r="C7" s="513">
        <f>'数据-取费表'!B2</f>
        <v>44077</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20" t="s">
        <v>524</v>
      </c>
      <c r="Q7" s="3529"/>
      <c r="R7" s="1501" t="s">
        <v>8</v>
      </c>
      <c r="S7" s="1502">
        <f t="shared" ref="S7:S15" si="0">F7</f>
        <v>0</v>
      </c>
      <c r="T7" s="1501" t="s">
        <v>8</v>
      </c>
      <c r="U7" s="1502">
        <f t="shared" ref="U7:U15" si="1">H7</f>
        <v>0</v>
      </c>
      <c r="V7" s="1501" t="s">
        <v>8</v>
      </c>
      <c r="W7" s="1502">
        <f t="shared" ref="W7:W15" si="2">J7</f>
        <v>0</v>
      </c>
      <c r="X7" s="1503"/>
      <c r="Y7" s="3520" t="s">
        <v>524</v>
      </c>
      <c r="Z7" s="3521"/>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20" t="s">
        <v>527</v>
      </c>
      <c r="Q8" s="3521"/>
      <c r="R8" s="1501" t="s">
        <v>8</v>
      </c>
      <c r="S8" s="1502">
        <f t="shared" si="0"/>
        <v>0</v>
      </c>
      <c r="T8" s="1501" t="s">
        <v>8</v>
      </c>
      <c r="U8" s="1502">
        <f t="shared" si="1"/>
        <v>0</v>
      </c>
      <c r="V8" s="1501" t="s">
        <v>8</v>
      </c>
      <c r="W8" s="1502">
        <f t="shared" si="2"/>
        <v>0</v>
      </c>
      <c r="X8" s="1503"/>
      <c r="Y8" s="3520" t="s">
        <v>527</v>
      </c>
      <c r="Z8" s="3521"/>
      <c r="AA8" s="1504" t="e">
        <f t="shared" ref="AA8:AA40" si="3">D8/F8</f>
        <v>#DIV/0!</v>
      </c>
      <c r="AB8" s="1504" t="e">
        <f t="shared" ref="AB8:AB40" si="4">D8/H8</f>
        <v>#DIV/0!</v>
      </c>
      <c r="AC8" s="1504"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28" t="s">
        <v>529</v>
      </c>
      <c r="Q9" s="1133" t="str">
        <f t="shared" ref="Q9:Q15" si="6">B9</f>
        <v>用途</v>
      </c>
      <c r="R9" s="1501" t="s">
        <v>8</v>
      </c>
      <c r="S9" s="1502">
        <f t="shared" si="0"/>
        <v>100</v>
      </c>
      <c r="T9" s="1501" t="s">
        <v>8</v>
      </c>
      <c r="U9" s="1502">
        <f t="shared" si="1"/>
        <v>100</v>
      </c>
      <c r="V9" s="1501" t="s">
        <v>8</v>
      </c>
      <c r="W9" s="1502">
        <f t="shared" si="2"/>
        <v>100</v>
      </c>
      <c r="X9" s="1503"/>
      <c r="Y9" s="3479"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28"/>
      <c r="Q10" s="1133" t="str">
        <f t="shared" si="6"/>
        <v>土地使用年限（年）</v>
      </c>
      <c r="R10" s="1501" t="s">
        <v>8</v>
      </c>
      <c r="S10" s="1502">
        <f t="shared" si="0"/>
        <v>100</v>
      </c>
      <c r="T10" s="1501" t="s">
        <v>8</v>
      </c>
      <c r="U10" s="1502">
        <f t="shared" si="1"/>
        <v>100</v>
      </c>
      <c r="V10" s="1501" t="s">
        <v>8</v>
      </c>
      <c r="W10" s="1502">
        <f t="shared" si="2"/>
        <v>100</v>
      </c>
      <c r="X10" s="1503"/>
      <c r="Y10" s="3479"/>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28"/>
      <c r="Q11" s="1133" t="str">
        <f t="shared" si="6"/>
        <v>容积率</v>
      </c>
      <c r="R11" s="1501" t="s">
        <v>8</v>
      </c>
      <c r="S11" s="1502" t="e">
        <f t="shared" si="0"/>
        <v>#N/A</v>
      </c>
      <c r="T11" s="1501" t="s">
        <v>8</v>
      </c>
      <c r="U11" s="1502" t="e">
        <f t="shared" si="1"/>
        <v>#N/A</v>
      </c>
      <c r="V11" s="1501" t="s">
        <v>8</v>
      </c>
      <c r="W11" s="1502" t="e">
        <f t="shared" si="2"/>
        <v>#N/A</v>
      </c>
      <c r="X11" s="1503"/>
      <c r="Y11" s="3479"/>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28"/>
      <c r="Q12" s="1133">
        <f t="shared" si="6"/>
        <v>111</v>
      </c>
      <c r="R12" s="1501" t="s">
        <v>8</v>
      </c>
      <c r="S12" s="1502">
        <f t="shared" si="0"/>
        <v>100</v>
      </c>
      <c r="T12" s="1501" t="s">
        <v>8</v>
      </c>
      <c r="U12" s="1502">
        <f t="shared" si="1"/>
        <v>100</v>
      </c>
      <c r="V12" s="1501" t="s">
        <v>8</v>
      </c>
      <c r="W12" s="1502">
        <f t="shared" si="2"/>
        <v>100</v>
      </c>
      <c r="X12" s="1503"/>
      <c r="Y12" s="3479"/>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28"/>
      <c r="Q13" s="1133">
        <f t="shared" si="6"/>
        <v>111</v>
      </c>
      <c r="R13" s="1501" t="s">
        <v>8</v>
      </c>
      <c r="S13" s="1502">
        <f t="shared" si="0"/>
        <v>100</v>
      </c>
      <c r="T13" s="1501" t="s">
        <v>8</v>
      </c>
      <c r="U13" s="1502">
        <f t="shared" si="1"/>
        <v>100</v>
      </c>
      <c r="V13" s="1501" t="s">
        <v>8</v>
      </c>
      <c r="W13" s="1502">
        <f t="shared" si="2"/>
        <v>100</v>
      </c>
      <c r="X13" s="1503"/>
      <c r="Y13" s="3479"/>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28"/>
      <c r="Q14" s="1133">
        <f t="shared" si="6"/>
        <v>111</v>
      </c>
      <c r="R14" s="1501" t="s">
        <v>8</v>
      </c>
      <c r="S14" s="1502">
        <f t="shared" si="0"/>
        <v>100</v>
      </c>
      <c r="T14" s="1501" t="s">
        <v>8</v>
      </c>
      <c r="U14" s="1502">
        <f t="shared" si="1"/>
        <v>100</v>
      </c>
      <c r="V14" s="1501" t="s">
        <v>8</v>
      </c>
      <c r="W14" s="1502">
        <f t="shared" si="2"/>
        <v>100</v>
      </c>
      <c r="X14" s="1503"/>
      <c r="Y14" s="3479"/>
      <c r="Z14" s="1132">
        <f t="shared" si="7"/>
        <v>111</v>
      </c>
      <c r="AA14" s="1504">
        <f t="shared" si="3"/>
        <v>1</v>
      </c>
      <c r="AB14" s="1504">
        <f t="shared" si="4"/>
        <v>1</v>
      </c>
      <c r="AC14" s="1504">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30" t="s">
        <v>534</v>
      </c>
      <c r="Q15" s="1505" t="str">
        <f t="shared" si="6"/>
        <v>产业集聚程度</v>
      </c>
      <c r="R15" s="1506" t="s">
        <v>8</v>
      </c>
      <c r="S15" s="1507">
        <f t="shared" si="0"/>
        <v>100</v>
      </c>
      <c r="T15" s="1506" t="s">
        <v>8</v>
      </c>
      <c r="U15" s="1507">
        <f t="shared" si="1"/>
        <v>100</v>
      </c>
      <c r="V15" s="1506" t="s">
        <v>8</v>
      </c>
      <c r="W15" s="1507">
        <f t="shared" si="2"/>
        <v>100</v>
      </c>
      <c r="X15" s="1500"/>
      <c r="Y15" s="3530"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31"/>
      <c r="Q16" s="1505"/>
      <c r="R16" s="1506"/>
      <c r="S16" s="1507"/>
      <c r="T16" s="1506"/>
      <c r="U16" s="1507"/>
      <c r="V16" s="1506"/>
      <c r="W16" s="1507"/>
      <c r="X16" s="1500"/>
      <c r="Y16" s="3531"/>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31"/>
      <c r="Q17" s="1505" t="str">
        <f>B17</f>
        <v>交通便捷度</v>
      </c>
      <c r="R17" s="1506" t="s">
        <v>8</v>
      </c>
      <c r="S17" s="1507">
        <f>F17</f>
        <v>100</v>
      </c>
      <c r="T17" s="1506" t="s">
        <v>8</v>
      </c>
      <c r="U17" s="1507">
        <f>H17</f>
        <v>100</v>
      </c>
      <c r="V17" s="1506" t="s">
        <v>8</v>
      </c>
      <c r="W17" s="1507">
        <f>J17</f>
        <v>100</v>
      </c>
      <c r="X17" s="1500"/>
      <c r="Y17" s="3531"/>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31"/>
      <c r="Q18" s="1505"/>
      <c r="R18" s="1506"/>
      <c r="S18" s="1507"/>
      <c r="T18" s="1506"/>
      <c r="U18" s="1507"/>
      <c r="V18" s="1506"/>
      <c r="W18" s="1507"/>
      <c r="X18" s="1500"/>
      <c r="Y18" s="3531"/>
      <c r="Z18" s="1508"/>
      <c r="AA18" s="1509">
        <v>1</v>
      </c>
      <c r="AB18" s="1509">
        <v>1</v>
      </c>
      <c r="AC18" s="1509">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31"/>
      <c r="Q19" s="1505" t="str">
        <f>B19</f>
        <v>公共配套设施</v>
      </c>
      <c r="R19" s="1506" t="s">
        <v>8</v>
      </c>
      <c r="S19" s="1507">
        <f>F19</f>
        <v>100</v>
      </c>
      <c r="T19" s="1506" t="s">
        <v>8</v>
      </c>
      <c r="U19" s="1507">
        <f>H19</f>
        <v>100</v>
      </c>
      <c r="V19" s="1506" t="s">
        <v>8</v>
      </c>
      <c r="W19" s="1507">
        <f>J19</f>
        <v>100</v>
      </c>
      <c r="X19" s="1500"/>
      <c r="Y19" s="3531"/>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31"/>
      <c r="Q20" s="1505"/>
      <c r="R20" s="1506"/>
      <c r="S20" s="1507"/>
      <c r="T20" s="1506"/>
      <c r="U20" s="1507"/>
      <c r="V20" s="1506"/>
      <c r="W20" s="1507"/>
      <c r="X20" s="1500"/>
      <c r="Y20" s="3531"/>
      <c r="Z20" s="1508"/>
      <c r="AA20" s="1509">
        <v>1</v>
      </c>
      <c r="AB20" s="1509">
        <v>1</v>
      </c>
      <c r="AC20" s="1509">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31"/>
      <c r="Q21" s="2428" t="str">
        <f>B21</f>
        <v>基础设施水平</v>
      </c>
      <c r="R21" s="1506" t="s">
        <v>8</v>
      </c>
      <c r="S21" s="1507">
        <f>F21</f>
        <v>100</v>
      </c>
      <c r="T21" s="1506" t="s">
        <v>8</v>
      </c>
      <c r="U21" s="1507">
        <f>H21</f>
        <v>100</v>
      </c>
      <c r="V21" s="1506" t="s">
        <v>8</v>
      </c>
      <c r="W21" s="1507">
        <f>J21</f>
        <v>100</v>
      </c>
      <c r="X21" s="2430"/>
      <c r="Y21" s="3531"/>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31"/>
      <c r="Q22" s="2428"/>
      <c r="R22" s="1506"/>
      <c r="S22" s="1507"/>
      <c r="T22" s="1506"/>
      <c r="U22" s="1507"/>
      <c r="V22" s="1506"/>
      <c r="W22" s="1507"/>
      <c r="X22" s="2430"/>
      <c r="Y22" s="3531"/>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31"/>
      <c r="Q23" s="1505" t="str">
        <f>B23</f>
        <v>环境质量</v>
      </c>
      <c r="R23" s="1506" t="s">
        <v>8</v>
      </c>
      <c r="S23" s="1507">
        <f>F23</f>
        <v>100</v>
      </c>
      <c r="T23" s="1506" t="s">
        <v>8</v>
      </c>
      <c r="U23" s="1507">
        <f>H23</f>
        <v>100</v>
      </c>
      <c r="V23" s="1506" t="s">
        <v>8</v>
      </c>
      <c r="W23" s="1507">
        <f>J23</f>
        <v>100</v>
      </c>
      <c r="X23" s="1500"/>
      <c r="Y23" s="3531"/>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31"/>
      <c r="Q24" s="1505"/>
      <c r="R24" s="1506"/>
      <c r="S24" s="1507"/>
      <c r="T24" s="1506"/>
      <c r="U24" s="1507"/>
      <c r="V24" s="1506"/>
      <c r="W24" s="1507"/>
      <c r="X24" s="1500"/>
      <c r="Y24" s="3531"/>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31"/>
      <c r="Q25" s="1505">
        <f>B25</f>
        <v>111</v>
      </c>
      <c r="R25" s="1506" t="s">
        <v>8</v>
      </c>
      <c r="S25" s="1507">
        <f>F25</f>
        <v>100</v>
      </c>
      <c r="T25" s="1506" t="s">
        <v>8</v>
      </c>
      <c r="U25" s="1507">
        <f>H25</f>
        <v>100</v>
      </c>
      <c r="V25" s="1506" t="s">
        <v>8</v>
      </c>
      <c r="W25" s="1507">
        <f>J25</f>
        <v>100</v>
      </c>
      <c r="X25" s="1500"/>
      <c r="Y25" s="3531"/>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31"/>
      <c r="Q26" s="1505">
        <f t="shared" ref="Q26:Q40" si="11">B26</f>
        <v>111</v>
      </c>
      <c r="R26" s="1506" t="s">
        <v>8</v>
      </c>
      <c r="S26" s="1507">
        <f>F26</f>
        <v>100</v>
      </c>
      <c r="T26" s="1506" t="s">
        <v>8</v>
      </c>
      <c r="U26" s="1507">
        <f>H26</f>
        <v>100</v>
      </c>
      <c r="V26" s="1506" t="s">
        <v>8</v>
      </c>
      <c r="W26" s="1507">
        <f>J26</f>
        <v>100</v>
      </c>
      <c r="X26" s="1500"/>
      <c r="Y26" s="3531"/>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31"/>
      <c r="Q27" s="1133">
        <f t="shared" si="11"/>
        <v>111</v>
      </c>
      <c r="R27" s="1501" t="s">
        <v>8</v>
      </c>
      <c r="S27" s="1502">
        <f>F27</f>
        <v>100</v>
      </c>
      <c r="T27" s="1501" t="s">
        <v>8</v>
      </c>
      <c r="U27" s="1502">
        <f>H27</f>
        <v>100</v>
      </c>
      <c r="V27" s="1501" t="s">
        <v>8</v>
      </c>
      <c r="W27" s="1502">
        <f>J27</f>
        <v>100</v>
      </c>
      <c r="X27" s="1503"/>
      <c r="Y27" s="3531"/>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31"/>
      <c r="Q28" s="1505">
        <f t="shared" si="11"/>
        <v>111</v>
      </c>
      <c r="R28" s="1506" t="s">
        <v>8</v>
      </c>
      <c r="S28" s="1507">
        <f t="shared" ref="S28:S40" si="12">F28</f>
        <v>100</v>
      </c>
      <c r="T28" s="1506" t="s">
        <v>8</v>
      </c>
      <c r="U28" s="1507">
        <f t="shared" ref="U28:U40" si="13">H28</f>
        <v>100</v>
      </c>
      <c r="V28" s="1506" t="s">
        <v>8</v>
      </c>
      <c r="W28" s="1507">
        <f t="shared" ref="W28:W40" si="14">J28</f>
        <v>100</v>
      </c>
      <c r="X28" s="1500"/>
      <c r="Y28" s="3531"/>
      <c r="Z28" s="1508">
        <f t="shared" ref="Z28:Z40" si="15">Q28</f>
        <v>111</v>
      </c>
      <c r="AA28" s="1509">
        <f t="shared" si="3"/>
        <v>1</v>
      </c>
      <c r="AB28" s="1509">
        <f t="shared" si="4"/>
        <v>1</v>
      </c>
      <c r="AC28" s="1509">
        <f t="shared" si="5"/>
        <v>1</v>
      </c>
    </row>
    <row r="29" spans="1:29" ht="15">
      <c r="A29" s="2623"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32" t="s">
        <v>544</v>
      </c>
      <c r="Q29" s="1505" t="str">
        <f t="shared" si="11"/>
        <v>建筑类型</v>
      </c>
      <c r="R29" s="1506" t="s">
        <v>8</v>
      </c>
      <c r="S29" s="1507">
        <f t="shared" si="12"/>
        <v>100</v>
      </c>
      <c r="T29" s="1506" t="s">
        <v>8</v>
      </c>
      <c r="U29" s="1507">
        <f t="shared" si="13"/>
        <v>100</v>
      </c>
      <c r="V29" s="1506" t="s">
        <v>8</v>
      </c>
      <c r="W29" s="1507">
        <f t="shared" si="14"/>
        <v>100</v>
      </c>
      <c r="X29" s="1500"/>
      <c r="Y29" s="3533"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33"/>
      <c r="Q30" s="1534" t="str">
        <f t="shared" si="11"/>
        <v>项目建筑规模</v>
      </c>
      <c r="R30" s="1510" t="s">
        <v>8</v>
      </c>
      <c r="S30" s="1511" t="e">
        <f t="shared" si="12"/>
        <v>#N/A</v>
      </c>
      <c r="T30" s="1510" t="s">
        <v>8</v>
      </c>
      <c r="U30" s="1511" t="e">
        <f t="shared" si="13"/>
        <v>#N/A</v>
      </c>
      <c r="V30" s="1510" t="s">
        <v>8</v>
      </c>
      <c r="W30" s="1511" t="e">
        <f t="shared" si="14"/>
        <v>#N/A</v>
      </c>
      <c r="X30" s="1512"/>
      <c r="Y30" s="3533"/>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33"/>
      <c r="Q31" s="1505" t="str">
        <f t="shared" si="11"/>
        <v>建筑结构</v>
      </c>
      <c r="R31" s="1506" t="s">
        <v>8</v>
      </c>
      <c r="S31" s="1507">
        <f t="shared" si="12"/>
        <v>100</v>
      </c>
      <c r="T31" s="1506" t="s">
        <v>8</v>
      </c>
      <c r="U31" s="1507">
        <f t="shared" si="13"/>
        <v>100</v>
      </c>
      <c r="V31" s="1506" t="s">
        <v>8</v>
      </c>
      <c r="W31" s="1507">
        <f t="shared" si="14"/>
        <v>100</v>
      </c>
      <c r="X31" s="1500"/>
      <c r="Y31" s="3533"/>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33"/>
      <c r="Q32" s="1505" t="str">
        <f t="shared" si="11"/>
        <v>公共部分装修</v>
      </c>
      <c r="R32" s="1506" t="s">
        <v>8</v>
      </c>
      <c r="S32" s="1507">
        <f t="shared" si="12"/>
        <v>100</v>
      </c>
      <c r="T32" s="1506" t="s">
        <v>8</v>
      </c>
      <c r="U32" s="1507">
        <f t="shared" si="13"/>
        <v>100</v>
      </c>
      <c r="V32" s="1506" t="s">
        <v>8</v>
      </c>
      <c r="W32" s="1507">
        <f t="shared" si="14"/>
        <v>100</v>
      </c>
      <c r="X32" s="1500"/>
      <c r="Y32" s="3533"/>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33"/>
      <c r="Q33" s="1505" t="str">
        <f t="shared" si="11"/>
        <v>成新度</v>
      </c>
      <c r="R33" s="1506" t="s">
        <v>8</v>
      </c>
      <c r="S33" s="1507" t="e">
        <f t="shared" si="12"/>
        <v>#N/A</v>
      </c>
      <c r="T33" s="1506" t="s">
        <v>8</v>
      </c>
      <c r="U33" s="1507" t="e">
        <f t="shared" si="13"/>
        <v>#N/A</v>
      </c>
      <c r="V33" s="1506" t="s">
        <v>8</v>
      </c>
      <c r="W33" s="1507" t="e">
        <f t="shared" si="14"/>
        <v>#N/A</v>
      </c>
      <c r="X33" s="1500"/>
      <c r="Y33" s="3533"/>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33"/>
      <c r="Q34" s="1133" t="str">
        <f t="shared" si="11"/>
        <v>物业管理</v>
      </c>
      <c r="R34" s="1501" t="s">
        <v>8</v>
      </c>
      <c r="S34" s="1502">
        <f t="shared" si="12"/>
        <v>100</v>
      </c>
      <c r="T34" s="1501" t="s">
        <v>8</v>
      </c>
      <c r="U34" s="1502">
        <f t="shared" si="13"/>
        <v>100</v>
      </c>
      <c r="V34" s="1501" t="s">
        <v>8</v>
      </c>
      <c r="W34" s="1502">
        <f t="shared" si="14"/>
        <v>100</v>
      </c>
      <c r="X34" s="1503"/>
      <c r="Y34" s="3533"/>
      <c r="Z34" s="1132" t="str">
        <f t="shared" si="15"/>
        <v>物业管理</v>
      </c>
      <c r="AA34" s="1504">
        <f t="shared" si="3"/>
        <v>1</v>
      </c>
      <c r="AB34" s="1504">
        <f t="shared" si="4"/>
        <v>1</v>
      </c>
      <c r="AC34" s="1504">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33" t="s">
        <v>544</v>
      </c>
      <c r="Q35" s="1505" t="str">
        <f t="shared" si="11"/>
        <v>市政基础设施</v>
      </c>
      <c r="R35" s="1506" t="s">
        <v>8</v>
      </c>
      <c r="S35" s="1507">
        <f t="shared" si="12"/>
        <v>100</v>
      </c>
      <c r="T35" s="1506" t="s">
        <v>8</v>
      </c>
      <c r="U35" s="1507">
        <f t="shared" si="13"/>
        <v>100</v>
      </c>
      <c r="V35" s="1506" t="s">
        <v>8</v>
      </c>
      <c r="W35" s="1507">
        <f t="shared" si="14"/>
        <v>100</v>
      </c>
      <c r="X35" s="1500"/>
      <c r="Y35" s="3533"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33"/>
      <c r="Q36" s="1505" t="str">
        <f t="shared" si="11"/>
        <v>内部装修</v>
      </c>
      <c r="R36" s="1506" t="s">
        <v>8</v>
      </c>
      <c r="S36" s="1507">
        <f t="shared" si="12"/>
        <v>100</v>
      </c>
      <c r="T36" s="1506" t="s">
        <v>8</v>
      </c>
      <c r="U36" s="1507">
        <f t="shared" si="13"/>
        <v>100</v>
      </c>
      <c r="V36" s="1506" t="s">
        <v>8</v>
      </c>
      <c r="W36" s="1507">
        <f t="shared" si="14"/>
        <v>100</v>
      </c>
      <c r="X36" s="1500"/>
      <c r="Y36" s="3533"/>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33"/>
      <c r="Q37" s="1505" t="str">
        <f t="shared" si="11"/>
        <v>内部装修状况</v>
      </c>
      <c r="R37" s="1506" t="s">
        <v>8</v>
      </c>
      <c r="S37" s="1507">
        <f t="shared" si="12"/>
        <v>100</v>
      </c>
      <c r="T37" s="1506" t="s">
        <v>8</v>
      </c>
      <c r="U37" s="1507">
        <f t="shared" si="13"/>
        <v>100</v>
      </c>
      <c r="V37" s="1506" t="s">
        <v>8</v>
      </c>
      <c r="W37" s="1507">
        <f t="shared" si="14"/>
        <v>100</v>
      </c>
      <c r="X37" s="1500"/>
      <c r="Y37" s="3533"/>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33"/>
      <c r="Q38" s="1534">
        <f t="shared" si="11"/>
        <v>111</v>
      </c>
      <c r="R38" s="1510" t="s">
        <v>8</v>
      </c>
      <c r="S38" s="1511">
        <f t="shared" si="12"/>
        <v>100</v>
      </c>
      <c r="T38" s="1510" t="s">
        <v>8</v>
      </c>
      <c r="U38" s="1511">
        <f t="shared" si="13"/>
        <v>100</v>
      </c>
      <c r="V38" s="1510" t="s">
        <v>8</v>
      </c>
      <c r="W38" s="1511">
        <f t="shared" si="14"/>
        <v>100</v>
      </c>
      <c r="X38" s="1512"/>
      <c r="Y38" s="3533"/>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33"/>
      <c r="Q39" s="1505">
        <f t="shared" si="11"/>
        <v>111</v>
      </c>
      <c r="R39" s="1506" t="s">
        <v>8</v>
      </c>
      <c r="S39" s="1507">
        <f t="shared" si="12"/>
        <v>100</v>
      </c>
      <c r="T39" s="1506" t="s">
        <v>8</v>
      </c>
      <c r="U39" s="1507">
        <f t="shared" si="13"/>
        <v>100</v>
      </c>
      <c r="V39" s="1506" t="s">
        <v>8</v>
      </c>
      <c r="W39" s="1507">
        <f t="shared" si="14"/>
        <v>100</v>
      </c>
      <c r="X39" s="1500"/>
      <c r="Y39" s="3533"/>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13"/>
      <c r="Q40" s="1505">
        <f t="shared" si="11"/>
        <v>111</v>
      </c>
      <c r="R40" s="1506" t="s">
        <v>8</v>
      </c>
      <c r="S40" s="1507">
        <f t="shared" si="12"/>
        <v>100</v>
      </c>
      <c r="T40" s="1506" t="s">
        <v>8</v>
      </c>
      <c r="U40" s="1507">
        <f t="shared" si="13"/>
        <v>100</v>
      </c>
      <c r="V40" s="1506" t="s">
        <v>8</v>
      </c>
      <c r="W40" s="1507">
        <f t="shared" si="14"/>
        <v>100</v>
      </c>
      <c r="X40" s="1500"/>
      <c r="Y40" s="3613"/>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528" t="str">
        <f>A41</f>
        <v>成交单价（元/平方米）</v>
      </c>
      <c r="Q41" s="3528"/>
      <c r="R41" s="3612">
        <f>E41</f>
        <v>0</v>
      </c>
      <c r="S41" s="3612"/>
      <c r="T41" s="3612">
        <f>G41</f>
        <v>0</v>
      </c>
      <c r="U41" s="3612"/>
      <c r="V41" s="3612">
        <f>I41</f>
        <v>0</v>
      </c>
      <c r="W41" s="3612"/>
      <c r="X41" s="1495"/>
      <c r="Y41" s="1514"/>
      <c r="Z41" s="1495"/>
      <c r="AA41" s="1495"/>
      <c r="AB41" s="1495"/>
      <c r="AC41" s="1495"/>
    </row>
    <row r="42" spans="1:29" ht="15.75" thickBot="1">
      <c r="A42" s="609" t="s">
        <v>2740</v>
      </c>
      <c r="B42" s="876"/>
      <c r="C42" s="2475" t="e">
        <f>R43</f>
        <v>#DIV/0!</v>
      </c>
      <c r="D42" s="3013" t="s">
        <v>2972</v>
      </c>
      <c r="E42" s="2476" t="e">
        <f>R42</f>
        <v>#DIV/0!</v>
      </c>
      <c r="F42" s="3014"/>
      <c r="G42" s="2475" t="e">
        <f>T42</f>
        <v>#DIV/0!</v>
      </c>
      <c r="H42" s="3014"/>
      <c r="I42" s="2476" t="e">
        <f>V42</f>
        <v>#DIV/0!</v>
      </c>
      <c r="J42" s="3014"/>
      <c r="K42" s="3022">
        <f>F42+H42+J42</f>
        <v>0</v>
      </c>
      <c r="L42" s="2025"/>
      <c r="M42" s="2026"/>
      <c r="N42" s="2015"/>
      <c r="O42" s="2026"/>
      <c r="P42" s="3528" t="str">
        <f>A42</f>
        <v>比较价格（元/平方米）</v>
      </c>
      <c r="Q42" s="3528"/>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1495"/>
      <c r="Y42" s="1495"/>
      <c r="Z42" s="1495"/>
      <c r="AA42" s="1495"/>
      <c r="AB42" s="1495"/>
      <c r="AC42" s="1495"/>
    </row>
    <row r="43" spans="1:29" ht="15.75" thickBot="1">
      <c r="A43" s="613" t="s">
        <v>2903</v>
      </c>
      <c r="B43" s="614"/>
      <c r="C43" s="2477" t="e">
        <f>R43</f>
        <v>#DIV/0!</v>
      </c>
      <c r="D43" s="2477"/>
      <c r="E43" s="2477"/>
      <c r="F43" s="2477"/>
      <c r="G43" s="2477"/>
      <c r="H43" s="2477"/>
      <c r="I43" s="2477"/>
      <c r="J43" s="2477"/>
      <c r="K43" s="1540"/>
      <c r="L43" s="2025"/>
      <c r="M43" s="2026"/>
      <c r="N43" s="2026"/>
      <c r="O43" s="2026"/>
      <c r="P43" s="3549" t="str">
        <f>A43</f>
        <v>估价对象XX用房的比较价格（楼面单价，元/平方米）</v>
      </c>
      <c r="Q43" s="3550"/>
      <c r="R43" s="3611" t="e">
        <f>IF(F1="售价",ROUND(IF(D42="简单平均",AVERAGE(R42:V42),R42*F42+T42*H42+V42*J42),0),ROUND(IF(D42="简单平均",AVERAGE(R42:V42),R42*F42+T42*H42+V42*J42),1))</f>
        <v>#DIV/0!</v>
      </c>
      <c r="S43" s="3611"/>
      <c r="T43" s="3611"/>
      <c r="U43" s="3611"/>
      <c r="V43" s="3611"/>
      <c r="W43" s="3611"/>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2020-9</v>
      </c>
      <c r="D52" s="2520">
        <f>EDATE(C52,-1)</f>
        <v>44044</v>
      </c>
      <c r="E52" s="2520">
        <f t="shared" ref="E52:O52" si="16">EDATE(D52,-1)</f>
        <v>44013</v>
      </c>
      <c r="F52" s="2520">
        <f t="shared" si="16"/>
        <v>43983</v>
      </c>
      <c r="G52" s="2520">
        <f t="shared" si="16"/>
        <v>43952</v>
      </c>
      <c r="H52" s="2520">
        <f t="shared" si="16"/>
        <v>43922</v>
      </c>
      <c r="I52" s="2520">
        <f t="shared" si="16"/>
        <v>43891</v>
      </c>
      <c r="J52" s="2520">
        <f t="shared" si="16"/>
        <v>43862</v>
      </c>
      <c r="K52" s="2520">
        <f t="shared" si="16"/>
        <v>43831</v>
      </c>
      <c r="L52" s="2520">
        <f t="shared" si="16"/>
        <v>43800</v>
      </c>
      <c r="M52" s="2520">
        <f t="shared" si="16"/>
        <v>43770</v>
      </c>
      <c r="N52" s="2520">
        <f t="shared" si="16"/>
        <v>43739</v>
      </c>
      <c r="O52" s="2520">
        <f t="shared" si="16"/>
        <v>43709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9" priority="19" stopIfTrue="1" operator="containsText" text="超过">
      <formula>NOT(ISERROR(SEARCH("超过",F46)))</formula>
    </cfRule>
  </conditionalFormatting>
  <conditionalFormatting sqref="H48">
    <cfRule type="containsText" dxfId="58" priority="18" stopIfTrue="1" operator="containsText" text="超过">
      <formula>NOT(ISERROR(SEARCH("超过",H48)))</formula>
    </cfRule>
  </conditionalFormatting>
  <conditionalFormatting sqref="F48">
    <cfRule type="containsText" dxfId="57" priority="17" stopIfTrue="1" operator="containsText" text="超过">
      <formula>NOT(ISERROR(SEARCH("超过",F48)))</formula>
    </cfRule>
  </conditionalFormatting>
  <conditionalFormatting sqref="F47 H47">
    <cfRule type="containsText" dxfId="56" priority="16" stopIfTrue="1" operator="containsText" text="超过">
      <formula>NOT(ISERROR(SEARCH("超过",F47)))</formula>
    </cfRule>
  </conditionalFormatting>
  <conditionalFormatting sqref="E46">
    <cfRule type="expression" dxfId="55" priority="15" stopIfTrue="1">
      <formula>$F$46="超过30%"</formula>
    </cfRule>
  </conditionalFormatting>
  <conditionalFormatting sqref="E47">
    <cfRule type="expression" dxfId="54" priority="14" stopIfTrue="1">
      <formula>$F$47="超过20%"</formula>
    </cfRule>
  </conditionalFormatting>
  <conditionalFormatting sqref="E48">
    <cfRule type="expression" dxfId="53" priority="13" stopIfTrue="1">
      <formula>$F$48="超过30%"</formula>
    </cfRule>
  </conditionalFormatting>
  <conditionalFormatting sqref="G48">
    <cfRule type="expression" dxfId="52" priority="12" stopIfTrue="1">
      <formula>$H$48="超过30%"</formula>
    </cfRule>
  </conditionalFormatting>
  <conditionalFormatting sqref="G46">
    <cfRule type="expression" dxfId="51" priority="11" stopIfTrue="1">
      <formula>$H$46="超过30%"</formula>
    </cfRule>
  </conditionalFormatting>
  <conditionalFormatting sqref="G47">
    <cfRule type="expression" dxfId="50" priority="10" stopIfTrue="1">
      <formula>$H$47="超过20%"</formula>
    </cfRule>
  </conditionalFormatting>
  <conditionalFormatting sqref="J46">
    <cfRule type="containsText" dxfId="49" priority="9" stopIfTrue="1" operator="containsText" text="超过">
      <formula>NOT(ISERROR(SEARCH("超过",J46)))</formula>
    </cfRule>
  </conditionalFormatting>
  <conditionalFormatting sqref="J48">
    <cfRule type="containsText" dxfId="48" priority="8" stopIfTrue="1" operator="containsText" text="超过">
      <formula>NOT(ISERROR(SEARCH("超过",J48)))</formula>
    </cfRule>
  </conditionalFormatting>
  <conditionalFormatting sqref="J47">
    <cfRule type="containsText" dxfId="47" priority="7" stopIfTrue="1" operator="containsText" text="超过">
      <formula>NOT(ISERROR(SEARCH("超过",J47)))</formula>
    </cfRule>
  </conditionalFormatting>
  <conditionalFormatting sqref="I46">
    <cfRule type="expression" dxfId="46" priority="6" stopIfTrue="1">
      <formula>$J$46="超过30%"</formula>
    </cfRule>
  </conditionalFormatting>
  <conditionalFormatting sqref="I47">
    <cfRule type="expression" dxfId="45" priority="5" stopIfTrue="1">
      <formula>$J$47="超过20%"</formula>
    </cfRule>
  </conditionalFormatting>
  <conditionalFormatting sqref="I48">
    <cfRule type="expression" dxfId="44" priority="4" stopIfTrue="1">
      <formula>$J$48="超过30%"</formula>
    </cfRule>
  </conditionalFormatting>
  <conditionalFormatting sqref="F42">
    <cfRule type="expression" dxfId="43" priority="3">
      <formula>$D$42="简单平均"</formula>
    </cfRule>
  </conditionalFormatting>
  <conditionalFormatting sqref="H42">
    <cfRule type="expression" dxfId="42" priority="2">
      <formula>$D$42="简单平均"</formula>
    </cfRule>
  </conditionalFormatting>
  <conditionalFormatting sqref="J42">
    <cfRule type="expression" dxfId="41"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P30" sqref="P30"/>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A4" sqref="A4:F4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3019</v>
      </c>
      <c r="D1" s="2797" t="s">
        <v>3048</v>
      </c>
      <c r="E1" s="2241" t="s">
        <v>2358</v>
      </c>
      <c r="F1" s="2242">
        <f ca="1">J53</f>
        <v>33.229999999999997</v>
      </c>
      <c r="G1" s="3258">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788</v>
      </c>
      <c r="B2" s="765">
        <f ca="1">C40+J29+L46</f>
        <v>12161</v>
      </c>
      <c r="C2" s="3263"/>
      <c r="D2" s="3264"/>
      <c r="E2" s="3265"/>
      <c r="F2" s="3265"/>
      <c r="G2" s="3259"/>
      <c r="H2" s="1939"/>
      <c r="I2" s="1939"/>
      <c r="J2" s="1939"/>
      <c r="K2" s="1940"/>
      <c r="L2" s="1939"/>
      <c r="M2" s="1939"/>
    </row>
    <row r="3" spans="1:33" ht="18" customHeight="1" thickBot="1">
      <c r="A3" s="822" t="s">
        <v>789</v>
      </c>
      <c r="B3" s="823">
        <f ca="1">IF(ISERROR(B2*10000/F43),0,ROUND(B2*10000/F43,0))</f>
        <v>1880</v>
      </c>
      <c r="C3" s="3263"/>
      <c r="D3" s="3264"/>
      <c r="E3" s="3265"/>
      <c r="F3" s="3265"/>
      <c r="G3" s="3259"/>
      <c r="H3" s="766" t="s">
        <v>689</v>
      </c>
      <c r="I3" s="1315"/>
      <c r="J3" s="1315"/>
      <c r="K3" s="1524"/>
      <c r="L3" s="1315"/>
      <c r="M3" s="1315"/>
    </row>
    <row r="4" spans="1:33" ht="18" customHeight="1">
      <c r="A4" s="767" t="s">
        <v>1718</v>
      </c>
      <c r="B4" s="768" t="s">
        <v>1719</v>
      </c>
      <c r="C4" s="768" t="s">
        <v>1720</v>
      </c>
      <c r="D4" s="768" t="s">
        <v>627</v>
      </c>
      <c r="E4" s="769" t="s">
        <v>1721</v>
      </c>
      <c r="F4" s="770"/>
      <c r="G4" s="1944"/>
      <c r="H4" s="767" t="s">
        <v>1718</v>
      </c>
      <c r="I4" s="768" t="s">
        <v>1719</v>
      </c>
      <c r="J4" s="768" t="s">
        <v>1720</v>
      </c>
      <c r="K4" s="768" t="s">
        <v>1725</v>
      </c>
      <c r="L4" s="769" t="s">
        <v>1721</v>
      </c>
      <c r="M4" s="770"/>
    </row>
    <row r="5" spans="1:33" ht="18" customHeight="1">
      <c r="A5" s="771">
        <v>1</v>
      </c>
      <c r="B5" s="772" t="s">
        <v>2439</v>
      </c>
      <c r="C5" s="55">
        <f ca="1">C6+C10+C12</f>
        <v>941</v>
      </c>
      <c r="D5" s="2348" t="s">
        <v>2442</v>
      </c>
      <c r="E5" s="2342"/>
      <c r="F5" s="2343"/>
      <c r="G5" s="1944"/>
      <c r="H5" s="771">
        <v>1</v>
      </c>
      <c r="I5" s="772" t="s">
        <v>2439</v>
      </c>
      <c r="J5" s="55">
        <f ca="1">J6+J10+J12</f>
        <v>0</v>
      </c>
      <c r="K5" s="2348" t="s">
        <v>2442</v>
      </c>
      <c r="L5" s="2342"/>
      <c r="M5" s="2343"/>
    </row>
    <row r="6" spans="1:33" ht="18" customHeight="1">
      <c r="A6" s="1744" t="s">
        <v>1814</v>
      </c>
      <c r="B6" s="3603" t="s">
        <v>2444</v>
      </c>
      <c r="C6" s="773">
        <f ca="1">ROUND(F6*F8*F7*(1-F9)/10000,0)</f>
        <v>941</v>
      </c>
      <c r="D6" s="2349" t="s">
        <v>2443</v>
      </c>
      <c r="E6" s="774" t="s">
        <v>1728</v>
      </c>
      <c r="F6" s="775">
        <f ca="1">INDIRECT("'数据-取费表'!u"&amp;$G$1)</f>
        <v>500</v>
      </c>
      <c r="G6" s="1944"/>
      <c r="H6" s="2356" t="s">
        <v>1814</v>
      </c>
      <c r="I6" s="3603" t="s">
        <v>2444</v>
      </c>
      <c r="J6" s="773">
        <f ca="1">ROUND(M6*M8*M7*(1-M9)/10000,0)</f>
        <v>0</v>
      </c>
      <c r="K6" s="339" t="s">
        <v>1727</v>
      </c>
      <c r="L6" s="774" t="s">
        <v>1728</v>
      </c>
      <c r="M6" s="775">
        <f ca="1">INDIRECT("'数据-取费表'!z"&amp;$G$1)</f>
        <v>0</v>
      </c>
    </row>
    <row r="7" spans="1:33" ht="18" customHeight="1">
      <c r="A7" s="2352"/>
      <c r="B7" s="3604"/>
      <c r="C7" s="778"/>
      <c r="D7" s="779"/>
      <c r="E7" s="774" t="s">
        <v>1729</v>
      </c>
      <c r="F7" s="775">
        <f ca="1">IF(INDIRECT("'数据-取费表'!ah"&amp;$G$1)="",INDIRECT("'数据-取费表'!k"&amp;$G$1),INDIRECT("'数据-取费表'!ah"&amp;$G$1))</f>
        <v>1845</v>
      </c>
      <c r="G7" s="1944"/>
      <c r="H7" s="2341"/>
      <c r="I7" s="3604"/>
      <c r="J7" s="778"/>
      <c r="K7" s="779"/>
      <c r="L7" s="774" t="s">
        <v>1729</v>
      </c>
      <c r="M7" s="775">
        <f ca="1">F7</f>
        <v>1845</v>
      </c>
    </row>
    <row r="8" spans="1:33" ht="18" customHeight="1">
      <c r="A8" s="2345"/>
      <c r="B8" s="3605"/>
      <c r="C8" s="778"/>
      <c r="D8" s="779"/>
      <c r="E8" s="774" t="s">
        <v>1730</v>
      </c>
      <c r="F8" s="775">
        <f ca="1">INDIRECT("'数据-取费表'!ai"&amp;$G$1)</f>
        <v>12</v>
      </c>
      <c r="G8" s="1944"/>
      <c r="H8" s="2341"/>
      <c r="I8" s="3605"/>
      <c r="J8" s="778"/>
      <c r="K8" s="779"/>
      <c r="L8" s="774" t="s">
        <v>1730</v>
      </c>
      <c r="M8" s="775">
        <f ca="1">INDIRECT("'数据-取费表'!ai"&amp;$G$1)</f>
        <v>12</v>
      </c>
    </row>
    <row r="9" spans="1:33" ht="18" customHeight="1">
      <c r="A9" s="776"/>
      <c r="B9" s="3606"/>
      <c r="C9" s="778"/>
      <c r="D9" s="779"/>
      <c r="E9" s="774" t="s">
        <v>1731</v>
      </c>
      <c r="F9" s="784">
        <f ca="1">INDIRECT("'数据-取费表'!w"&amp;$G$1)</f>
        <v>0.15</v>
      </c>
      <c r="G9" s="1944"/>
      <c r="H9" s="2357"/>
      <c r="I9" s="3605"/>
      <c r="J9" s="778"/>
      <c r="K9" s="779"/>
      <c r="L9" s="785" t="s">
        <v>1731</v>
      </c>
      <c r="M9" s="786">
        <f ca="1">INDIRECT("'数据-取费表'!ab"&amp;$G$1)</f>
        <v>0</v>
      </c>
    </row>
    <row r="10" spans="1:33" ht="18" customHeight="1">
      <c r="A10" s="1744" t="s">
        <v>1815</v>
      </c>
      <c r="B10" s="2346" t="s">
        <v>2440</v>
      </c>
      <c r="C10" s="789">
        <f ca="1">ROUND(IF(F10="押一",C6/12*F11,IF(F10="押二",C6/12*2*F11,IF(F10="押三",C6/12*3*F11,C11*F11))),0)</f>
        <v>0</v>
      </c>
      <c r="D10" s="2353" t="s">
        <v>2938</v>
      </c>
      <c r="E10" s="2350" t="s">
        <v>2445</v>
      </c>
      <c r="F10" s="2464" t="s">
        <v>3049</v>
      </c>
      <c r="G10" s="1944"/>
      <c r="H10" s="2413" t="s">
        <v>1815</v>
      </c>
      <c r="I10" s="2418" t="s">
        <v>2440</v>
      </c>
      <c r="J10" s="773">
        <f ca="1">ROUND(IF(M10="押一",J6/12*M11,IF(M10="押二",J6/12*2*M11,IF(M10="押三",J6/12*3*M11,J11*M11))),0)</f>
        <v>0</v>
      </c>
      <c r="K10" s="2353" t="s">
        <v>2938</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2448</v>
      </c>
      <c r="I12" s="2416" t="s">
        <v>2441</v>
      </c>
      <c r="J12" s="2417"/>
      <c r="K12" s="2392"/>
      <c r="L12" s="2393"/>
      <c r="M12" s="2406"/>
    </row>
    <row r="13" spans="1:33" ht="18" customHeight="1" thickTop="1">
      <c r="A13" s="1743">
        <v>2</v>
      </c>
      <c r="B13" s="1741" t="s">
        <v>1732</v>
      </c>
      <c r="C13" s="782">
        <f ca="1">ROUND(C29*F13,0)</f>
        <v>19051</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1821</v>
      </c>
      <c r="B14" s="774" t="s">
        <v>639</v>
      </c>
      <c r="C14" s="794">
        <f ca="1">INDIRECT("'数据-取费表'!m"&amp;$G$1)+INDIRECT("'数据-取费表'!t"&amp;$G$1)</f>
        <v>14240</v>
      </c>
      <c r="D14" s="3277" t="s">
        <v>1735</v>
      </c>
      <c r="E14" s="3276"/>
      <c r="F14" s="795"/>
      <c r="G14" s="1944"/>
      <c r="H14" s="1576" t="s">
        <v>1814</v>
      </c>
      <c r="I14" s="2110" t="s">
        <v>2804</v>
      </c>
      <c r="J14" s="53">
        <f ca="1">C29</f>
        <v>19051</v>
      </c>
      <c r="K14" s="26"/>
      <c r="L14" s="791"/>
      <c r="M14" s="792"/>
    </row>
    <row r="15" spans="1:33" s="1946" customFormat="1" ht="18" customHeight="1" thickBot="1">
      <c r="A15" s="1575" t="s">
        <v>1822</v>
      </c>
      <c r="B15" s="774" t="s">
        <v>641</v>
      </c>
      <c r="C15" s="53">
        <f ca="1">ROUND(C14*F15,0)</f>
        <v>427</v>
      </c>
      <c r="D15" s="796" t="s">
        <v>1736</v>
      </c>
      <c r="E15" s="796" t="s">
        <v>1737</v>
      </c>
      <c r="F15" s="797">
        <f>'数据-取费表'!B33</f>
        <v>0.03</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1823</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1791</v>
      </c>
      <c r="K16" s="1735" t="s">
        <v>1740</v>
      </c>
      <c r="L16" s="3279"/>
      <c r="M16" s="2343"/>
    </row>
    <row r="17" spans="1:33" s="1946" customFormat="1" ht="18" customHeight="1">
      <c r="A17" s="1575" t="s">
        <v>1877</v>
      </c>
      <c r="B17" s="774" t="s">
        <v>647</v>
      </c>
      <c r="C17" s="53">
        <f ca="1">ROUND(F17*(F43+INDIRECT("'数据-取费表'!S"&amp;$G$1))/10000,0)</f>
        <v>971</v>
      </c>
      <c r="D17" s="774" t="s">
        <v>1741</v>
      </c>
      <c r="E17" s="774" t="s">
        <v>1742</v>
      </c>
      <c r="F17" s="56">
        <f>'数据-取费表'!B35</f>
        <v>150</v>
      </c>
      <c r="G17" s="3260"/>
      <c r="H17" s="1576" t="s">
        <v>1814</v>
      </c>
      <c r="I17" s="774" t="s">
        <v>650</v>
      </c>
      <c r="J17" s="3018">
        <f ca="1">ROUND(IF(AND(项目基本情况!B11="自然人",项目基本情况!B10="北京市"),J6*M17/(1+'数据-取费表'!C42),J18+J19+J20),0)</f>
        <v>1600</v>
      </c>
      <c r="K17" s="3277" t="s">
        <v>1743</v>
      </c>
      <c r="L17" s="3278"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4" t="s">
        <v>653</v>
      </c>
      <c r="C18" s="53">
        <f ca="1">ROUND(C14*F18,0)</f>
        <v>214</v>
      </c>
      <c r="D18" s="774" t="s">
        <v>1736</v>
      </c>
      <c r="E18" s="774" t="s">
        <v>1737</v>
      </c>
      <c r="F18" s="799">
        <f>'数据-取费表'!B36</f>
        <v>1.4999999999999999E-2</v>
      </c>
      <c r="G18" s="3260"/>
      <c r="H18" s="1575" t="s">
        <v>1821</v>
      </c>
      <c r="I18" s="774" t="s">
        <v>1745</v>
      </c>
      <c r="J18" s="53">
        <f ca="1">ROUND(J6*M18/(1+'数据-取费表'!C42),1)</f>
        <v>0</v>
      </c>
      <c r="K18" s="3278" t="s">
        <v>1746</v>
      </c>
      <c r="L18" s="774" t="s">
        <v>1737</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1814</v>
      </c>
      <c r="B19" s="774" t="s">
        <v>656</v>
      </c>
      <c r="C19" s="53">
        <f ca="1">SUM(C14:C18)</f>
        <v>15852</v>
      </c>
      <c r="D19" s="259" t="s">
        <v>1747</v>
      </c>
      <c r="E19" s="3280"/>
      <c r="F19" s="56"/>
      <c r="G19" s="1944"/>
      <c r="H19" s="1575" t="s">
        <v>1822</v>
      </c>
      <c r="I19" s="774" t="s">
        <v>1748</v>
      </c>
      <c r="J19" s="53">
        <f ca="1">IF(K19="按租金收入计税",ROUND(J6*M19/(1+'数据-取费表'!C42),1),ROUND(C29*F33*0.7,1))</f>
        <v>1600.3</v>
      </c>
      <c r="K19" s="800" t="s">
        <v>659</v>
      </c>
      <c r="L19" s="774" t="s">
        <v>1737</v>
      </c>
      <c r="M19" s="799">
        <f>IF(K19="按租金收入计税",'数据-取费表'!B51,'数据-取费表'!B50)</f>
        <v>1.2E-2</v>
      </c>
    </row>
    <row r="20" spans="1:33" s="1946" customFormat="1" ht="18" customHeight="1">
      <c r="A20" s="1576" t="s">
        <v>1879</v>
      </c>
      <c r="B20" s="774" t="s">
        <v>660</v>
      </c>
      <c r="C20" s="53">
        <f ca="1">ROUND(C19*F20,0)</f>
        <v>317</v>
      </c>
      <c r="D20" s="801" t="s">
        <v>1749</v>
      </c>
      <c r="E20" s="774" t="s">
        <v>1737</v>
      </c>
      <c r="F20" s="799">
        <f>'数据-取费表'!B37</f>
        <v>0.02</v>
      </c>
      <c r="G20" s="3260"/>
      <c r="H20" s="1578" t="s">
        <v>1823</v>
      </c>
      <c r="I20" s="339" t="s">
        <v>1750</v>
      </c>
      <c r="J20" s="54">
        <f ca="1">ROUND(M20*M21/10000,0)</f>
        <v>0</v>
      </c>
      <c r="K20" s="803" t="s">
        <v>1751</v>
      </c>
      <c r="L20" s="774" t="s">
        <v>1752</v>
      </c>
      <c r="M20" s="632">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4" t="s">
        <v>1753</v>
      </c>
      <c r="C21" s="53" t="s">
        <v>1754</v>
      </c>
      <c r="D21" s="801" t="s">
        <v>2285</v>
      </c>
      <c r="E21" s="774" t="s">
        <v>1755</v>
      </c>
      <c r="F21" s="799">
        <f>'数据-取费表'!B38</f>
        <v>0.02</v>
      </c>
      <c r="G21" s="3260"/>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4" t="s">
        <v>1757</v>
      </c>
      <c r="C22" s="53"/>
      <c r="D22" s="2423" t="str">
        <f>IF(F23&lt;=1,"单利计息。","复利计息。")&amp;"建造成本、管理费用、销售费用产生的利息。"</f>
        <v>复利计息。建造成本、管理费用、销售费用产生的利息。</v>
      </c>
      <c r="E22" s="3280"/>
      <c r="F22" s="56"/>
      <c r="G22" s="1944"/>
      <c r="H22" s="1576" t="s">
        <v>1879</v>
      </c>
      <c r="I22" s="774" t="s">
        <v>1758</v>
      </c>
      <c r="J22" s="53">
        <f ca="1">ROUND(J14*M22,0)</f>
        <v>191</v>
      </c>
      <c r="K22" s="3278" t="s">
        <v>1759</v>
      </c>
      <c r="L22" s="774" t="s">
        <v>1737</v>
      </c>
      <c r="M22" s="806">
        <f ca="1">INDIRECT("'数据-取费表'!Ak"&amp;$G$1)</f>
        <v>0.01</v>
      </c>
    </row>
    <row r="23" spans="1:33" s="1946" customFormat="1" ht="18" customHeight="1">
      <c r="A23" s="1575" t="s">
        <v>1821</v>
      </c>
      <c r="B23" s="774" t="s">
        <v>2420</v>
      </c>
      <c r="C23" s="53">
        <f ca="1">ROUND(IF('数据-取费表'!B22&lt;=1,(C19+C20)*F24*F23/2,(C19+C20)*(POWER((1+F24),F23/2)-1)),0)</f>
        <v>966</v>
      </c>
      <c r="D23" s="2422" t="str">
        <f>IF(F23&lt;=1,"(建造成本+管理费用)×利率×(建设周期÷2)","(建造成本+管理费用)×((1+利率)^(建设周期÷2)-1)")</f>
        <v>(建造成本+管理费用)×((1+利率)^(建设周期÷2)-1)</v>
      </c>
      <c r="E23" s="774" t="s">
        <v>1760</v>
      </c>
      <c r="F23" s="632">
        <f>'数据-取费表'!B20</f>
        <v>2.5</v>
      </c>
      <c r="G23" s="3260"/>
      <c r="H23" s="1576" t="s">
        <v>1880</v>
      </c>
      <c r="I23" s="774" t="s">
        <v>673</v>
      </c>
      <c r="J23" s="53">
        <f ca="1">ROUND(J13*M23,0)</f>
        <v>0</v>
      </c>
      <c r="K23" s="3278"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4" t="s">
        <v>1762</v>
      </c>
      <c r="C24" s="53">
        <f ca="1">ROUND(IF('数据-取费表'!B22&lt;=1,F21*F24*F23/2,F21*(POWER((1+F24),F23/2)-1)),4)</f>
        <v>1.1999999999999999E-3</v>
      </c>
      <c r="D24" s="2422" t="str">
        <f>IF(F23&lt;=1,"销售费用×利率×(建设周期÷2)","销售费用×((1+利率)^(建设周期÷2)-1)")</f>
        <v>销售费用×((1+利率)^(建设周期÷2)-1)</v>
      </c>
      <c r="E24" s="774" t="s">
        <v>1763</v>
      </c>
      <c r="F24" s="808">
        <f ca="1">'数据-取费表'!B40</f>
        <v>4.7500000000000001E-2</v>
      </c>
      <c r="G24" s="3260"/>
      <c r="H24" s="2403" t="s">
        <v>1881</v>
      </c>
      <c r="I24" s="2398" t="s">
        <v>660</v>
      </c>
      <c r="J24" s="2396">
        <f ca="1">ROUND(J5*M24,0)</f>
        <v>0</v>
      </c>
      <c r="K24" s="2397" t="s">
        <v>1764</v>
      </c>
      <c r="L24" s="2398" t="s">
        <v>1737</v>
      </c>
      <c r="M24" s="2394">
        <f ca="1">INDIRECT("'数据-取费表'!Am"&amp;$G$1)</f>
        <v>1.4999999999999999E-2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4" t="s">
        <v>678</v>
      </c>
      <c r="C25" s="53"/>
      <c r="D25" s="259" t="s">
        <v>1765</v>
      </c>
      <c r="E25" s="3280"/>
      <c r="F25" s="56"/>
      <c r="G25" s="1944"/>
      <c r="H25" s="1743" t="s">
        <v>1766</v>
      </c>
      <c r="I25" s="2722" t="s">
        <v>2801</v>
      </c>
      <c r="J25" s="782">
        <f ca="1">J5-J16</f>
        <v>-1791</v>
      </c>
      <c r="K25" s="2400" t="s">
        <v>694</v>
      </c>
      <c r="L25" s="2401"/>
      <c r="M25" s="2402"/>
    </row>
    <row r="26" spans="1:33" ht="18" customHeight="1">
      <c r="A26" s="1575" t="s">
        <v>1821</v>
      </c>
      <c r="B26" s="774" t="s">
        <v>2421</v>
      </c>
      <c r="C26" s="53">
        <f ca="1">ROUND((C19+C20)*F26,0)</f>
        <v>485</v>
      </c>
      <c r="D26" s="801" t="s">
        <v>695</v>
      </c>
      <c r="E26" s="785" t="s">
        <v>696</v>
      </c>
      <c r="F26" s="784">
        <f ca="1">INDIRECT("'数据-取费表'!q"&amp;$G$1)</f>
        <v>0.03</v>
      </c>
      <c r="G26" s="1944"/>
      <c r="H26" s="2354" t="s">
        <v>1770</v>
      </c>
      <c r="I26" s="2111" t="s">
        <v>2806</v>
      </c>
      <c r="J26" s="773">
        <f ca="1">IF(J5&lt;&gt;0,ROUND(J25*(1-((1+M28)/(1+M26))^M27)/(M26-M28),0),0)</f>
        <v>0</v>
      </c>
      <c r="K26" s="803" t="s">
        <v>698</v>
      </c>
      <c r="L26" s="774" t="s">
        <v>2403</v>
      </c>
      <c r="M26" s="784">
        <f ca="1">INDIRECT("'数据-取费表'!I"&amp;$G$1)</f>
        <v>4.4999999999999998E-2</v>
      </c>
    </row>
    <row r="27" spans="1:33" ht="18" customHeight="1">
      <c r="A27" s="1575" t="s">
        <v>1822</v>
      </c>
      <c r="B27" s="774" t="s">
        <v>680</v>
      </c>
      <c r="C27" s="53">
        <f ca="1">ROUND(F21*F26,4)</f>
        <v>5.9999999999999995E-4</v>
      </c>
      <c r="D27" s="801" t="s">
        <v>700</v>
      </c>
      <c r="E27" s="796"/>
      <c r="F27" s="797"/>
      <c r="G27" s="1944"/>
      <c r="H27" s="2355"/>
      <c r="I27" s="777"/>
      <c r="J27" s="778"/>
      <c r="K27" s="810" t="s">
        <v>701</v>
      </c>
      <c r="L27" s="774" t="s">
        <v>702</v>
      </c>
      <c r="M27" s="811">
        <f ca="1">INDIRECT("'数据-取费表'!ag"&amp;$G$1)</f>
        <v>0</v>
      </c>
    </row>
    <row r="28" spans="1:33" s="1946" customFormat="1" ht="18" customHeight="1">
      <c r="A28" s="1577" t="s">
        <v>1831</v>
      </c>
      <c r="B28" s="774" t="s">
        <v>681</v>
      </c>
      <c r="C28" s="53">
        <f>ROUND(F28/(1+'数据-取费表'!C42),4)</f>
        <v>5.33E-2</v>
      </c>
      <c r="D28" s="801" t="s">
        <v>2286</v>
      </c>
      <c r="E28" s="774" t="s">
        <v>1737</v>
      </c>
      <c r="F28" s="799">
        <f>'数据-取费表'!B41</f>
        <v>5.6000000000000001E-2</v>
      </c>
      <c r="G28" s="3260"/>
      <c r="H28" s="1743"/>
      <c r="I28" s="781"/>
      <c r="J28" s="782"/>
      <c r="K28" s="805"/>
      <c r="L28" s="774" t="s">
        <v>704</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19051</v>
      </c>
      <c r="D29" s="2397"/>
      <c r="E29" s="2398"/>
      <c r="F29" s="2399"/>
      <c r="G29" s="3260"/>
      <c r="H29" s="812" t="s">
        <v>1777</v>
      </c>
      <c r="I29" s="813" t="s">
        <v>1778</v>
      </c>
      <c r="J29" s="814">
        <f ca="1">ROUND(J26/(1+F40)^F41,0)</f>
        <v>0</v>
      </c>
      <c r="K29" s="815" t="s">
        <v>1779</v>
      </c>
      <c r="L29" s="816"/>
      <c r="M29" s="817">
        <f ca="1">INDIRECT("'数据-取费表'!k"&amp;$G$1)</f>
        <v>64678.93</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1738</v>
      </c>
      <c r="B30" s="1741" t="s">
        <v>1739</v>
      </c>
      <c r="C30" s="782">
        <f ca="1">ROUND(C31+C36+C37+C38,0)</f>
        <v>391</v>
      </c>
      <c r="D30" s="1735" t="s">
        <v>1740</v>
      </c>
      <c r="E30" s="3279"/>
      <c r="F30" s="2343"/>
      <c r="G30" s="1944"/>
      <c r="H30" s="1947"/>
      <c r="I30" s="1948"/>
      <c r="J30" s="1949"/>
      <c r="K30" s="1950"/>
      <c r="L30" s="1951"/>
      <c r="M30" s="1952"/>
    </row>
    <row r="31" spans="1:33" ht="18" customHeight="1">
      <c r="A31" s="1576" t="s">
        <v>1814</v>
      </c>
      <c r="B31" s="774" t="s">
        <v>650</v>
      </c>
      <c r="C31" s="3018">
        <f ca="1">ROUND(IF(AND(项目基本情况!B11="自然人",项目基本情况!B10="北京市"),C6*F31/(1+'数据-取费表'!C42),C32+C33+C34),0)</f>
        <v>158</v>
      </c>
      <c r="D31" s="3277" t="s">
        <v>1743</v>
      </c>
      <c r="E31" s="3278" t="s">
        <v>1783</v>
      </c>
      <c r="F31" s="3017" t="str">
        <f>IF(项目基本情况!B11="企业","——",IF('数据-取费表'!B10="住宅",IF(F6*F7*F8/12/(1+'数据-取费表'!F30)&gt;100000,4%,2.5%),IF(F6*F7*F8/12/(1+'数据-取费表'!F30)&gt;100000,12%,7%)))</f>
        <v>——</v>
      </c>
      <c r="G31" s="1944"/>
      <c r="H31" s="3257" t="s">
        <v>2997</v>
      </c>
      <c r="I31" s="1948"/>
      <c r="J31" s="1949"/>
      <c r="K31" s="1950"/>
      <c r="L31" s="1951"/>
      <c r="M31" s="1952"/>
    </row>
    <row r="32" spans="1:33" ht="18" customHeight="1">
      <c r="A32" s="1575" t="s">
        <v>1821</v>
      </c>
      <c r="B32" s="774" t="s">
        <v>1745</v>
      </c>
      <c r="C32" s="53">
        <f ca="1">ROUND(C6*F32/(1+'数据-取费表'!C42),1)</f>
        <v>50.2</v>
      </c>
      <c r="D32" s="3278" t="s">
        <v>1746</v>
      </c>
      <c r="E32" s="774" t="s">
        <v>1737</v>
      </c>
      <c r="F32" s="799">
        <f>'数据-取费表'!B41</f>
        <v>5.6000000000000001E-2</v>
      </c>
      <c r="G32" s="1944"/>
      <c r="H32" s="1953"/>
      <c r="I32" s="1954"/>
      <c r="J32" s="1955"/>
      <c r="K32" s="1956"/>
      <c r="L32" s="1957"/>
      <c r="M32" s="1958"/>
    </row>
    <row r="33" spans="1:18" ht="18" customHeight="1">
      <c r="A33" s="1575" t="s">
        <v>1822</v>
      </c>
      <c r="B33" s="774" t="s">
        <v>1748</v>
      </c>
      <c r="C33" s="53">
        <f ca="1">IF(D33="按租金收入计税",ROUND(C6*F33/(1+'数据-取费表'!C42),1),IF(D33="按房产原值计税",ROUND(C29*F33*0.7,1),INDIRECT("'数据-取费表'!Aj"&amp;$G$1)))</f>
        <v>107.5</v>
      </c>
      <c r="D33" s="800" t="s">
        <v>3050</v>
      </c>
      <c r="E33" s="774" t="s">
        <v>1737</v>
      </c>
      <c r="F33" s="799">
        <f>IF(D33="按租金收入计税",'数据-取费表'!B51,'数据-取费表'!B50)</f>
        <v>0.12</v>
      </c>
      <c r="G33" s="1944"/>
      <c r="H33" s="1959"/>
      <c r="I33" s="1959"/>
      <c r="J33" s="1959"/>
      <c r="K33" s="1960"/>
      <c r="L33" s="1959"/>
      <c r="M33" s="1959"/>
    </row>
    <row r="34" spans="1:18" ht="18" customHeight="1">
      <c r="A34" s="1578" t="s">
        <v>1823</v>
      </c>
      <c r="B34" s="339" t="s">
        <v>1750</v>
      </c>
      <c r="C34" s="54">
        <f ca="1">ROUND(F34*F35/10000,1)</f>
        <v>0</v>
      </c>
      <c r="D34" s="803" t="s">
        <v>1751</v>
      </c>
      <c r="E34" s="774" t="s">
        <v>1752</v>
      </c>
      <c r="F34" s="632">
        <f>'数据-取费表'!B52</f>
        <v>15</v>
      </c>
      <c r="G34" s="1944"/>
      <c r="H34" s="1947"/>
      <c r="I34" s="824" t="s">
        <v>1803</v>
      </c>
      <c r="J34" s="825"/>
      <c r="K34" s="1962"/>
      <c r="L34" s="1961"/>
      <c r="M34" s="1961"/>
    </row>
    <row r="35" spans="1:18" ht="18" customHeight="1">
      <c r="A35" s="804"/>
      <c r="B35" s="783"/>
      <c r="C35" s="69"/>
      <c r="D35" s="805"/>
      <c r="E35" s="774" t="s">
        <v>1756</v>
      </c>
      <c r="F35" s="775">
        <f ca="1">INDIRECT("'数据-取费表'!r"&amp;$G$1)</f>
        <v>0</v>
      </c>
      <c r="G35" s="1944"/>
      <c r="H35" s="1947"/>
      <c r="I35" s="826" t="s">
        <v>1804</v>
      </c>
      <c r="J35" s="827">
        <f ca="1">ROUND(C13*J36,0)</f>
        <v>1524</v>
      </c>
      <c r="K35" s="1960"/>
      <c r="L35" s="1959"/>
      <c r="M35" s="1959"/>
    </row>
    <row r="36" spans="1:18" ht="18" customHeight="1">
      <c r="A36" s="1576" t="s">
        <v>1879</v>
      </c>
      <c r="B36" s="774" t="s">
        <v>1758</v>
      </c>
      <c r="C36" s="53">
        <f ca="1">ROUND(C29*F36,1)</f>
        <v>190.5</v>
      </c>
      <c r="D36" s="3278" t="s">
        <v>1793</v>
      </c>
      <c r="E36" s="774" t="s">
        <v>1737</v>
      </c>
      <c r="F36" s="806">
        <f ca="1">INDIRECT("'数据-取费表'!Ak"&amp;$G$1)</f>
        <v>0.01</v>
      </c>
      <c r="G36" s="1944"/>
      <c r="H36" s="1959"/>
      <c r="I36" s="828" t="s">
        <v>1805</v>
      </c>
      <c r="J36" s="829">
        <f ca="1">INDIRECT("'数据-取费表'!j"&amp;$G$1)</f>
        <v>0.08</v>
      </c>
      <c r="K36" s="1963"/>
      <c r="L36" s="1959"/>
      <c r="M36" s="1959"/>
    </row>
    <row r="37" spans="1:18" ht="18" customHeight="1">
      <c r="A37" s="1576" t="s">
        <v>1880</v>
      </c>
      <c r="B37" s="774" t="s">
        <v>673</v>
      </c>
      <c r="C37" s="53">
        <f ca="1">ROUND(C13*F37,1)</f>
        <v>28.6</v>
      </c>
      <c r="D37" s="3278" t="s">
        <v>1761</v>
      </c>
      <c r="E37" s="774" t="s">
        <v>1737</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14.1</v>
      </c>
      <c r="D38" s="2397" t="s">
        <v>1764</v>
      </c>
      <c r="E38" s="2398" t="s">
        <v>1737</v>
      </c>
      <c r="F38" s="2394">
        <f ca="1">INDIRECT("'数据-取费表'!Am"&amp;$G$1)</f>
        <v>1.4999999999999999E-2</v>
      </c>
      <c r="G38" s="1944"/>
      <c r="H38" s="1959"/>
      <c r="I38" s="832" t="s">
        <v>1807</v>
      </c>
      <c r="J38" s="833"/>
      <c r="K38" s="1964"/>
      <c r="L38" s="1959"/>
      <c r="M38" s="1959"/>
    </row>
    <row r="39" spans="1:18" ht="24.6" customHeight="1" thickTop="1">
      <c r="A39" s="1743" t="s">
        <v>1766</v>
      </c>
      <c r="B39" s="2722" t="s">
        <v>2801</v>
      </c>
      <c r="C39" s="782">
        <f ca="1">C5-C30</f>
        <v>550</v>
      </c>
      <c r="D39" s="2400" t="s">
        <v>694</v>
      </c>
      <c r="E39" s="2401"/>
      <c r="F39" s="2402"/>
      <c r="G39" s="1944"/>
      <c r="H39" s="1959"/>
      <c r="I39" s="826" t="s">
        <v>1808</v>
      </c>
      <c r="J39" s="834">
        <f ca="1">ROUND(J35/C39,3)</f>
        <v>2.7709999999999999</v>
      </c>
      <c r="K39" s="1964"/>
      <c r="L39" s="1959"/>
      <c r="M39" s="1959"/>
    </row>
    <row r="40" spans="1:18" ht="18" customHeight="1">
      <c r="A40" s="771" t="s">
        <v>1770</v>
      </c>
      <c r="B40" s="2111" t="s">
        <v>2288</v>
      </c>
      <c r="C40" s="773">
        <f ca="1">ROUND(C39*(1-((1+F42)/(1+F40))^F41)/(F40-F42),0)</f>
        <v>12161</v>
      </c>
      <c r="D40" s="803" t="s">
        <v>698</v>
      </c>
      <c r="E40" s="774" t="s">
        <v>2403</v>
      </c>
      <c r="F40" s="784">
        <f ca="1">INDIRECT("'数据-取费表'!I"&amp;$G$1)</f>
        <v>4.4999999999999998E-2</v>
      </c>
      <c r="G40" s="1944"/>
      <c r="H40" s="1944"/>
      <c r="I40" s="826" t="s">
        <v>1809</v>
      </c>
      <c r="J40" s="834">
        <f ca="1">1-J39</f>
        <v>-1.7709999999999999</v>
      </c>
      <c r="K40" s="1964"/>
      <c r="L40" s="1944"/>
      <c r="M40" s="1944"/>
    </row>
    <row r="41" spans="1:18" ht="18" customHeight="1">
      <c r="A41" s="776"/>
      <c r="B41" s="777"/>
      <c r="C41" s="778"/>
      <c r="D41" s="810" t="s">
        <v>1798</v>
      </c>
      <c r="E41" s="774" t="s">
        <v>702</v>
      </c>
      <c r="F41" s="811">
        <f ca="1">IF(INDIRECT("'数据-取费表'!af"&amp;$G$1)=0,INDIRECT("'数据-取费表'!ae"&amp;$G$1),INDIRECT("'数据-取费表'!af"&amp;$G$1))</f>
        <v>33.229999999999997</v>
      </c>
      <c r="G41" s="1944"/>
      <c r="H41" s="1899"/>
      <c r="I41" s="832" t="s">
        <v>1810</v>
      </c>
      <c r="J41" s="835"/>
      <c r="K41" s="1963"/>
      <c r="L41" s="1899"/>
      <c r="M41" s="1899"/>
    </row>
    <row r="42" spans="1:18" ht="18" customHeight="1">
      <c r="A42" s="780"/>
      <c r="B42" s="781"/>
      <c r="C42" s="782"/>
      <c r="D42" s="805"/>
      <c r="E42" s="774" t="s">
        <v>704</v>
      </c>
      <c r="F42" s="784">
        <f ca="1">INDIRECT("'数据-取费表'!v"&amp;$G$1)</f>
        <v>0.02</v>
      </c>
      <c r="G42" s="1944"/>
      <c r="H42" s="1899"/>
      <c r="I42" s="836" t="s">
        <v>1811</v>
      </c>
      <c r="J42" s="834">
        <f ca="1">ROUND(C13/C40,3)</f>
        <v>1.5669999999999999</v>
      </c>
      <c r="K42" s="1963"/>
      <c r="L42" s="1899"/>
      <c r="M42" s="1899"/>
    </row>
    <row r="43" spans="1:18" ht="18" customHeight="1" thickBot="1">
      <c r="A43" s="812" t="s">
        <v>1777</v>
      </c>
      <c r="B43" s="813" t="s">
        <v>1800</v>
      </c>
      <c r="C43" s="814">
        <f ca="1">ROUND(C40*10000/F43,0)</f>
        <v>1880</v>
      </c>
      <c r="D43" s="815" t="s">
        <v>1801</v>
      </c>
      <c r="E43" s="816" t="s">
        <v>1802</v>
      </c>
      <c r="F43" s="817">
        <f ca="1">INDIRECT("'数据-取费表'!k"&amp;$G$1)</f>
        <v>64678.93</v>
      </c>
      <c r="G43" s="1944"/>
      <c r="H43" s="1899"/>
      <c r="I43" s="836" t="s">
        <v>1812</v>
      </c>
      <c r="J43" s="837">
        <f ca="1">1-J42</f>
        <v>-0.56699999999999995</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-15900</v>
      </c>
      <c r="D46" s="3261"/>
      <c r="E46" s="3261"/>
      <c r="F46" s="3261"/>
      <c r="I46" s="2232" t="s">
        <v>2327</v>
      </c>
      <c r="J46" s="2233"/>
      <c r="K46" s="2234"/>
      <c r="L46" s="2810">
        <f>IF(OR(M47="住宅",D1="土地（套用方法）"),0,IF(L48&gt;J51,L60,J60))</f>
        <v>0</v>
      </c>
      <c r="M46" s="3262"/>
      <c r="O46" s="2248" t="s">
        <v>2394</v>
      </c>
      <c r="P46" s="1525"/>
      <c r="Q46" s="1533"/>
      <c r="R46" s="1525"/>
    </row>
    <row r="47" spans="1:18" s="1941" customFormat="1" ht="18" customHeight="1" thickBot="1">
      <c r="A47" s="2226">
        <v>1</v>
      </c>
      <c r="B47" s="2227" t="s">
        <v>629</v>
      </c>
      <c r="C47" s="2425">
        <f ca="1">C48+C52+C54</f>
        <v>0</v>
      </c>
      <c r="D47" s="3261"/>
      <c r="E47" s="3261"/>
      <c r="F47" s="3261"/>
      <c r="I47" s="2801" t="s">
        <v>2328</v>
      </c>
      <c r="J47" s="2235" t="s">
        <v>3051</v>
      </c>
      <c r="K47" s="2807" t="s">
        <v>2333</v>
      </c>
      <c r="L47" s="2811">
        <f ca="1">INDIRECT("'数据-取费表'!d"&amp;$G$1)</f>
        <v>50</v>
      </c>
      <c r="M47" s="1533" t="str">
        <f>IF(ISNUMBER(FIND("住宅",C1)),"住宅","非住宅")</f>
        <v>非住宅</v>
      </c>
      <c r="O47" s="2249" t="s">
        <v>2359</v>
      </c>
      <c r="P47" s="2250" t="s">
        <v>2360</v>
      </c>
      <c r="Q47" s="2251" t="s">
        <v>2361</v>
      </c>
      <c r="R47" s="2250" t="s">
        <v>2362</v>
      </c>
    </row>
    <row r="48" spans="1:18" s="1941" customFormat="1" ht="18" customHeight="1" thickBot="1">
      <c r="A48" s="2483" t="s">
        <v>1860</v>
      </c>
      <c r="B48" s="2484" t="s">
        <v>2519</v>
      </c>
      <c r="C48" s="2228">
        <f ca="1">ROUND(F48*F50*F49*(1-F51)/10000,0)</f>
        <v>0</v>
      </c>
      <c r="D48" s="2229" t="s">
        <v>630</v>
      </c>
      <c r="E48" s="2230" t="s">
        <v>2283</v>
      </c>
      <c r="F48" s="2231"/>
      <c r="G48" s="1971"/>
      <c r="I48" s="2798" t="s">
        <v>2329</v>
      </c>
      <c r="J48" s="2236" t="s">
        <v>2334</v>
      </c>
      <c r="K48" s="2808" t="s">
        <v>2335</v>
      </c>
      <c r="L48" s="1821">
        <f ca="1">INDIRECT("'数据-取费表'!f"&amp;$G$1)</f>
        <v>35.729999999999997</v>
      </c>
      <c r="M48" s="3262"/>
      <c r="O48" s="2252" t="s">
        <v>2363</v>
      </c>
      <c r="P48" s="2253" t="s">
        <v>2389</v>
      </c>
      <c r="Q48" s="2254">
        <f ca="1">C40+J29</f>
        <v>12161</v>
      </c>
      <c r="R48" s="2253" t="s">
        <v>2364</v>
      </c>
    </row>
    <row r="49" spans="1:18" s="1941" customFormat="1" ht="18" customHeight="1" thickBot="1">
      <c r="A49" s="776"/>
      <c r="B49" s="777"/>
      <c r="C49" s="778"/>
      <c r="D49" s="779"/>
      <c r="E49" s="774" t="s">
        <v>1729</v>
      </c>
      <c r="F49" s="775">
        <f ca="1">F7</f>
        <v>1845</v>
      </c>
      <c r="G49" s="1971"/>
      <c r="H49" s="1974"/>
      <c r="I49" s="2798" t="s">
        <v>2330</v>
      </c>
      <c r="J49" s="2237">
        <v>2022</v>
      </c>
      <c r="K49" s="2809" t="s">
        <v>2336</v>
      </c>
      <c r="L49" s="2238"/>
      <c r="M49" s="3262"/>
      <c r="O49" s="2252" t="s">
        <v>2365</v>
      </c>
      <c r="P49" s="2253" t="s">
        <v>2390</v>
      </c>
      <c r="Q49" s="2254">
        <f ca="1">J60</f>
        <v>555</v>
      </c>
      <c r="R49" s="2253" t="s">
        <v>2366</v>
      </c>
    </row>
    <row r="50" spans="1:18" s="1941" customFormat="1" ht="18" customHeight="1" thickBot="1">
      <c r="A50" s="776"/>
      <c r="B50" s="777"/>
      <c r="C50" s="778"/>
      <c r="D50" s="779"/>
      <c r="E50" s="774" t="s">
        <v>1730</v>
      </c>
      <c r="F50" s="775">
        <f ca="1">F8</f>
        <v>12</v>
      </c>
      <c r="G50" s="1976"/>
      <c r="H50" s="1974"/>
      <c r="I50" s="2798" t="s">
        <v>2331</v>
      </c>
      <c r="J50" s="2805">
        <f>SUMPRODUCT((I63:I65=J47)*(J62:L62=J48)*(J63:L65))</f>
        <v>60</v>
      </c>
      <c r="K50" s="2809" t="s">
        <v>2337</v>
      </c>
      <c r="L50" s="2238"/>
      <c r="M50" s="3262"/>
      <c r="O50" s="2255" t="s">
        <v>2367</v>
      </c>
      <c r="P50" s="2253" t="s">
        <v>2391</v>
      </c>
      <c r="Q50" s="2254">
        <f ca="1">C29</f>
        <v>19051</v>
      </c>
      <c r="R50" s="2253" t="s">
        <v>2364</v>
      </c>
    </row>
    <row r="51" spans="1:18" s="1941" customFormat="1" ht="18" customHeight="1" thickBot="1">
      <c r="A51" s="776"/>
      <c r="B51" s="777"/>
      <c r="C51" s="778"/>
      <c r="D51" s="779"/>
      <c r="E51" s="774" t="s">
        <v>634</v>
      </c>
      <c r="F51" s="2225"/>
      <c r="H51" s="1974"/>
      <c r="I51" s="2802" t="s">
        <v>2332</v>
      </c>
      <c r="J51" s="2806">
        <f>IF(J49="",J50,J49+J50-YEAR('数据-取费表'!B2))</f>
        <v>62</v>
      </c>
      <c r="K51" s="2798" t="s">
        <v>2338</v>
      </c>
      <c r="L51" s="2812">
        <f ca="1">ROUND(-PV(INDIRECT("'数据-取费表'!h"&amp;$G$1),J51,(C39-C13*J36),0),0)</f>
        <v>-60393</v>
      </c>
      <c r="M51" s="3262"/>
      <c r="O51" s="2255" t="s">
        <v>2368</v>
      </c>
      <c r="P51" s="2253" t="s">
        <v>2369</v>
      </c>
      <c r="Q51" s="2256">
        <f ca="1">J58</f>
        <v>0.438</v>
      </c>
      <c r="R51" s="2257"/>
    </row>
    <row r="52" spans="1:18" s="1941" customFormat="1" ht="18" customHeight="1" thickBot="1">
      <c r="A52" s="771" t="s">
        <v>2517</v>
      </c>
      <c r="B52" s="2346" t="s">
        <v>2440</v>
      </c>
      <c r="C52" s="789">
        <f ca="1">ROUND(IF(F52="押一",C48/12*F11,IF(F52="押二",C48/12*2*F11,IF(F52="押三",C48/12*3*F11,C53*F11))),0)</f>
        <v>0</v>
      </c>
      <c r="D52" s="2353" t="s">
        <v>2938</v>
      </c>
      <c r="E52" s="2350" t="s">
        <v>2445</v>
      </c>
      <c r="F52" s="2464"/>
      <c r="I52" s="2803" t="s">
        <v>2405</v>
      </c>
      <c r="J52" s="2239">
        <v>8.5000000000000006E-2</v>
      </c>
      <c r="K52" s="2803" t="s">
        <v>2404</v>
      </c>
      <c r="L52" s="2239"/>
      <c r="M52" s="3262"/>
      <c r="O52" s="2255" t="s">
        <v>2370</v>
      </c>
      <c r="P52" s="2253" t="s">
        <v>2371</v>
      </c>
      <c r="Q52" s="2256">
        <f>J52</f>
        <v>8.5000000000000006E-2</v>
      </c>
      <c r="R52" s="2257"/>
    </row>
    <row r="53" spans="1:18" s="1941" customFormat="1" ht="39.75" customHeight="1" thickBot="1">
      <c r="A53" s="776"/>
      <c r="B53" s="2347" t="s">
        <v>2554</v>
      </c>
      <c r="C53" s="2351"/>
      <c r="D53" s="2353"/>
      <c r="E53" s="2350"/>
      <c r="F53" s="790"/>
      <c r="I53" s="2804" t="s">
        <v>2942</v>
      </c>
      <c r="J53" s="2857">
        <f ca="1">IF(M47="住宅",IF(D1="——",MAX(J51,L48),MAX(J51,L48-'数据-取费表'!B20)),IF(D1="——",MIN(J51,L48),MIN(J51,L48-'数据-取费表'!B20)))</f>
        <v>33.229999999999997</v>
      </c>
      <c r="K53" s="3615" t="s">
        <v>2931</v>
      </c>
      <c r="L53" s="3616"/>
      <c r="M53" s="3262"/>
      <c r="O53" s="2255" t="s">
        <v>2372</v>
      </c>
      <c r="P53" s="2253" t="s">
        <v>2373</v>
      </c>
      <c r="Q53" s="2254">
        <f ca="1">J53</f>
        <v>33.229999999999997</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2375</v>
      </c>
      <c r="P54" s="2253" t="s">
        <v>2392</v>
      </c>
      <c r="Q54" s="2254">
        <f ca="1">Q48+Q49</f>
        <v>12716</v>
      </c>
      <c r="R54" s="2257" t="s">
        <v>2376</v>
      </c>
    </row>
    <row r="55" spans="1:18" s="1941" customFormat="1" ht="18" customHeight="1" thickTop="1" thickBot="1">
      <c r="A55" s="787">
        <v>2</v>
      </c>
      <c r="B55" s="788" t="s">
        <v>638</v>
      </c>
      <c r="C55" s="789">
        <f ca="1">C13</f>
        <v>19051</v>
      </c>
      <c r="D55" s="785"/>
      <c r="E55" s="785"/>
      <c r="F55" s="790"/>
      <c r="I55" s="2815" t="s">
        <v>2339</v>
      </c>
      <c r="J55" s="2787">
        <f ca="1">ROUND(IF(J47="钢混",J57/J50,1-(1-2%)*(J50-J57)/J50),3)</f>
        <v>0.438</v>
      </c>
      <c r="K55" s="2816" t="s">
        <v>2340</v>
      </c>
      <c r="L55" s="2240"/>
      <c r="M55" s="3262"/>
      <c r="O55" s="2258" t="s">
        <v>2395</v>
      </c>
      <c r="P55" s="1525"/>
      <c r="Q55" s="1533"/>
      <c r="R55" s="1525"/>
    </row>
    <row r="56" spans="1:18" s="1941" customFormat="1" ht="42.75" customHeight="1" thickBot="1">
      <c r="A56" s="1577"/>
      <c r="B56" s="2110" t="s">
        <v>2287</v>
      </c>
      <c r="C56" s="53">
        <f ca="1">C29</f>
        <v>19051</v>
      </c>
      <c r="D56" s="3278"/>
      <c r="E56" s="774"/>
      <c r="F56" s="799"/>
      <c r="I56" s="2817" t="s">
        <v>2341</v>
      </c>
      <c r="J56" s="2827" t="s">
        <v>3046</v>
      </c>
      <c r="K56" s="2798" t="s">
        <v>2346</v>
      </c>
      <c r="L56" s="1821" t="str">
        <f ca="1">IF(L48&lt;J51,"——",L48-J51)</f>
        <v>——</v>
      </c>
      <c r="M56" s="3262"/>
      <c r="O56" s="2249" t="s">
        <v>2359</v>
      </c>
      <c r="P56" s="2250" t="s">
        <v>2360</v>
      </c>
      <c r="Q56" s="2251" t="s">
        <v>2361</v>
      </c>
      <c r="R56" s="2250" t="s">
        <v>2362</v>
      </c>
    </row>
    <row r="57" spans="1:18" s="1941" customFormat="1" ht="28.5" customHeight="1" thickBot="1">
      <c r="A57" s="787" t="s">
        <v>1738</v>
      </c>
      <c r="B57" s="788" t="s">
        <v>645</v>
      </c>
      <c r="C57" s="789">
        <f ca="1">ROUND(C58+C63+C64+C65,0)</f>
        <v>219</v>
      </c>
      <c r="D57" s="26" t="s">
        <v>1740</v>
      </c>
      <c r="E57" s="3280"/>
      <c r="F57" s="56"/>
      <c r="I57" s="2818" t="s">
        <v>2342</v>
      </c>
      <c r="J57" s="2819">
        <f ca="1">IF(OR(M47="住宅",J51&lt;L48,J56="是"),"——",J51-L48)</f>
        <v>26.270000000000003</v>
      </c>
      <c r="K57" s="2798" t="s">
        <v>2347</v>
      </c>
      <c r="L57" s="1821" t="str">
        <f ca="1">IF(L48&lt;J51,"——",IF(L55="比较法",L49,IF(L55="基准地价",L50,L51)))</f>
        <v>——</v>
      </c>
      <c r="M57" s="3262"/>
      <c r="O57" s="2252" t="s">
        <v>2363</v>
      </c>
      <c r="P57" s="2253" t="s">
        <v>2389</v>
      </c>
      <c r="Q57" s="2254">
        <f ca="1">C40+J29</f>
        <v>12161</v>
      </c>
      <c r="R57" s="2253" t="s">
        <v>2364</v>
      </c>
    </row>
    <row r="58" spans="1:18" s="1941" customFormat="1" ht="28.5" customHeight="1" thickBot="1">
      <c r="A58" s="1576" t="s">
        <v>1814</v>
      </c>
      <c r="B58" s="774" t="s">
        <v>650</v>
      </c>
      <c r="C58" s="3018">
        <f ca="1">ROUND(IF(AND(项目基本情况!B11="自然人",项目基本情况!B10="北京市"),C48*F58/(1+'数据-取费表'!C42),C59+C60+C61),0)</f>
        <v>0</v>
      </c>
      <c r="D58" s="3277" t="s">
        <v>651</v>
      </c>
      <c r="E58" s="3278" t="s">
        <v>684</v>
      </c>
      <c r="F58" s="3017" t="str">
        <f>IF(项目基本情况!B11="企业","——",IF('数据-取费表'!B10="住宅",IF(F48*F49*F50/12/(1+'数据-取费表'!F30)&gt;100000,4%,2.5%),IF(F48*F49*F50/12/(1+'数据-取费表'!F30)&gt;100000,12%,7%)))</f>
        <v>——</v>
      </c>
      <c r="I58" s="2818" t="s">
        <v>2343</v>
      </c>
      <c r="J58" s="2788">
        <f ca="1">IF(J55&lt;0.4,0.4,J55)</f>
        <v>0.438</v>
      </c>
      <c r="K58" s="2798" t="s">
        <v>2348</v>
      </c>
      <c r="L58" s="1821" t="e">
        <f ca="1">ROUND(POWER(1+L52,L47-L48)*(POWER(1+L52,L48)-1)/(POWER(1+L52,L47)-1),4)</f>
        <v>#DIV/0!</v>
      </c>
      <c r="M58" s="3262"/>
      <c r="O58" s="2252" t="s">
        <v>2365</v>
      </c>
      <c r="P58" s="2253" t="s">
        <v>2396</v>
      </c>
      <c r="Q58" s="2254">
        <f ca="1">L60</f>
        <v>0</v>
      </c>
      <c r="R58" s="2257" t="s">
        <v>2398</v>
      </c>
    </row>
    <row r="59" spans="1:18" s="1941" customFormat="1" ht="28.5" customHeight="1" thickBot="1">
      <c r="A59" s="1575" t="s">
        <v>1821</v>
      </c>
      <c r="B59" s="774" t="s">
        <v>654</v>
      </c>
      <c r="C59" s="53">
        <f ca="1">ROUND(C47*F59/1.05,1)</f>
        <v>0</v>
      </c>
      <c r="D59" s="3278" t="s">
        <v>1746</v>
      </c>
      <c r="E59" s="774" t="s">
        <v>1737</v>
      </c>
      <c r="F59" s="799">
        <f t="shared" ref="F59:F65" si="0">F32</f>
        <v>5.6000000000000001E-2</v>
      </c>
      <c r="I59" s="2818" t="s">
        <v>2344</v>
      </c>
      <c r="J59" s="2819">
        <f ca="1">IF(OR(M47="住宅",J51&lt;L48,J56="是"),"——",ROUND(C29*J58,0))</f>
        <v>8344</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2367</v>
      </c>
      <c r="P59" s="2253" t="s">
        <v>2397</v>
      </c>
      <c r="Q59" s="2254">
        <f>IF(L55="比较法",L49,IF(L55="基准地价",L50,0))</f>
        <v>0</v>
      </c>
      <c r="R59" s="2253" t="s">
        <v>2364</v>
      </c>
    </row>
    <row r="60" spans="1:18" s="1941" customFormat="1" ht="18" customHeight="1" thickBot="1">
      <c r="A60" s="1575" t="s">
        <v>1822</v>
      </c>
      <c r="B60" s="774" t="s">
        <v>1748</v>
      </c>
      <c r="C60" s="53">
        <f ca="1">IF(D60="按租金收入计税",ROUND(C47*F60,1),IF(D60="按房产原值计税",ROUND(C56*F60*0.7,1),INDIRECT("'数据-取费表'!Aj"&amp;$G$1)))</f>
        <v>0</v>
      </c>
      <c r="D60" s="3278" t="str">
        <f>D33</f>
        <v>按租金收入计税</v>
      </c>
      <c r="E60" s="774" t="s">
        <v>1737</v>
      </c>
      <c r="F60" s="799">
        <f t="shared" si="0"/>
        <v>0.12</v>
      </c>
      <c r="I60" s="2820" t="s">
        <v>2345</v>
      </c>
      <c r="J60" s="2821">
        <f ca="1">IF(OR(M47="住宅",J51&lt;L48,J56="是"),"0",ROUND(J59/(1+J52)^J53,0))</f>
        <v>555</v>
      </c>
      <c r="K60" s="2822" t="s">
        <v>2350</v>
      </c>
      <c r="L60" s="2821">
        <f ca="1">IF(OR(M47="住宅",L48&lt;J51),0,ROUND(L57*(L58/L59-1),0))</f>
        <v>0</v>
      </c>
      <c r="M60" s="3262"/>
      <c r="O60" s="2255" t="s">
        <v>2368</v>
      </c>
      <c r="P60" s="2253" t="s">
        <v>2377</v>
      </c>
      <c r="Q60" s="2256">
        <f>L52</f>
        <v>0</v>
      </c>
      <c r="R60" s="2257"/>
    </row>
    <row r="61" spans="1:18" s="1941" customFormat="1" ht="18" customHeight="1" thickBot="1">
      <c r="A61" s="1578" t="s">
        <v>1823</v>
      </c>
      <c r="B61" s="339" t="s">
        <v>662</v>
      </c>
      <c r="C61" s="54">
        <f ca="1">ROUND(F61*F62/10000,1)</f>
        <v>0</v>
      </c>
      <c r="D61" s="803" t="s">
        <v>663</v>
      </c>
      <c r="E61" s="774" t="s">
        <v>664</v>
      </c>
      <c r="F61" s="632">
        <f t="shared" si="0"/>
        <v>15</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0</v>
      </c>
      <c r="I62" s="2823" t="s">
        <v>2351</v>
      </c>
      <c r="J62" s="2824" t="s">
        <v>2352</v>
      </c>
      <c r="K62" s="2824" t="s">
        <v>2353</v>
      </c>
      <c r="L62" s="2824" t="s">
        <v>2334</v>
      </c>
      <c r="M62" s="2825" t="s">
        <v>2910</v>
      </c>
      <c r="O62" s="2255" t="s">
        <v>2372</v>
      </c>
      <c r="P62" s="2253" t="str">
        <f>K59</f>
        <v>建设期及建筑物耐用年限下的土地年期修正系数Kn</v>
      </c>
      <c r="Q62" s="2254" t="e">
        <f ca="1">L59</f>
        <v>#DIV/0!</v>
      </c>
      <c r="R62" s="2257" t="s">
        <v>2381</v>
      </c>
    </row>
    <row r="63" spans="1:18" s="1941" customFormat="1" ht="15.75" thickBot="1">
      <c r="A63" s="1576" t="s">
        <v>1879</v>
      </c>
      <c r="B63" s="774" t="s">
        <v>670</v>
      </c>
      <c r="C63" s="53">
        <f ca="1">ROUND(C56*F63,1)</f>
        <v>190.5</v>
      </c>
      <c r="D63" s="3278" t="s">
        <v>1793</v>
      </c>
      <c r="E63" s="774" t="s">
        <v>1737</v>
      </c>
      <c r="F63" s="806">
        <f t="shared" ca="1" si="0"/>
        <v>0.01</v>
      </c>
      <c r="I63" s="2823" t="s">
        <v>2354</v>
      </c>
      <c r="J63" s="2824">
        <v>70</v>
      </c>
      <c r="K63" s="2824">
        <v>50</v>
      </c>
      <c r="L63" s="2824">
        <v>80</v>
      </c>
      <c r="M63" s="2826">
        <v>0.02</v>
      </c>
      <c r="O63" s="2252" t="s">
        <v>2375</v>
      </c>
      <c r="P63" s="2253" t="s">
        <v>2392</v>
      </c>
      <c r="Q63" s="2254">
        <f ca="1">Q57+Q58</f>
        <v>12161</v>
      </c>
      <c r="R63" s="2257" t="s">
        <v>2376</v>
      </c>
    </row>
    <row r="64" spans="1:18" s="1941" customFormat="1" ht="16.5" thickBot="1">
      <c r="A64" s="1576" t="s">
        <v>1880</v>
      </c>
      <c r="B64" s="774" t="s">
        <v>673</v>
      </c>
      <c r="C64" s="53">
        <f ca="1">ROUND(C55*F64,1)</f>
        <v>28.6</v>
      </c>
      <c r="D64" s="3278" t="s">
        <v>674</v>
      </c>
      <c r="E64" s="774" t="s">
        <v>1737</v>
      </c>
      <c r="F64" s="807">
        <f t="shared" ca="1" si="0"/>
        <v>1.5E-3</v>
      </c>
      <c r="I64" s="2823" t="s">
        <v>2355</v>
      </c>
      <c r="J64" s="2824">
        <v>50</v>
      </c>
      <c r="K64" s="2824">
        <v>35</v>
      </c>
      <c r="L64" s="2824">
        <v>60</v>
      </c>
      <c r="M64" s="835">
        <v>0</v>
      </c>
      <c r="O64" s="2258" t="s">
        <v>2399</v>
      </c>
      <c r="P64" s="1525"/>
      <c r="Q64" s="1533"/>
      <c r="R64" s="1525"/>
    </row>
    <row r="65" spans="1:18" s="1941" customFormat="1" ht="15.75" thickBot="1">
      <c r="A65" s="1576" t="s">
        <v>1881</v>
      </c>
      <c r="B65" s="774" t="s">
        <v>660</v>
      </c>
      <c r="C65" s="53">
        <f ca="1">ROUND(C47*F65,1)</f>
        <v>0</v>
      </c>
      <c r="D65" s="3278" t="s">
        <v>677</v>
      </c>
      <c r="E65" s="774" t="s">
        <v>1737</v>
      </c>
      <c r="F65" s="784">
        <f t="shared" ca="1" si="0"/>
        <v>1.4999999999999999E-2</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-219</v>
      </c>
      <c r="D66" s="3277" t="s">
        <v>694</v>
      </c>
      <c r="E66" s="3275"/>
      <c r="F66" s="809"/>
      <c r="K66" s="1967"/>
      <c r="O66" s="2252" t="s">
        <v>2363</v>
      </c>
      <c r="P66" s="2253" t="s">
        <v>2389</v>
      </c>
      <c r="Q66" s="2254">
        <f ca="1">C40+J29</f>
        <v>12161</v>
      </c>
      <c r="R66" s="2253" t="s">
        <v>2364</v>
      </c>
    </row>
    <row r="67" spans="1:18" s="1941" customFormat="1" ht="20.25" thickBot="1">
      <c r="A67" s="771" t="s">
        <v>1770</v>
      </c>
      <c r="B67" s="2111" t="s">
        <v>2288</v>
      </c>
      <c r="C67" s="773">
        <f ca="1">ROUND(C66*(1-((1+F69)/(1+F67))^F68)/(F67-F69),0)</f>
        <v>-3739</v>
      </c>
      <c r="D67" s="803" t="s">
        <v>698</v>
      </c>
      <c r="E67" s="774" t="s">
        <v>699</v>
      </c>
      <c r="F67" s="784">
        <f ca="1">F40</f>
        <v>4.4999999999999998E-2</v>
      </c>
      <c r="K67" s="1967"/>
      <c r="O67" s="2252" t="s">
        <v>2365</v>
      </c>
      <c r="P67" s="2253" t="s">
        <v>2396</v>
      </c>
      <c r="Q67" s="2254">
        <f ca="1">L60</f>
        <v>0</v>
      </c>
      <c r="R67" s="2257" t="s">
        <v>2398</v>
      </c>
    </row>
    <row r="68" spans="1:18" ht="21.75" thickBot="1">
      <c r="A68" s="776"/>
      <c r="B68" s="777"/>
      <c r="C68" s="778"/>
      <c r="D68" s="810" t="s">
        <v>1798</v>
      </c>
      <c r="E68" s="774" t="s">
        <v>702</v>
      </c>
      <c r="F68" s="811">
        <f ca="1">F41</f>
        <v>33.229999999999997</v>
      </c>
      <c r="O68" s="2255" t="s">
        <v>2367</v>
      </c>
      <c r="P68" s="2253" t="s">
        <v>2397</v>
      </c>
      <c r="Q68" s="2259">
        <f ca="1">L51</f>
        <v>-60393</v>
      </c>
      <c r="R68" s="2260" t="s">
        <v>2400</v>
      </c>
    </row>
    <row r="69" spans="1:18" ht="20.25" thickBot="1">
      <c r="A69" s="780"/>
      <c r="B69" s="781"/>
      <c r="C69" s="782"/>
      <c r="D69" s="805"/>
      <c r="E69" s="774" t="s">
        <v>704</v>
      </c>
      <c r="F69" s="2225"/>
      <c r="O69" s="2255" t="s">
        <v>2368</v>
      </c>
      <c r="P69" s="2261" t="s">
        <v>2382</v>
      </c>
      <c r="Q69" s="2254">
        <f ca="1">ROUND(Q70-Q71*Q72,0)</f>
        <v>-974</v>
      </c>
      <c r="R69" s="2257"/>
    </row>
    <row r="70" spans="1:18" ht="15.75" thickBot="1">
      <c r="A70" s="812" t="s">
        <v>1777</v>
      </c>
      <c r="B70" s="813" t="s">
        <v>1800</v>
      </c>
      <c r="C70" s="814">
        <f ca="1">ROUND(C67*10000/F70,0)</f>
        <v>-578</v>
      </c>
      <c r="D70" s="815" t="s">
        <v>1801</v>
      </c>
      <c r="E70" s="816" t="s">
        <v>1802</v>
      </c>
      <c r="F70" s="817">
        <f ca="1">F43</f>
        <v>64678.93</v>
      </c>
      <c r="O70" s="2255" t="s">
        <v>2383</v>
      </c>
      <c r="P70" s="2261" t="s">
        <v>2384</v>
      </c>
      <c r="Q70" s="2254">
        <f ca="1">C39</f>
        <v>550</v>
      </c>
      <c r="R70" s="2253" t="s">
        <v>2364</v>
      </c>
    </row>
    <row r="71" spans="1:18" ht="15.75" thickBot="1">
      <c r="O71" s="2255" t="s">
        <v>2385</v>
      </c>
      <c r="P71" s="2261" t="s">
        <v>2386</v>
      </c>
      <c r="Q71" s="2254">
        <f ca="1">C13</f>
        <v>19051</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12161</v>
      </c>
      <c r="R76" s="2257"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40" priority="6">
      <formula>$L$48&gt;$J$51</formula>
    </cfRule>
  </conditionalFormatting>
  <conditionalFormatting sqref="I55">
    <cfRule type="expression" dxfId="39" priority="7">
      <formula>$J$51&gt;$L$48</formula>
    </cfRule>
  </conditionalFormatting>
  <conditionalFormatting sqref="I60">
    <cfRule type="expression" dxfId="38" priority="5">
      <formula>$J$51&gt;$L$48</formula>
    </cfRule>
  </conditionalFormatting>
  <conditionalFormatting sqref="K60">
    <cfRule type="expression" dxfId="37" priority="4">
      <formula>$L$48&gt;$J$51</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3">
    <cfRule type="expression" dxfId="3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34" t="s">
        <v>792</v>
      </c>
      <c r="D4" s="3535"/>
      <c r="E4" s="3534" t="s">
        <v>793</v>
      </c>
      <c r="F4" s="3535"/>
      <c r="G4" s="3534" t="s">
        <v>794</v>
      </c>
      <c r="H4" s="3535"/>
      <c r="I4" s="3534" t="s">
        <v>795</v>
      </c>
      <c r="J4" s="3535"/>
      <c r="K4" s="508" t="s">
        <v>796</v>
      </c>
      <c r="L4" s="2014"/>
      <c r="M4" s="2015"/>
      <c r="N4" s="2015"/>
      <c r="O4" s="2015"/>
      <c r="P4" s="3536" t="s">
        <v>797</v>
      </c>
      <c r="Q4" s="3537"/>
      <c r="R4" s="3522" t="s">
        <v>793</v>
      </c>
      <c r="S4" s="3523"/>
      <c r="T4" s="3522" t="s">
        <v>794</v>
      </c>
      <c r="U4" s="3523"/>
      <c r="V4" s="3542" t="s">
        <v>795</v>
      </c>
      <c r="W4" s="3542"/>
      <c r="X4" s="1500"/>
      <c r="Y4" s="3522" t="s">
        <v>797</v>
      </c>
      <c r="Z4" s="3523"/>
      <c r="AA4" s="3517" t="s">
        <v>793</v>
      </c>
      <c r="AB4" s="3518" t="s">
        <v>794</v>
      </c>
      <c r="AC4" s="3517" t="s">
        <v>795</v>
      </c>
    </row>
    <row r="5" spans="1:29" ht="15">
      <c r="A5" s="509"/>
      <c r="B5" s="510"/>
      <c r="C5" s="3545" t="s">
        <v>2897</v>
      </c>
      <c r="D5" s="3546"/>
      <c r="E5" s="3545" t="s">
        <v>2898</v>
      </c>
      <c r="F5" s="3546"/>
      <c r="G5" s="3545" t="s">
        <v>2899</v>
      </c>
      <c r="H5" s="3546"/>
      <c r="I5" s="3545" t="s">
        <v>2900</v>
      </c>
      <c r="J5" s="3546"/>
      <c r="K5" s="508"/>
      <c r="L5" s="2014"/>
      <c r="M5" s="2015"/>
      <c r="N5" s="2015"/>
      <c r="O5" s="2015"/>
      <c r="P5" s="3538"/>
      <c r="Q5" s="3539"/>
      <c r="R5" s="3524"/>
      <c r="S5" s="3525"/>
      <c r="T5" s="3524"/>
      <c r="U5" s="3525"/>
      <c r="V5" s="3542"/>
      <c r="W5" s="3542"/>
      <c r="X5" s="1500"/>
      <c r="Y5" s="3524"/>
      <c r="Z5" s="3525"/>
      <c r="AA5" s="3518"/>
      <c r="AB5" s="3518"/>
      <c r="AC5" s="3518"/>
    </row>
    <row r="6" spans="1:29" ht="15.75" thickBot="1">
      <c r="A6" s="511"/>
      <c r="B6" s="512"/>
      <c r="C6" s="3543" t="s">
        <v>2901</v>
      </c>
      <c r="D6" s="3544"/>
      <c r="E6" s="3547" t="s">
        <v>2901</v>
      </c>
      <c r="F6" s="3548"/>
      <c r="G6" s="3543" t="s">
        <v>2901</v>
      </c>
      <c r="H6" s="3544"/>
      <c r="I6" s="3543" t="s">
        <v>2901</v>
      </c>
      <c r="J6" s="3544"/>
      <c r="K6" s="508" t="s">
        <v>522</v>
      </c>
      <c r="L6" s="2014"/>
      <c r="M6" s="2015"/>
      <c r="N6" s="2015"/>
      <c r="O6" s="2015"/>
      <c r="P6" s="3540"/>
      <c r="Q6" s="3541"/>
      <c r="R6" s="3524"/>
      <c r="S6" s="3525"/>
      <c r="T6" s="3526"/>
      <c r="U6" s="3527"/>
      <c r="V6" s="3542"/>
      <c r="W6" s="3542"/>
      <c r="X6" s="1500"/>
      <c r="Y6" s="3526"/>
      <c r="Z6" s="3527"/>
      <c r="AA6" s="3519"/>
      <c r="AB6" s="3519"/>
      <c r="AC6" s="3519"/>
    </row>
    <row r="7" spans="1:29" s="1202" customFormat="1" ht="15.75" thickBot="1">
      <c r="A7" s="2628"/>
      <c r="B7" s="2635" t="s">
        <v>523</v>
      </c>
      <c r="C7" s="513">
        <f>'数据-取费表'!B2</f>
        <v>44077</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20" t="s">
        <v>524</v>
      </c>
      <c r="Q7" s="3529"/>
      <c r="R7" s="1501" t="s">
        <v>8</v>
      </c>
      <c r="S7" s="1502">
        <f t="shared" ref="S7:S14" si="0">F7</f>
        <v>0</v>
      </c>
      <c r="T7" s="1501" t="s">
        <v>8</v>
      </c>
      <c r="U7" s="1502">
        <f t="shared" ref="U7:U14" si="1">H7</f>
        <v>0</v>
      </c>
      <c r="V7" s="1501" t="s">
        <v>8</v>
      </c>
      <c r="W7" s="1502">
        <f t="shared" ref="W7:W14" si="2">J7</f>
        <v>0</v>
      </c>
      <c r="X7" s="1503"/>
      <c r="Y7" s="3520" t="s">
        <v>524</v>
      </c>
      <c r="Z7" s="3521"/>
      <c r="AA7" s="1504" t="e">
        <f>D7/F7</f>
        <v>#DIV/0!</v>
      </c>
      <c r="AB7" s="1504" t="e">
        <f>D7/H7</f>
        <v>#DIV/0!</v>
      </c>
      <c r="AC7" s="1504"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20" t="s">
        <v>527</v>
      </c>
      <c r="Q8" s="3521"/>
      <c r="R8" s="1501" t="s">
        <v>8</v>
      </c>
      <c r="S8" s="1502">
        <f t="shared" si="0"/>
        <v>0</v>
      </c>
      <c r="T8" s="1501" t="s">
        <v>8</v>
      </c>
      <c r="U8" s="1502">
        <f t="shared" si="1"/>
        <v>0</v>
      </c>
      <c r="V8" s="1501" t="s">
        <v>8</v>
      </c>
      <c r="W8" s="1502">
        <f t="shared" si="2"/>
        <v>0</v>
      </c>
      <c r="X8" s="1503"/>
      <c r="Y8" s="3520" t="s">
        <v>527</v>
      </c>
      <c r="Z8" s="3521"/>
      <c r="AA8" s="1504" t="e">
        <f t="shared" ref="AA8:AA36" si="3">D8/F8</f>
        <v>#DIV/0!</v>
      </c>
      <c r="AB8" s="1504" t="e">
        <f t="shared" ref="AB8:AB36" si="4">D8/H8</f>
        <v>#DIV/0!</v>
      </c>
      <c r="AC8" s="1504"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28" t="s">
        <v>529</v>
      </c>
      <c r="Q9" s="1133" t="str">
        <f t="shared" ref="Q9:Q14" si="6">B9</f>
        <v>用途</v>
      </c>
      <c r="R9" s="1501" t="s">
        <v>8</v>
      </c>
      <c r="S9" s="1502">
        <f t="shared" si="0"/>
        <v>100</v>
      </c>
      <c r="T9" s="1501" t="s">
        <v>8</v>
      </c>
      <c r="U9" s="1502">
        <f t="shared" si="1"/>
        <v>100</v>
      </c>
      <c r="V9" s="1501" t="s">
        <v>8</v>
      </c>
      <c r="W9" s="1502">
        <f t="shared" si="2"/>
        <v>100</v>
      </c>
      <c r="X9" s="1503"/>
      <c r="Y9" s="3479"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28"/>
      <c r="Q10" s="1133" t="str">
        <f t="shared" si="6"/>
        <v>土地使用年限（年）</v>
      </c>
      <c r="R10" s="1501" t="s">
        <v>8</v>
      </c>
      <c r="S10" s="1502">
        <f t="shared" si="0"/>
        <v>100</v>
      </c>
      <c r="T10" s="1501" t="s">
        <v>8</v>
      </c>
      <c r="U10" s="1502">
        <f t="shared" si="1"/>
        <v>100</v>
      </c>
      <c r="V10" s="1501" t="s">
        <v>8</v>
      </c>
      <c r="W10" s="1502">
        <f t="shared" si="2"/>
        <v>100</v>
      </c>
      <c r="X10" s="1503"/>
      <c r="Y10" s="3479"/>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28"/>
      <c r="Q11" s="1133">
        <f t="shared" si="6"/>
        <v>111</v>
      </c>
      <c r="R11" s="1501" t="s">
        <v>8</v>
      </c>
      <c r="S11" s="1502">
        <f t="shared" si="0"/>
        <v>100</v>
      </c>
      <c r="T11" s="1501" t="s">
        <v>8</v>
      </c>
      <c r="U11" s="1502">
        <f t="shared" si="1"/>
        <v>100</v>
      </c>
      <c r="V11" s="1501" t="s">
        <v>8</v>
      </c>
      <c r="W11" s="1502">
        <f t="shared" si="2"/>
        <v>100</v>
      </c>
      <c r="X11" s="1503"/>
      <c r="Y11" s="3479"/>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28"/>
      <c r="Q12" s="1133">
        <f t="shared" si="6"/>
        <v>111</v>
      </c>
      <c r="R12" s="1501" t="s">
        <v>8</v>
      </c>
      <c r="S12" s="1502">
        <f t="shared" si="0"/>
        <v>100</v>
      </c>
      <c r="T12" s="1501" t="s">
        <v>8</v>
      </c>
      <c r="U12" s="1502">
        <f t="shared" si="1"/>
        <v>100</v>
      </c>
      <c r="V12" s="1501" t="s">
        <v>8</v>
      </c>
      <c r="W12" s="1502">
        <f t="shared" si="2"/>
        <v>100</v>
      </c>
      <c r="X12" s="1503"/>
      <c r="Y12" s="3479"/>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28"/>
      <c r="Q13" s="1133">
        <f t="shared" si="6"/>
        <v>111</v>
      </c>
      <c r="R13" s="1501" t="s">
        <v>8</v>
      </c>
      <c r="S13" s="1502">
        <f t="shared" si="0"/>
        <v>100</v>
      </c>
      <c r="T13" s="1501" t="s">
        <v>8</v>
      </c>
      <c r="U13" s="1502">
        <f t="shared" si="1"/>
        <v>100</v>
      </c>
      <c r="V13" s="1501" t="s">
        <v>8</v>
      </c>
      <c r="W13" s="1502">
        <f t="shared" si="2"/>
        <v>100</v>
      </c>
      <c r="X13" s="1503"/>
      <c r="Y13" s="3479"/>
      <c r="Z13" s="1132">
        <f t="shared" si="7"/>
        <v>111</v>
      </c>
      <c r="AA13" s="1504">
        <f t="shared" si="3"/>
        <v>1</v>
      </c>
      <c r="AB13" s="1504">
        <f t="shared" si="4"/>
        <v>1</v>
      </c>
      <c r="AC13" s="1504">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30" t="s">
        <v>534</v>
      </c>
      <c r="Q14" s="1505" t="str">
        <f t="shared" si="6"/>
        <v>交通便捷度</v>
      </c>
      <c r="R14" s="1506" t="s">
        <v>8</v>
      </c>
      <c r="S14" s="1507">
        <f t="shared" si="0"/>
        <v>100</v>
      </c>
      <c r="T14" s="1506" t="s">
        <v>8</v>
      </c>
      <c r="U14" s="1507">
        <f t="shared" si="1"/>
        <v>100</v>
      </c>
      <c r="V14" s="1506" t="s">
        <v>8</v>
      </c>
      <c r="W14" s="1507">
        <f t="shared" si="2"/>
        <v>100</v>
      </c>
      <c r="X14" s="1500"/>
      <c r="Y14" s="3530" t="s">
        <v>534</v>
      </c>
      <c r="Z14" s="1508" t="str">
        <f t="shared" si="7"/>
        <v>交通便捷度</v>
      </c>
      <c r="AA14" s="1509">
        <f t="shared" si="3"/>
        <v>1</v>
      </c>
      <c r="AB14" s="1509">
        <f t="shared" si="4"/>
        <v>1</v>
      </c>
      <c r="AC14" s="1509">
        <f t="shared" si="5"/>
        <v>1</v>
      </c>
    </row>
    <row r="15" spans="1:29" ht="15">
      <c r="A15" s="509"/>
      <c r="B15" s="912"/>
      <c r="C15" s="570"/>
      <c r="D15" s="549"/>
      <c r="E15" s="570"/>
      <c r="F15" s="551"/>
      <c r="G15" s="570"/>
      <c r="H15" s="553"/>
      <c r="I15" s="570"/>
      <c r="J15" s="549"/>
      <c r="K15" s="887"/>
      <c r="L15" s="2023"/>
      <c r="M15" s="2015"/>
      <c r="N15" s="2015"/>
      <c r="O15" s="2022"/>
      <c r="P15" s="3531"/>
      <c r="Q15" s="1505"/>
      <c r="R15" s="1506"/>
      <c r="S15" s="1507"/>
      <c r="T15" s="1506"/>
      <c r="U15" s="1507"/>
      <c r="V15" s="1506"/>
      <c r="W15" s="1507"/>
      <c r="X15" s="1500"/>
      <c r="Y15" s="3531"/>
      <c r="Z15" s="1508"/>
      <c r="AA15" s="1509">
        <v>1</v>
      </c>
      <c r="AB15" s="1509">
        <v>1</v>
      </c>
      <c r="AC15" s="1509">
        <v>1</v>
      </c>
    </row>
    <row r="16" spans="1:29" ht="42.75">
      <c r="A16" s="509"/>
      <c r="B16" s="2446"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31"/>
      <c r="Q16" s="1505" t="str">
        <f>B16</f>
        <v>公共配套设施</v>
      </c>
      <c r="R16" s="1506" t="s">
        <v>8</v>
      </c>
      <c r="S16" s="1507">
        <f>F16</f>
        <v>100</v>
      </c>
      <c r="T16" s="1506" t="s">
        <v>8</v>
      </c>
      <c r="U16" s="1507">
        <f>H16</f>
        <v>100</v>
      </c>
      <c r="V16" s="1506" t="s">
        <v>8</v>
      </c>
      <c r="W16" s="1507">
        <f>J16</f>
        <v>100</v>
      </c>
      <c r="X16" s="1500"/>
      <c r="Y16" s="3531"/>
      <c r="Z16" s="1508" t="str">
        <f>Q16</f>
        <v>公共配套设施</v>
      </c>
      <c r="AA16" s="1509">
        <f t="shared" si="3"/>
        <v>1</v>
      </c>
      <c r="AB16" s="1509">
        <f t="shared" si="4"/>
        <v>1</v>
      </c>
      <c r="AC16" s="1509">
        <f t="shared" si="5"/>
        <v>1</v>
      </c>
    </row>
    <row r="17" spans="1:29" ht="15">
      <c r="A17" s="509"/>
      <c r="B17" s="560"/>
      <c r="C17" s="862"/>
      <c r="D17" s="549"/>
      <c r="E17" s="570"/>
      <c r="F17" s="551"/>
      <c r="G17" s="570"/>
      <c r="H17" s="549"/>
      <c r="I17" s="570"/>
      <c r="J17" s="549"/>
      <c r="K17" s="887"/>
      <c r="L17" s="2023"/>
      <c r="M17" s="2015"/>
      <c r="N17" s="2015"/>
      <c r="O17" s="2022"/>
      <c r="P17" s="3531"/>
      <c r="Q17" s="1505"/>
      <c r="R17" s="1506"/>
      <c r="S17" s="1507"/>
      <c r="T17" s="1506"/>
      <c r="U17" s="1507"/>
      <c r="V17" s="1506"/>
      <c r="W17" s="1507"/>
      <c r="X17" s="1500"/>
      <c r="Y17" s="3531"/>
      <c r="Z17" s="1508"/>
      <c r="AA17" s="1509">
        <v>1</v>
      </c>
      <c r="AB17" s="1509">
        <v>1</v>
      </c>
      <c r="AC17" s="1509">
        <v>1</v>
      </c>
    </row>
    <row r="18" spans="1:29" ht="28.5">
      <c r="A18" s="509"/>
      <c r="B18" s="2434"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31"/>
      <c r="Q18" s="2428" t="str">
        <f>B18</f>
        <v>基础设施水平</v>
      </c>
      <c r="R18" s="1506" t="s">
        <v>8</v>
      </c>
      <c r="S18" s="1507">
        <f>F18</f>
        <v>100</v>
      </c>
      <c r="T18" s="1506" t="s">
        <v>8</v>
      </c>
      <c r="U18" s="1507">
        <f>H18</f>
        <v>100</v>
      </c>
      <c r="V18" s="1506" t="s">
        <v>8</v>
      </c>
      <c r="W18" s="1507">
        <f>J18</f>
        <v>100</v>
      </c>
      <c r="X18" s="2430"/>
      <c r="Y18" s="3531"/>
      <c r="Z18" s="2429" t="str">
        <f>Q18</f>
        <v>基础设施水平</v>
      </c>
      <c r="AA18" s="1509">
        <f t="shared" ref="AA18" si="8">D18/F18</f>
        <v>1</v>
      </c>
      <c r="AB18" s="1509">
        <f t="shared" ref="AB18" si="9">D18/H18</f>
        <v>1</v>
      </c>
      <c r="AC18" s="1509">
        <f t="shared" ref="AC18" si="10">D18/J18</f>
        <v>1</v>
      </c>
    </row>
    <row r="19" spans="1:29" ht="15">
      <c r="A19" s="509"/>
      <c r="B19" s="572"/>
      <c r="C19" s="862"/>
      <c r="D19" s="553"/>
      <c r="E19" s="570"/>
      <c r="F19" s="551"/>
      <c r="G19" s="570"/>
      <c r="H19" s="549"/>
      <c r="I19" s="570"/>
      <c r="J19" s="549"/>
      <c r="K19" s="2445"/>
      <c r="L19" s="2023"/>
      <c r="M19" s="2015"/>
      <c r="N19" s="2015"/>
      <c r="O19" s="2022"/>
      <c r="P19" s="3531"/>
      <c r="Q19" s="2428"/>
      <c r="R19" s="1506"/>
      <c r="S19" s="1507"/>
      <c r="T19" s="1506"/>
      <c r="U19" s="1507"/>
      <c r="V19" s="1506"/>
      <c r="W19" s="1507"/>
      <c r="X19" s="2430"/>
      <c r="Y19" s="3531"/>
      <c r="Z19" s="2429"/>
      <c r="AA19" s="1509">
        <v>1</v>
      </c>
      <c r="AB19" s="1509">
        <v>1</v>
      </c>
      <c r="AC19" s="1509">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31"/>
      <c r="Q20" s="1505" t="str">
        <f>B20</f>
        <v>自然及人文环境</v>
      </c>
      <c r="R20" s="1506" t="s">
        <v>8</v>
      </c>
      <c r="S20" s="1507">
        <f>F20</f>
        <v>100</v>
      </c>
      <c r="T20" s="1506" t="s">
        <v>8</v>
      </c>
      <c r="U20" s="1507">
        <f>H20</f>
        <v>100</v>
      </c>
      <c r="V20" s="1506" t="s">
        <v>8</v>
      </c>
      <c r="W20" s="1507">
        <f>J20</f>
        <v>100</v>
      </c>
      <c r="X20" s="1500"/>
      <c r="Y20" s="3531"/>
      <c r="Z20" s="1508" t="str">
        <f>Q20</f>
        <v>自然及人文环境</v>
      </c>
      <c r="AA20" s="1509">
        <f t="shared" si="3"/>
        <v>1</v>
      </c>
      <c r="AB20" s="1509">
        <f t="shared" si="4"/>
        <v>1</v>
      </c>
      <c r="AC20" s="1509">
        <f t="shared" si="5"/>
        <v>1</v>
      </c>
    </row>
    <row r="21" spans="1:29" ht="15">
      <c r="A21" s="509"/>
      <c r="B21" s="560"/>
      <c r="C21" s="570"/>
      <c r="D21" s="549"/>
      <c r="E21" s="570"/>
      <c r="F21" s="551"/>
      <c r="G21" s="570"/>
      <c r="H21" s="549"/>
      <c r="I21" s="570"/>
      <c r="J21" s="549"/>
      <c r="K21" s="887"/>
      <c r="L21" s="2023"/>
      <c r="M21" s="2015"/>
      <c r="N21" s="2015"/>
      <c r="O21" s="2022"/>
      <c r="P21" s="3531"/>
      <c r="Q21" s="1505"/>
      <c r="R21" s="1506"/>
      <c r="S21" s="1507"/>
      <c r="T21" s="1506"/>
      <c r="U21" s="1507"/>
      <c r="V21" s="1506"/>
      <c r="W21" s="1507"/>
      <c r="X21" s="1500"/>
      <c r="Y21" s="3531"/>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31"/>
      <c r="Q22" s="1505" t="str">
        <f>B22</f>
        <v>楼层</v>
      </c>
      <c r="R22" s="1506" t="s">
        <v>8</v>
      </c>
      <c r="S22" s="1507">
        <f>F22</f>
        <v>100</v>
      </c>
      <c r="T22" s="1506" t="s">
        <v>8</v>
      </c>
      <c r="U22" s="1507">
        <f>H22</f>
        <v>100</v>
      </c>
      <c r="V22" s="1506" t="s">
        <v>8</v>
      </c>
      <c r="W22" s="1507">
        <f>J22</f>
        <v>100</v>
      </c>
      <c r="X22" s="1500"/>
      <c r="Y22" s="3531"/>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31"/>
      <c r="Q23" s="1505">
        <f>B23</f>
        <v>111</v>
      </c>
      <c r="R23" s="1506" t="s">
        <v>8</v>
      </c>
      <c r="S23" s="1507">
        <f>F23</f>
        <v>100</v>
      </c>
      <c r="T23" s="1506" t="s">
        <v>8</v>
      </c>
      <c r="U23" s="1507">
        <f>H23</f>
        <v>100</v>
      </c>
      <c r="V23" s="1506" t="s">
        <v>8</v>
      </c>
      <c r="W23" s="1507">
        <f>J23</f>
        <v>100</v>
      </c>
      <c r="X23" s="1500"/>
      <c r="Y23" s="3531"/>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31"/>
      <c r="Q24" s="1505">
        <f t="shared" ref="Q24:Q36" si="11">B24</f>
        <v>111</v>
      </c>
      <c r="R24" s="1506" t="s">
        <v>8</v>
      </c>
      <c r="S24" s="1507">
        <f>F24</f>
        <v>100</v>
      </c>
      <c r="T24" s="1506" t="s">
        <v>8</v>
      </c>
      <c r="U24" s="1507">
        <f>H24</f>
        <v>100</v>
      </c>
      <c r="V24" s="1506" t="s">
        <v>8</v>
      </c>
      <c r="W24" s="1507">
        <f>J24</f>
        <v>100</v>
      </c>
      <c r="X24" s="1500"/>
      <c r="Y24" s="3531"/>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31"/>
      <c r="Q25" s="1133">
        <f t="shared" si="11"/>
        <v>111</v>
      </c>
      <c r="R25" s="1501" t="s">
        <v>8</v>
      </c>
      <c r="S25" s="1502">
        <f>F25</f>
        <v>100</v>
      </c>
      <c r="T25" s="1501" t="s">
        <v>8</v>
      </c>
      <c r="U25" s="1502">
        <f>H25</f>
        <v>100</v>
      </c>
      <c r="V25" s="1501" t="s">
        <v>8</v>
      </c>
      <c r="W25" s="1502">
        <f>J25</f>
        <v>100</v>
      </c>
      <c r="X25" s="1503"/>
      <c r="Y25" s="3531"/>
      <c r="Z25" s="1132">
        <f>Q25</f>
        <v>111</v>
      </c>
      <c r="AA25" s="1509">
        <f>D25/F25</f>
        <v>1</v>
      </c>
      <c r="AB25" s="1509">
        <f>D25/H25</f>
        <v>1</v>
      </c>
      <c r="AC25" s="1509">
        <f>D25/J25</f>
        <v>1</v>
      </c>
    </row>
    <row r="26" spans="1:29" ht="15">
      <c r="A26" s="2623"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32"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33"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33"/>
      <c r="Q27" s="1534" t="str">
        <f t="shared" si="11"/>
        <v>项目停车位配比</v>
      </c>
      <c r="R27" s="1510" t="s">
        <v>8</v>
      </c>
      <c r="S27" s="1511">
        <f t="shared" si="12"/>
        <v>100</v>
      </c>
      <c r="T27" s="1510" t="s">
        <v>8</v>
      </c>
      <c r="U27" s="1511">
        <f t="shared" si="13"/>
        <v>100</v>
      </c>
      <c r="V27" s="1510" t="s">
        <v>8</v>
      </c>
      <c r="W27" s="1511">
        <f t="shared" si="14"/>
        <v>100</v>
      </c>
      <c r="X27" s="1512"/>
      <c r="Y27" s="3533"/>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33"/>
      <c r="Q28" s="1505" t="str">
        <f t="shared" si="11"/>
        <v>公共部分装修</v>
      </c>
      <c r="R28" s="1506" t="s">
        <v>8</v>
      </c>
      <c r="S28" s="1507">
        <f t="shared" si="12"/>
        <v>100</v>
      </c>
      <c r="T28" s="1506" t="s">
        <v>8</v>
      </c>
      <c r="U28" s="1507">
        <f t="shared" si="13"/>
        <v>100</v>
      </c>
      <c r="V28" s="1506" t="s">
        <v>8</v>
      </c>
      <c r="W28" s="1507">
        <f t="shared" si="14"/>
        <v>100</v>
      </c>
      <c r="X28" s="1500"/>
      <c r="Y28" s="3533"/>
      <c r="Z28" s="1508" t="str">
        <f t="shared" si="15"/>
        <v>公共部分装修</v>
      </c>
      <c r="AA28" s="1509">
        <f t="shared" si="3"/>
        <v>1</v>
      </c>
      <c r="AB28" s="1509">
        <f t="shared" si="4"/>
        <v>1</v>
      </c>
      <c r="AC28" s="1509">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33"/>
      <c r="Q29" s="1505" t="str">
        <f t="shared" si="11"/>
        <v>成新率</v>
      </c>
      <c r="R29" s="1506" t="s">
        <v>8</v>
      </c>
      <c r="S29" s="1507" t="e">
        <f t="shared" si="12"/>
        <v>#N/A</v>
      </c>
      <c r="T29" s="1506" t="s">
        <v>8</v>
      </c>
      <c r="U29" s="1507" t="e">
        <f t="shared" si="13"/>
        <v>#N/A</v>
      </c>
      <c r="V29" s="1506" t="s">
        <v>8</v>
      </c>
      <c r="W29" s="1507" t="e">
        <f t="shared" si="14"/>
        <v>#N/A</v>
      </c>
      <c r="X29" s="1500"/>
      <c r="Y29" s="3533"/>
      <c r="Z29" s="1508" t="str">
        <f t="shared" si="15"/>
        <v>成新率</v>
      </c>
      <c r="AA29" s="1509" t="e">
        <f t="shared" si="3"/>
        <v>#N/A</v>
      </c>
      <c r="AB29" s="1509" t="e">
        <f t="shared" si="4"/>
        <v>#N/A</v>
      </c>
      <c r="AC29" s="1509"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33"/>
      <c r="Q30" s="1505" t="str">
        <f t="shared" si="11"/>
        <v>物业等级</v>
      </c>
      <c r="R30" s="1506" t="s">
        <v>8</v>
      </c>
      <c r="S30" s="1507">
        <f t="shared" si="12"/>
        <v>100</v>
      </c>
      <c r="T30" s="1506" t="s">
        <v>8</v>
      </c>
      <c r="U30" s="1507">
        <f t="shared" si="13"/>
        <v>100</v>
      </c>
      <c r="V30" s="1506" t="s">
        <v>8</v>
      </c>
      <c r="W30" s="1507">
        <f t="shared" si="14"/>
        <v>100</v>
      </c>
      <c r="X30" s="1500"/>
      <c r="Y30" s="3533"/>
      <c r="Z30" s="1508" t="str">
        <f t="shared" si="15"/>
        <v>物业等级</v>
      </c>
      <c r="AA30" s="1509">
        <f t="shared" si="3"/>
        <v>1</v>
      </c>
      <c r="AB30" s="1509">
        <f t="shared" si="4"/>
        <v>1</v>
      </c>
      <c r="AC30" s="1509">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33"/>
      <c r="Q31" s="1133" t="str">
        <f t="shared" si="11"/>
        <v>停车位面积</v>
      </c>
      <c r="R31" s="1501" t="s">
        <v>8</v>
      </c>
      <c r="S31" s="1502" t="e">
        <f t="shared" si="12"/>
        <v>#N/A</v>
      </c>
      <c r="T31" s="1501" t="s">
        <v>8</v>
      </c>
      <c r="U31" s="1502" t="e">
        <f t="shared" si="13"/>
        <v>#N/A</v>
      </c>
      <c r="V31" s="1501" t="s">
        <v>8</v>
      </c>
      <c r="W31" s="1502" t="e">
        <f t="shared" si="14"/>
        <v>#N/A</v>
      </c>
      <c r="X31" s="1503"/>
      <c r="Y31" s="3533"/>
      <c r="Z31" s="1132" t="str">
        <f t="shared" si="15"/>
        <v>停车位面积</v>
      </c>
      <c r="AA31" s="1504" t="e">
        <f t="shared" si="3"/>
        <v>#N/A</v>
      </c>
      <c r="AB31" s="1504" t="e">
        <f t="shared" si="4"/>
        <v>#N/A</v>
      </c>
      <c r="AC31" s="1504"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33" t="s">
        <v>544</v>
      </c>
      <c r="Q32" s="1505" t="str">
        <f t="shared" si="11"/>
        <v>车位类型</v>
      </c>
      <c r="R32" s="1506" t="s">
        <v>8</v>
      </c>
      <c r="S32" s="1507">
        <f t="shared" si="12"/>
        <v>100</v>
      </c>
      <c r="T32" s="1506" t="s">
        <v>8</v>
      </c>
      <c r="U32" s="1507">
        <f t="shared" si="13"/>
        <v>100</v>
      </c>
      <c r="V32" s="1506" t="s">
        <v>8</v>
      </c>
      <c r="W32" s="1507">
        <f t="shared" si="14"/>
        <v>100</v>
      </c>
      <c r="X32" s="1500"/>
      <c r="Y32" s="3533"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33"/>
      <c r="Q33" s="1505" t="str">
        <f t="shared" si="11"/>
        <v>是否直接入户</v>
      </c>
      <c r="R33" s="1506" t="s">
        <v>8</v>
      </c>
      <c r="S33" s="1507">
        <f t="shared" si="12"/>
        <v>100</v>
      </c>
      <c r="T33" s="1506" t="s">
        <v>8</v>
      </c>
      <c r="U33" s="1507">
        <f t="shared" si="13"/>
        <v>100</v>
      </c>
      <c r="V33" s="1506" t="s">
        <v>8</v>
      </c>
      <c r="W33" s="1507">
        <f t="shared" si="14"/>
        <v>100</v>
      </c>
      <c r="X33" s="1500"/>
      <c r="Y33" s="3533"/>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33"/>
      <c r="Q34" s="1505">
        <f t="shared" si="11"/>
        <v>111</v>
      </c>
      <c r="R34" s="1506" t="s">
        <v>8</v>
      </c>
      <c r="S34" s="1507">
        <f t="shared" si="12"/>
        <v>100</v>
      </c>
      <c r="T34" s="1506" t="s">
        <v>8</v>
      </c>
      <c r="U34" s="1507">
        <f t="shared" si="13"/>
        <v>100</v>
      </c>
      <c r="V34" s="1506" t="s">
        <v>8</v>
      </c>
      <c r="W34" s="1507">
        <f t="shared" si="14"/>
        <v>100</v>
      </c>
      <c r="X34" s="1500"/>
      <c r="Y34" s="3533"/>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33"/>
      <c r="Q35" s="1534">
        <f t="shared" si="11"/>
        <v>111</v>
      </c>
      <c r="R35" s="1510" t="s">
        <v>8</v>
      </c>
      <c r="S35" s="1511">
        <f t="shared" si="12"/>
        <v>100</v>
      </c>
      <c r="T35" s="1510" t="s">
        <v>8</v>
      </c>
      <c r="U35" s="1511">
        <f t="shared" si="13"/>
        <v>100</v>
      </c>
      <c r="V35" s="1510" t="s">
        <v>8</v>
      </c>
      <c r="W35" s="1511">
        <f t="shared" si="14"/>
        <v>100</v>
      </c>
      <c r="X35" s="1512"/>
      <c r="Y35" s="3533"/>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33"/>
      <c r="Q36" s="1505">
        <f t="shared" si="11"/>
        <v>111</v>
      </c>
      <c r="R36" s="1506" t="s">
        <v>8</v>
      </c>
      <c r="S36" s="1507">
        <f t="shared" si="12"/>
        <v>100</v>
      </c>
      <c r="T36" s="1506" t="s">
        <v>8</v>
      </c>
      <c r="U36" s="1507">
        <f t="shared" si="13"/>
        <v>100</v>
      </c>
      <c r="V36" s="1506" t="s">
        <v>8</v>
      </c>
      <c r="W36" s="1507">
        <f t="shared" si="14"/>
        <v>100</v>
      </c>
      <c r="X36" s="1500"/>
      <c r="Y36" s="3533"/>
      <c r="Z36" s="1508">
        <f t="shared" si="15"/>
        <v>111</v>
      </c>
      <c r="AA36" s="1509">
        <f t="shared" si="3"/>
        <v>1</v>
      </c>
      <c r="AB36" s="1509">
        <f t="shared" si="4"/>
        <v>1</v>
      </c>
      <c r="AC36" s="1509">
        <f t="shared" si="5"/>
        <v>1</v>
      </c>
    </row>
    <row r="37" spans="1:29" ht="15">
      <c r="A37" s="1759" t="s">
        <v>2065</v>
      </c>
      <c r="B37" s="1760" t="s">
        <v>2066</v>
      </c>
      <c r="C37" s="2469" t="s">
        <v>1</v>
      </c>
      <c r="D37" s="2470"/>
      <c r="E37" s="2471"/>
      <c r="F37" s="2472"/>
      <c r="G37" s="2473"/>
      <c r="H37" s="2474"/>
      <c r="I37" s="2471"/>
      <c r="J37" s="2474"/>
      <c r="K37" s="1539"/>
      <c r="L37" s="2025"/>
      <c r="M37" s="2026"/>
      <c r="N37" s="2015"/>
      <c r="O37" s="2026"/>
      <c r="P37" s="3528" t="str">
        <f>A37</f>
        <v>成交单价</v>
      </c>
      <c r="Q37" s="3528"/>
      <c r="R37" s="3612">
        <f>E37</f>
        <v>0</v>
      </c>
      <c r="S37" s="3612"/>
      <c r="T37" s="3612">
        <f>G37</f>
        <v>0</v>
      </c>
      <c r="U37" s="3612"/>
      <c r="V37" s="3612">
        <f>I37</f>
        <v>0</v>
      </c>
      <c r="W37" s="3612"/>
      <c r="X37" s="1495"/>
      <c r="Y37" s="1514"/>
      <c r="Z37" s="1495"/>
      <c r="AA37" s="1495"/>
      <c r="AB37" s="1495"/>
      <c r="AC37" s="1495"/>
    </row>
    <row r="38" spans="1:29" ht="15.75" thickBot="1">
      <c r="A38" s="609" t="s">
        <v>2740</v>
      </c>
      <c r="B38" s="876"/>
      <c r="C38" s="2475" t="e">
        <f>R39</f>
        <v>#DIV/0!</v>
      </c>
      <c r="D38" s="3013" t="s">
        <v>2972</v>
      </c>
      <c r="E38" s="2476" t="e">
        <f>R38</f>
        <v>#DIV/0!</v>
      </c>
      <c r="F38" s="3014"/>
      <c r="G38" s="2475" t="e">
        <f>T38</f>
        <v>#DIV/0!</v>
      </c>
      <c r="H38" s="3014"/>
      <c r="I38" s="2476" t="e">
        <f>V38</f>
        <v>#DIV/0!</v>
      </c>
      <c r="J38" s="3014"/>
      <c r="K38" s="3022">
        <f>F38+H38+J38</f>
        <v>0</v>
      </c>
      <c r="L38" s="2025"/>
      <c r="M38" s="2026"/>
      <c r="N38" s="2026"/>
      <c r="O38" s="2026"/>
      <c r="P38" s="3528" t="str">
        <f>A38</f>
        <v>比较价格（元/平方米）</v>
      </c>
      <c r="Q38" s="3528"/>
      <c r="R38" s="3612" t="e">
        <f>IF(F1="售价",ROUND(PRODUCT(R37,AA7:AA36),0),ROUND(PRODUCT(R37,AA7:AA36),1))</f>
        <v>#DIV/0!</v>
      </c>
      <c r="S38" s="3612"/>
      <c r="T38" s="3612" t="e">
        <f>IF(F1="售价",ROUND(PRODUCT(T37,AB7:AB36),0),ROUND(PRODUCT(T37,AB7:AB36),1))</f>
        <v>#DIV/0!</v>
      </c>
      <c r="U38" s="3612"/>
      <c r="V38" s="3612" t="e">
        <f>IF(F1="售价",ROUND(PRODUCT(V37,AC7:AC36),0),ROUND(PRODUCT(V37,AC7:AC36),1))</f>
        <v>#DIV/0!</v>
      </c>
      <c r="W38" s="3612"/>
      <c r="X38" s="1495"/>
      <c r="Y38" s="1495"/>
      <c r="Z38" s="1495"/>
      <c r="AA38" s="1495"/>
      <c r="AB38" s="1495"/>
      <c r="AC38" s="1495"/>
    </row>
    <row r="39" spans="1:29" ht="15.75" thickBot="1">
      <c r="A39" s="613" t="s">
        <v>2903</v>
      </c>
      <c r="B39" s="614"/>
      <c r="C39" s="2477" t="e">
        <f>R39</f>
        <v>#DIV/0!</v>
      </c>
      <c r="D39" s="2477"/>
      <c r="E39" s="2477"/>
      <c r="F39" s="2477"/>
      <c r="G39" s="2477"/>
      <c r="H39" s="2477"/>
      <c r="I39" s="2477"/>
      <c r="J39" s="2477"/>
      <c r="K39" s="1540"/>
      <c r="L39" s="2025"/>
      <c r="M39" s="2026"/>
      <c r="N39" s="2026"/>
      <c r="O39" s="2026"/>
      <c r="P39" s="3549" t="str">
        <f>A39</f>
        <v>估价对象XX用房的比较价格（楼面单价，元/平方米）</v>
      </c>
      <c r="Q39" s="3550"/>
      <c r="R39" s="3611" t="e">
        <f>IF(F1="售价",ROUND(IF(D38="简单平均",AVERAGE(R38:W38),R38*F38+T38*H38+V38*J38),0),ROUND(IF(D38="简单平均",AVERAGE(R38:V38),R38*F38+T38*H38+V38*J38),1))</f>
        <v>#DIV/0!</v>
      </c>
      <c r="S39" s="3611"/>
      <c r="T39" s="3611"/>
      <c r="U39" s="3611"/>
      <c r="V39" s="3611"/>
      <c r="W39" s="3611"/>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2020-9</v>
      </c>
      <c r="D48" s="2520">
        <f>EDATE(C48,-1)</f>
        <v>44044</v>
      </c>
      <c r="E48" s="2520">
        <f t="shared" ref="E48:O48" si="16">EDATE(D48,-1)</f>
        <v>44013</v>
      </c>
      <c r="F48" s="2520">
        <f t="shared" si="16"/>
        <v>43983</v>
      </c>
      <c r="G48" s="2520">
        <f t="shared" si="16"/>
        <v>43952</v>
      </c>
      <c r="H48" s="2520">
        <f t="shared" si="16"/>
        <v>43922</v>
      </c>
      <c r="I48" s="2520">
        <f t="shared" si="16"/>
        <v>43891</v>
      </c>
      <c r="J48" s="2520">
        <f t="shared" si="16"/>
        <v>43862</v>
      </c>
      <c r="K48" s="2520">
        <f t="shared" si="16"/>
        <v>43831</v>
      </c>
      <c r="L48" s="2520">
        <f t="shared" si="16"/>
        <v>43800</v>
      </c>
      <c r="M48" s="2520">
        <f t="shared" si="16"/>
        <v>43770</v>
      </c>
      <c r="N48" s="2520">
        <f t="shared" si="16"/>
        <v>43739</v>
      </c>
      <c r="O48" s="2520">
        <f t="shared" si="16"/>
        <v>43709</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34" t="s">
        <v>792</v>
      </c>
      <c r="D4" s="3535"/>
      <c r="E4" s="3559" t="s">
        <v>793</v>
      </c>
      <c r="F4" s="3560"/>
      <c r="G4" s="3534" t="s">
        <v>794</v>
      </c>
      <c r="H4" s="3535"/>
      <c r="I4" s="3534" t="s">
        <v>795</v>
      </c>
      <c r="J4" s="3535"/>
      <c r="K4" s="508" t="s">
        <v>796</v>
      </c>
      <c r="L4" s="2014"/>
      <c r="M4" s="2015"/>
      <c r="N4" s="2015"/>
      <c r="O4" s="2015"/>
      <c r="P4" s="3536" t="s">
        <v>797</v>
      </c>
      <c r="Q4" s="3537"/>
      <c r="R4" s="3522" t="s">
        <v>793</v>
      </c>
      <c r="S4" s="3523"/>
      <c r="T4" s="3522" t="s">
        <v>794</v>
      </c>
      <c r="U4" s="3523"/>
      <c r="V4" s="3542" t="s">
        <v>795</v>
      </c>
      <c r="W4" s="3542"/>
      <c r="X4" s="1500"/>
      <c r="Y4" s="3522" t="s">
        <v>797</v>
      </c>
      <c r="Z4" s="3523"/>
      <c r="AA4" s="3517" t="s">
        <v>793</v>
      </c>
      <c r="AB4" s="3518" t="s">
        <v>794</v>
      </c>
      <c r="AC4" s="3517" t="s">
        <v>795</v>
      </c>
    </row>
    <row r="5" spans="1:29" ht="15">
      <c r="A5" s="509"/>
      <c r="B5" s="510"/>
      <c r="C5" s="3545" t="s">
        <v>2897</v>
      </c>
      <c r="D5" s="3546"/>
      <c r="E5" s="3561" t="s">
        <v>2898</v>
      </c>
      <c r="F5" s="3562"/>
      <c r="G5" s="3545" t="s">
        <v>2899</v>
      </c>
      <c r="H5" s="3546"/>
      <c r="I5" s="3545" t="s">
        <v>2900</v>
      </c>
      <c r="J5" s="3546"/>
      <c r="K5" s="508"/>
      <c r="L5" s="2014"/>
      <c r="M5" s="2015"/>
      <c r="N5" s="2015"/>
      <c r="O5" s="2015"/>
      <c r="P5" s="3538"/>
      <c r="Q5" s="3539"/>
      <c r="R5" s="3524"/>
      <c r="S5" s="3525"/>
      <c r="T5" s="3524"/>
      <c r="U5" s="3525"/>
      <c r="V5" s="3542"/>
      <c r="W5" s="3542"/>
      <c r="X5" s="1500"/>
      <c r="Y5" s="3524"/>
      <c r="Z5" s="3525"/>
      <c r="AA5" s="3518"/>
      <c r="AB5" s="3518"/>
      <c r="AC5" s="3518"/>
    </row>
    <row r="6" spans="1:29" ht="15.75" thickBot="1">
      <c r="A6" s="511"/>
      <c r="B6" s="512"/>
      <c r="C6" s="3543" t="s">
        <v>2901</v>
      </c>
      <c r="D6" s="3544"/>
      <c r="E6" s="3563" t="s">
        <v>2901</v>
      </c>
      <c r="F6" s="3564"/>
      <c r="G6" s="3543" t="s">
        <v>2901</v>
      </c>
      <c r="H6" s="3544"/>
      <c r="I6" s="3543" t="s">
        <v>2901</v>
      </c>
      <c r="J6" s="3544"/>
      <c r="K6" s="508" t="s">
        <v>522</v>
      </c>
      <c r="L6" s="2014"/>
      <c r="M6" s="2015"/>
      <c r="N6" s="2015"/>
      <c r="O6" s="2015"/>
      <c r="P6" s="3540"/>
      <c r="Q6" s="3541"/>
      <c r="R6" s="3524"/>
      <c r="S6" s="3525"/>
      <c r="T6" s="3526"/>
      <c r="U6" s="3527"/>
      <c r="V6" s="3542"/>
      <c r="W6" s="3542"/>
      <c r="X6" s="1500"/>
      <c r="Y6" s="3526"/>
      <c r="Z6" s="3527"/>
      <c r="AA6" s="3519"/>
      <c r="AB6" s="3519"/>
      <c r="AC6" s="3519"/>
    </row>
    <row r="7" spans="1:29" s="1202" customFormat="1" ht="15.75" thickBot="1">
      <c r="A7" s="2628"/>
      <c r="B7" s="2635" t="s">
        <v>523</v>
      </c>
      <c r="C7" s="513">
        <f>'数据-取费表'!B2</f>
        <v>44077</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20" t="s">
        <v>524</v>
      </c>
      <c r="Q7" s="3529"/>
      <c r="R7" s="1501" t="s">
        <v>8</v>
      </c>
      <c r="S7" s="1502">
        <f t="shared" ref="S7:S14" si="0">F7</f>
        <v>0</v>
      </c>
      <c r="T7" s="1501" t="s">
        <v>8</v>
      </c>
      <c r="U7" s="1502">
        <f t="shared" ref="U7:U14" si="1">H7</f>
        <v>0</v>
      </c>
      <c r="V7" s="1501" t="s">
        <v>8</v>
      </c>
      <c r="W7" s="1502">
        <f t="shared" ref="W7:W14" si="2">J7</f>
        <v>0</v>
      </c>
      <c r="X7" s="1503"/>
      <c r="Y7" s="3520" t="s">
        <v>524</v>
      </c>
      <c r="Z7" s="3521"/>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20" t="s">
        <v>527</v>
      </c>
      <c r="Q8" s="3521"/>
      <c r="R8" s="1501" t="s">
        <v>8</v>
      </c>
      <c r="S8" s="1502">
        <f t="shared" si="0"/>
        <v>0</v>
      </c>
      <c r="T8" s="1501" t="s">
        <v>8</v>
      </c>
      <c r="U8" s="1502">
        <f t="shared" si="1"/>
        <v>0</v>
      </c>
      <c r="V8" s="1501" t="s">
        <v>8</v>
      </c>
      <c r="W8" s="1502">
        <f t="shared" si="2"/>
        <v>0</v>
      </c>
      <c r="X8" s="1503"/>
      <c r="Y8" s="3520" t="s">
        <v>527</v>
      </c>
      <c r="Z8" s="3521"/>
      <c r="AA8" s="1504" t="e">
        <f t="shared" ref="AA8:AA34" si="3">D8/F8</f>
        <v>#DIV/0!</v>
      </c>
      <c r="AB8" s="1504" t="e">
        <f t="shared" ref="AB8:AB34" si="4">D8/H8</f>
        <v>#DIV/0!</v>
      </c>
      <c r="AC8" s="1504"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28" t="s">
        <v>529</v>
      </c>
      <c r="Q9" s="1133" t="str">
        <f t="shared" ref="Q9:Q14" si="6">B9</f>
        <v>用途</v>
      </c>
      <c r="R9" s="1501" t="s">
        <v>8</v>
      </c>
      <c r="S9" s="1502">
        <f t="shared" si="0"/>
        <v>100</v>
      </c>
      <c r="T9" s="1501" t="s">
        <v>8</v>
      </c>
      <c r="U9" s="1502">
        <f t="shared" si="1"/>
        <v>100</v>
      </c>
      <c r="V9" s="1501" t="s">
        <v>8</v>
      </c>
      <c r="W9" s="1502">
        <f t="shared" si="2"/>
        <v>100</v>
      </c>
      <c r="X9" s="1503"/>
      <c r="Y9" s="3479"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28"/>
      <c r="Q10" s="1133" t="str">
        <f t="shared" si="6"/>
        <v>土地使用年限（年）</v>
      </c>
      <c r="R10" s="1501" t="s">
        <v>8</v>
      </c>
      <c r="S10" s="1502">
        <f t="shared" si="0"/>
        <v>100</v>
      </c>
      <c r="T10" s="1501" t="s">
        <v>8</v>
      </c>
      <c r="U10" s="1502">
        <f t="shared" si="1"/>
        <v>100</v>
      </c>
      <c r="V10" s="1501" t="s">
        <v>8</v>
      </c>
      <c r="W10" s="1502">
        <f t="shared" si="2"/>
        <v>100</v>
      </c>
      <c r="X10" s="1503"/>
      <c r="Y10" s="3479"/>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28"/>
      <c r="Q11" s="1133">
        <f t="shared" si="6"/>
        <v>111</v>
      </c>
      <c r="R11" s="1501" t="s">
        <v>8</v>
      </c>
      <c r="S11" s="1502">
        <f t="shared" si="0"/>
        <v>100</v>
      </c>
      <c r="T11" s="1501" t="s">
        <v>8</v>
      </c>
      <c r="U11" s="1502">
        <f t="shared" si="1"/>
        <v>100</v>
      </c>
      <c r="V11" s="1501" t="s">
        <v>8</v>
      </c>
      <c r="W11" s="1502">
        <f t="shared" si="2"/>
        <v>100</v>
      </c>
      <c r="X11" s="1503"/>
      <c r="Y11" s="3479"/>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28"/>
      <c r="Q12" s="1133">
        <f t="shared" si="6"/>
        <v>111</v>
      </c>
      <c r="R12" s="1501" t="s">
        <v>8</v>
      </c>
      <c r="S12" s="1502">
        <f t="shared" si="0"/>
        <v>100</v>
      </c>
      <c r="T12" s="1501" t="s">
        <v>8</v>
      </c>
      <c r="U12" s="1502">
        <f t="shared" si="1"/>
        <v>100</v>
      </c>
      <c r="V12" s="1501" t="s">
        <v>8</v>
      </c>
      <c r="W12" s="1502">
        <f t="shared" si="2"/>
        <v>100</v>
      </c>
      <c r="X12" s="1503"/>
      <c r="Y12" s="3479"/>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28"/>
      <c r="Q13" s="1133">
        <f t="shared" si="6"/>
        <v>111</v>
      </c>
      <c r="R13" s="1501" t="s">
        <v>8</v>
      </c>
      <c r="S13" s="1502">
        <f t="shared" si="0"/>
        <v>100</v>
      </c>
      <c r="T13" s="1501" t="s">
        <v>8</v>
      </c>
      <c r="U13" s="1502">
        <f t="shared" si="1"/>
        <v>100</v>
      </c>
      <c r="V13" s="1501" t="s">
        <v>8</v>
      </c>
      <c r="W13" s="1502">
        <f t="shared" si="2"/>
        <v>100</v>
      </c>
      <c r="X13" s="1503"/>
      <c r="Y13" s="3479"/>
      <c r="Z13" s="1132">
        <f t="shared" si="7"/>
        <v>111</v>
      </c>
      <c r="AA13" s="1504">
        <f t="shared" si="3"/>
        <v>1</v>
      </c>
      <c r="AB13" s="1504">
        <f t="shared" si="4"/>
        <v>1</v>
      </c>
      <c r="AC13" s="1504">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30" t="s">
        <v>534</v>
      </c>
      <c r="Q14" s="1505" t="str">
        <f t="shared" si="6"/>
        <v>交通便捷度</v>
      </c>
      <c r="R14" s="1506" t="s">
        <v>8</v>
      </c>
      <c r="S14" s="1507">
        <f t="shared" si="0"/>
        <v>100</v>
      </c>
      <c r="T14" s="1506" t="s">
        <v>8</v>
      </c>
      <c r="U14" s="1507">
        <f t="shared" si="1"/>
        <v>100</v>
      </c>
      <c r="V14" s="1506" t="s">
        <v>8</v>
      </c>
      <c r="W14" s="1507">
        <f t="shared" si="2"/>
        <v>100</v>
      </c>
      <c r="X14" s="1500"/>
      <c r="Y14" s="3530"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31"/>
      <c r="Q15" s="1505"/>
      <c r="R15" s="1506"/>
      <c r="S15" s="1507"/>
      <c r="T15" s="1506"/>
      <c r="U15" s="1507"/>
      <c r="V15" s="1506"/>
      <c r="W15" s="1507"/>
      <c r="X15" s="1500"/>
      <c r="Y15" s="3531"/>
      <c r="Z15" s="1508"/>
      <c r="AA15" s="1509">
        <v>1</v>
      </c>
      <c r="AB15" s="1509">
        <v>1</v>
      </c>
      <c r="AC15" s="1509">
        <v>1</v>
      </c>
    </row>
    <row r="16" spans="1:29" ht="42.75">
      <c r="A16" s="526"/>
      <c r="B16" s="2446"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31"/>
      <c r="Q16" s="1505" t="str">
        <f>B16</f>
        <v>公共配套设施</v>
      </c>
      <c r="R16" s="1506" t="s">
        <v>8</v>
      </c>
      <c r="S16" s="1507">
        <f>F16</f>
        <v>100</v>
      </c>
      <c r="T16" s="1506" t="s">
        <v>8</v>
      </c>
      <c r="U16" s="1507">
        <f>H16</f>
        <v>100</v>
      </c>
      <c r="V16" s="1506" t="s">
        <v>8</v>
      </c>
      <c r="W16" s="1507">
        <f>J16</f>
        <v>100</v>
      </c>
      <c r="X16" s="1500"/>
      <c r="Y16" s="3531"/>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31"/>
      <c r="Q17" s="1505"/>
      <c r="R17" s="1506"/>
      <c r="S17" s="1507"/>
      <c r="T17" s="1506"/>
      <c r="U17" s="1507"/>
      <c r="V17" s="1506"/>
      <c r="W17" s="1507"/>
      <c r="X17" s="1500"/>
      <c r="Y17" s="3531"/>
      <c r="Z17" s="1508"/>
      <c r="AA17" s="1509">
        <v>1</v>
      </c>
      <c r="AB17" s="1509">
        <v>1</v>
      </c>
      <c r="AC17" s="1509">
        <v>1</v>
      </c>
    </row>
    <row r="18" spans="1:29" ht="28.5">
      <c r="A18" s="526"/>
      <c r="B18" s="2434"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31"/>
      <c r="Q18" s="2428" t="str">
        <f>B18</f>
        <v>基础设施水平</v>
      </c>
      <c r="R18" s="1506" t="s">
        <v>8</v>
      </c>
      <c r="S18" s="1507">
        <f>F18</f>
        <v>100</v>
      </c>
      <c r="T18" s="1506" t="s">
        <v>8</v>
      </c>
      <c r="U18" s="1507">
        <f>H18</f>
        <v>100</v>
      </c>
      <c r="V18" s="1506" t="s">
        <v>8</v>
      </c>
      <c r="W18" s="1507">
        <f>J18</f>
        <v>100</v>
      </c>
      <c r="X18" s="2430"/>
      <c r="Y18" s="3531"/>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31"/>
      <c r="Q19" s="2428"/>
      <c r="R19" s="1506"/>
      <c r="S19" s="1507"/>
      <c r="T19" s="1506"/>
      <c r="U19" s="1507"/>
      <c r="V19" s="1506"/>
      <c r="W19" s="1507"/>
      <c r="X19" s="2430"/>
      <c r="Y19" s="3531"/>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31"/>
      <c r="Q20" s="1505" t="str">
        <f>B20</f>
        <v>自然及人文环境</v>
      </c>
      <c r="R20" s="1506" t="s">
        <v>8</v>
      </c>
      <c r="S20" s="1507">
        <f>F20</f>
        <v>100</v>
      </c>
      <c r="T20" s="1506" t="s">
        <v>8</v>
      </c>
      <c r="U20" s="1507">
        <f>H20</f>
        <v>100</v>
      </c>
      <c r="V20" s="1506" t="s">
        <v>8</v>
      </c>
      <c r="W20" s="1507">
        <f>J20</f>
        <v>100</v>
      </c>
      <c r="X20" s="1500"/>
      <c r="Y20" s="3531"/>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31"/>
      <c r="Q21" s="1505"/>
      <c r="R21" s="1506"/>
      <c r="S21" s="1507"/>
      <c r="T21" s="1506"/>
      <c r="U21" s="1507"/>
      <c r="V21" s="1506"/>
      <c r="W21" s="1507"/>
      <c r="X21" s="1500"/>
      <c r="Y21" s="3531"/>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31"/>
      <c r="Q22" s="1505" t="str">
        <f>B22</f>
        <v>楼层</v>
      </c>
      <c r="R22" s="1506" t="s">
        <v>8</v>
      </c>
      <c r="S22" s="1507">
        <f>F22</f>
        <v>100</v>
      </c>
      <c r="T22" s="1506" t="s">
        <v>8</v>
      </c>
      <c r="U22" s="1507">
        <f>H22</f>
        <v>100</v>
      </c>
      <c r="V22" s="1506" t="s">
        <v>8</v>
      </c>
      <c r="W22" s="1507">
        <f>J22</f>
        <v>100</v>
      </c>
      <c r="X22" s="1500"/>
      <c r="Y22" s="3531"/>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31"/>
      <c r="Q23" s="1505">
        <f>B23</f>
        <v>111</v>
      </c>
      <c r="R23" s="1506" t="s">
        <v>8</v>
      </c>
      <c r="S23" s="1507">
        <f>F23</f>
        <v>100</v>
      </c>
      <c r="T23" s="1506" t="s">
        <v>8</v>
      </c>
      <c r="U23" s="1507">
        <f>H23</f>
        <v>100</v>
      </c>
      <c r="V23" s="1506" t="s">
        <v>8</v>
      </c>
      <c r="W23" s="1507">
        <f>J23</f>
        <v>100</v>
      </c>
      <c r="X23" s="1500"/>
      <c r="Y23" s="3531"/>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31"/>
      <c r="Q24" s="1505">
        <f t="shared" ref="Q24:Q34" si="11">B24</f>
        <v>111</v>
      </c>
      <c r="R24" s="1506" t="s">
        <v>8</v>
      </c>
      <c r="S24" s="1507">
        <f>F24</f>
        <v>100</v>
      </c>
      <c r="T24" s="1506" t="s">
        <v>8</v>
      </c>
      <c r="U24" s="1507">
        <f>H24</f>
        <v>100</v>
      </c>
      <c r="V24" s="1506" t="s">
        <v>8</v>
      </c>
      <c r="W24" s="1507">
        <f>J24</f>
        <v>100</v>
      </c>
      <c r="X24" s="1500"/>
      <c r="Y24" s="3531"/>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31"/>
      <c r="Q25" s="1133">
        <f t="shared" si="11"/>
        <v>111</v>
      </c>
      <c r="R25" s="1501" t="s">
        <v>8</v>
      </c>
      <c r="S25" s="1502">
        <f>F25</f>
        <v>100</v>
      </c>
      <c r="T25" s="1501" t="s">
        <v>8</v>
      </c>
      <c r="U25" s="1502">
        <f>H25</f>
        <v>100</v>
      </c>
      <c r="V25" s="1501" t="s">
        <v>8</v>
      </c>
      <c r="W25" s="1502">
        <f>J25</f>
        <v>100</v>
      </c>
      <c r="X25" s="1503"/>
      <c r="Y25" s="3531"/>
      <c r="Z25" s="1132">
        <f>Q25</f>
        <v>111</v>
      </c>
      <c r="AA25" s="1509">
        <f>D25/F25</f>
        <v>1</v>
      </c>
      <c r="AB25" s="1509">
        <f>D25/H25</f>
        <v>1</v>
      </c>
      <c r="AC25" s="1509">
        <f>D25/J25</f>
        <v>1</v>
      </c>
    </row>
    <row r="26" spans="1:29" ht="15">
      <c r="A26" s="2623"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32"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33"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33"/>
      <c r="Q27" s="1534" t="str">
        <f t="shared" si="11"/>
        <v>成新率</v>
      </c>
      <c r="R27" s="1510" t="s">
        <v>8</v>
      </c>
      <c r="S27" s="1511" t="e">
        <f t="shared" si="12"/>
        <v>#N/A</v>
      </c>
      <c r="T27" s="1510" t="s">
        <v>8</v>
      </c>
      <c r="U27" s="1511" t="e">
        <f t="shared" si="13"/>
        <v>#N/A</v>
      </c>
      <c r="V27" s="1510" t="s">
        <v>8</v>
      </c>
      <c r="W27" s="1511" t="e">
        <f t="shared" si="14"/>
        <v>#N/A</v>
      </c>
      <c r="X27" s="1512"/>
      <c r="Y27" s="3533"/>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33"/>
      <c r="Q28" s="1505" t="str">
        <f t="shared" si="11"/>
        <v>物业等级</v>
      </c>
      <c r="R28" s="1506" t="s">
        <v>8</v>
      </c>
      <c r="S28" s="1507">
        <f t="shared" si="12"/>
        <v>100</v>
      </c>
      <c r="T28" s="1506" t="s">
        <v>8</v>
      </c>
      <c r="U28" s="1507">
        <f t="shared" si="13"/>
        <v>100</v>
      </c>
      <c r="V28" s="1506" t="s">
        <v>8</v>
      </c>
      <c r="W28" s="1507">
        <f t="shared" si="14"/>
        <v>100</v>
      </c>
      <c r="X28" s="1500"/>
      <c r="Y28" s="3533"/>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33"/>
      <c r="Q29" s="1505" t="str">
        <f t="shared" si="11"/>
        <v>有无电梯</v>
      </c>
      <c r="R29" s="1506" t="s">
        <v>8</v>
      </c>
      <c r="S29" s="1507">
        <f t="shared" si="12"/>
        <v>100</v>
      </c>
      <c r="T29" s="1506" t="s">
        <v>8</v>
      </c>
      <c r="U29" s="1507">
        <f t="shared" si="13"/>
        <v>100</v>
      </c>
      <c r="V29" s="1506" t="s">
        <v>8</v>
      </c>
      <c r="W29" s="1507">
        <f t="shared" si="14"/>
        <v>100</v>
      </c>
      <c r="X29" s="1500"/>
      <c r="Y29" s="3533"/>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33"/>
      <c r="Q30" s="1505" t="str">
        <f t="shared" si="11"/>
        <v>建筑面积</v>
      </c>
      <c r="R30" s="1506" t="s">
        <v>8</v>
      </c>
      <c r="S30" s="1507" t="e">
        <f t="shared" si="12"/>
        <v>#N/A</v>
      </c>
      <c r="T30" s="1506" t="s">
        <v>8</v>
      </c>
      <c r="U30" s="1507" t="e">
        <f t="shared" si="13"/>
        <v>#N/A</v>
      </c>
      <c r="V30" s="1506" t="s">
        <v>8</v>
      </c>
      <c r="W30" s="1507" t="e">
        <f t="shared" si="14"/>
        <v>#N/A</v>
      </c>
      <c r="X30" s="1500"/>
      <c r="Y30" s="3533"/>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33"/>
      <c r="Q31" s="1133" t="str">
        <f t="shared" si="11"/>
        <v>是否封闭</v>
      </c>
      <c r="R31" s="1501" t="s">
        <v>8</v>
      </c>
      <c r="S31" s="1502">
        <f t="shared" si="12"/>
        <v>100</v>
      </c>
      <c r="T31" s="1501" t="s">
        <v>8</v>
      </c>
      <c r="U31" s="1502">
        <f t="shared" si="13"/>
        <v>100</v>
      </c>
      <c r="V31" s="1501" t="s">
        <v>8</v>
      </c>
      <c r="W31" s="1502">
        <f t="shared" si="14"/>
        <v>100</v>
      </c>
      <c r="X31" s="1503"/>
      <c r="Y31" s="3533"/>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33" t="s">
        <v>544</v>
      </c>
      <c r="Q32" s="1505">
        <f t="shared" si="11"/>
        <v>111</v>
      </c>
      <c r="R32" s="1506" t="s">
        <v>8</v>
      </c>
      <c r="S32" s="1507">
        <f t="shared" si="12"/>
        <v>100</v>
      </c>
      <c r="T32" s="1506" t="s">
        <v>8</v>
      </c>
      <c r="U32" s="1507">
        <f t="shared" si="13"/>
        <v>100</v>
      </c>
      <c r="V32" s="1506" t="s">
        <v>8</v>
      </c>
      <c r="W32" s="1507">
        <f t="shared" si="14"/>
        <v>100</v>
      </c>
      <c r="X32" s="1500"/>
      <c r="Y32" s="3533"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33"/>
      <c r="Q33" s="1505">
        <f t="shared" si="11"/>
        <v>111</v>
      </c>
      <c r="R33" s="1506" t="s">
        <v>8</v>
      </c>
      <c r="S33" s="1507">
        <f t="shared" si="12"/>
        <v>100</v>
      </c>
      <c r="T33" s="1506" t="s">
        <v>8</v>
      </c>
      <c r="U33" s="1507">
        <f t="shared" si="13"/>
        <v>100</v>
      </c>
      <c r="V33" s="1506" t="s">
        <v>8</v>
      </c>
      <c r="W33" s="1507">
        <f t="shared" si="14"/>
        <v>100</v>
      </c>
      <c r="X33" s="1500"/>
      <c r="Y33" s="3533"/>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33"/>
      <c r="Q34" s="1505">
        <f t="shared" si="11"/>
        <v>111</v>
      </c>
      <c r="R34" s="1506" t="s">
        <v>8</v>
      </c>
      <c r="S34" s="1507">
        <f t="shared" si="12"/>
        <v>100</v>
      </c>
      <c r="T34" s="1506" t="s">
        <v>8</v>
      </c>
      <c r="U34" s="1507">
        <f t="shared" si="13"/>
        <v>100</v>
      </c>
      <c r="V34" s="1506" t="s">
        <v>8</v>
      </c>
      <c r="W34" s="1507">
        <f t="shared" si="14"/>
        <v>100</v>
      </c>
      <c r="X34" s="1500"/>
      <c r="Y34" s="3533"/>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528" t="str">
        <f>A35</f>
        <v>成交单价（元/平方米）</v>
      </c>
      <c r="Q35" s="3528"/>
      <c r="R35" s="3612">
        <f>E35</f>
        <v>0</v>
      </c>
      <c r="S35" s="3612"/>
      <c r="T35" s="3612">
        <f>G35</f>
        <v>0</v>
      </c>
      <c r="U35" s="3612"/>
      <c r="V35" s="3612">
        <f>I35</f>
        <v>0</v>
      </c>
      <c r="W35" s="3612"/>
      <c r="X35" s="1495"/>
      <c r="Y35" s="1514"/>
      <c r="Z35" s="1495"/>
      <c r="AA35" s="1495"/>
      <c r="AB35" s="1495"/>
      <c r="AC35" s="1495"/>
    </row>
    <row r="36" spans="1:29" ht="15.75" thickBot="1">
      <c r="A36" s="609" t="s">
        <v>2740</v>
      </c>
      <c r="B36" s="876"/>
      <c r="C36" s="2475" t="e">
        <f>R37</f>
        <v>#DIV/0!</v>
      </c>
      <c r="D36" s="3013" t="s">
        <v>2973</v>
      </c>
      <c r="E36" s="2476" t="e">
        <f>R36</f>
        <v>#DIV/0!</v>
      </c>
      <c r="F36" s="3014"/>
      <c r="G36" s="2475" t="e">
        <f>T36</f>
        <v>#DIV/0!</v>
      </c>
      <c r="H36" s="3014"/>
      <c r="I36" s="2476" t="e">
        <f>V36</f>
        <v>#DIV/0!</v>
      </c>
      <c r="J36" s="3014"/>
      <c r="K36" s="3022">
        <f>F36+H36+J36</f>
        <v>0</v>
      </c>
      <c r="L36" s="2025"/>
      <c r="M36" s="2026"/>
      <c r="N36" s="2015"/>
      <c r="O36" s="2026"/>
      <c r="P36" s="3528" t="str">
        <f>A36</f>
        <v>比较价格（元/平方米）</v>
      </c>
      <c r="Q36" s="3528"/>
      <c r="R36" s="3612" t="e">
        <f>IF(F1="售价",ROUND(PRODUCT(R35,AA7:AA34),0),ROUND(PRODUCT(R35,AA7:AA34),1))</f>
        <v>#DIV/0!</v>
      </c>
      <c r="S36" s="3612"/>
      <c r="T36" s="3612" t="e">
        <f>IF(F1="售价",ROUND(PRODUCT(T35,AB7:AB34),0),ROUND(PRODUCT(T35,AB7:AB34),1))</f>
        <v>#DIV/0!</v>
      </c>
      <c r="U36" s="3612"/>
      <c r="V36" s="3612" t="e">
        <f>IF(F1="售价",ROUND(PRODUCT(V35,AC7:AC34),0),ROUND(PRODUCT(V35,AC7:AC34),1))</f>
        <v>#DIV/0!</v>
      </c>
      <c r="W36" s="3612"/>
      <c r="X36" s="1495"/>
      <c r="Y36" s="1495"/>
      <c r="Z36" s="1495"/>
      <c r="AA36" s="1495"/>
      <c r="AB36" s="1495"/>
      <c r="AC36" s="1495"/>
    </row>
    <row r="37" spans="1:29" ht="15.75" thickBot="1">
      <c r="A37" s="613" t="s">
        <v>2903</v>
      </c>
      <c r="B37" s="614"/>
      <c r="C37" s="2477" t="e">
        <f>R37</f>
        <v>#DIV/0!</v>
      </c>
      <c r="D37" s="2477"/>
      <c r="E37" s="2477"/>
      <c r="F37" s="2477"/>
      <c r="G37" s="2477"/>
      <c r="H37" s="2477"/>
      <c r="I37" s="2477"/>
      <c r="J37" s="2477"/>
      <c r="K37" s="1540"/>
      <c r="L37" s="2025"/>
      <c r="M37" s="2026"/>
      <c r="N37" s="2026"/>
      <c r="O37" s="2026"/>
      <c r="P37" s="3549" t="str">
        <f>A37</f>
        <v>估价对象XX用房的比较价格（楼面单价，元/平方米）</v>
      </c>
      <c r="Q37" s="3550"/>
      <c r="R37" s="3611" t="e">
        <f>IF(F1="售价",ROUND(IF(D36="简单平均",AVERAGE(R36:W36),R36*F36+T36*H36+V36*J36),0),ROUND(IF(D36="简单平均",AVERAGE(R36:V36),R36*F36+T36*H36+V36*J36),1))</f>
        <v>#DIV/0!</v>
      </c>
      <c r="S37" s="3611"/>
      <c r="T37" s="3611"/>
      <c r="U37" s="3611"/>
      <c r="V37" s="3611"/>
      <c r="W37" s="3611"/>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2020-9</v>
      </c>
      <c r="D46" s="2520">
        <f>EDATE(C46,-1)</f>
        <v>44044</v>
      </c>
      <c r="E46" s="2520">
        <f t="shared" ref="E46:O46" si="16">EDATE(D46,-1)</f>
        <v>44013</v>
      </c>
      <c r="F46" s="2520">
        <f t="shared" si="16"/>
        <v>43983</v>
      </c>
      <c r="G46" s="2520">
        <f t="shared" si="16"/>
        <v>43952</v>
      </c>
      <c r="H46" s="2520">
        <f t="shared" si="16"/>
        <v>43922</v>
      </c>
      <c r="I46" s="2520">
        <f t="shared" si="16"/>
        <v>43891</v>
      </c>
      <c r="J46" s="2520">
        <f t="shared" si="16"/>
        <v>43862</v>
      </c>
      <c r="K46" s="2520">
        <f t="shared" si="16"/>
        <v>43831</v>
      </c>
      <c r="L46" s="2520">
        <f t="shared" si="16"/>
        <v>43800</v>
      </c>
      <c r="M46" s="2520">
        <f t="shared" si="16"/>
        <v>43770</v>
      </c>
      <c r="N46" s="2520">
        <f t="shared" si="16"/>
        <v>43739</v>
      </c>
      <c r="O46" s="2520">
        <f t="shared" si="16"/>
        <v>43709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U54" sqref="U5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2290</v>
      </c>
      <c r="C1" s="3645" t="s">
        <v>2291</v>
      </c>
      <c r="D1" s="3646"/>
      <c r="E1" s="3646"/>
      <c r="F1" s="3646"/>
      <c r="G1" s="3646"/>
      <c r="H1" s="3646"/>
      <c r="I1" s="3646"/>
      <c r="J1" s="3646"/>
      <c r="K1" s="3646"/>
      <c r="L1" s="3646"/>
      <c r="M1" s="3646"/>
      <c r="N1" s="3646"/>
      <c r="O1" s="3646"/>
      <c r="P1" s="3646"/>
      <c r="Q1" s="3646"/>
      <c r="R1" s="3646"/>
      <c r="S1" s="3647"/>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2896</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2895</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2894</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2907</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2893</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2892</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42" t="s">
        <v>20</v>
      </c>
      <c r="D22" s="3643"/>
      <c r="E22" s="3643"/>
      <c r="F22" s="3643"/>
      <c r="G22" s="3643"/>
      <c r="H22" s="3643"/>
      <c r="I22" s="3643"/>
      <c r="J22" s="3643"/>
      <c r="K22" s="3643"/>
      <c r="L22" s="3643"/>
      <c r="M22" s="3643"/>
      <c r="N22" s="3643"/>
      <c r="O22" s="3643"/>
      <c r="P22" s="3643"/>
      <c r="Q22" s="3644"/>
      <c r="R22" s="484" t="e">
        <f>ROUND(S22*10000/B22,0)</f>
        <v>#DIV/0!</v>
      </c>
      <c r="S22" s="53">
        <f>SUM(S24:S10000)</f>
        <v>0</v>
      </c>
    </row>
    <row r="23" spans="1:45" s="1541"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949">
        <v>1</v>
      </c>
      <c r="D24" s="950"/>
      <c r="E24" s="949">
        <v>1</v>
      </c>
      <c r="F24" s="950"/>
      <c r="G24" s="949">
        <v>1</v>
      </c>
      <c r="H24" s="950"/>
      <c r="I24" s="949">
        <v>1</v>
      </c>
      <c r="J24" s="950"/>
      <c r="K24" s="949">
        <v>1</v>
      </c>
      <c r="L24" s="950"/>
      <c r="M24" s="949">
        <v>1</v>
      </c>
      <c r="N24" s="950"/>
      <c r="O24" s="949">
        <v>1</v>
      </c>
      <c r="P24" s="950"/>
      <c r="Q24" s="949">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2767</v>
      </c>
      <c r="C1" s="2720">
        <f>项目基本情况!D3</f>
        <v>44077</v>
      </c>
      <c r="H1" s="2654">
        <f>IF(C1&gt;C13,0,MATCH(C1,C$13:C$100,-1))+IF(SUMIF(C13:C100,C1,D13:D100)=0,13,12)</f>
        <v>13</v>
      </c>
      <c r="I1" s="2654">
        <f>MATCH(C2,H3:H7,1)+IF(SUMIF(H3:H7,C2,I3:I7)=0,2,1)</f>
        <v>5</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2798</v>
      </c>
      <c r="C2" s="2721">
        <f>'数据-取费表'!B22</f>
        <v>2.5</v>
      </c>
      <c r="D2" s="2716" t="s">
        <v>2768</v>
      </c>
      <c r="E2" s="2719">
        <f ca="1">INDIRECT("I"&amp;$I$1)/100</f>
        <v>4.7500000000000001E-2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2800</v>
      </c>
      <c r="C3" s="2718">
        <f>'数据-取费表'!B19</f>
        <v>0</v>
      </c>
      <c r="D3" s="2716" t="s">
        <v>2768</v>
      </c>
      <c r="E3" s="2719">
        <f ca="1">INDIRECT("J"&amp;$J$1)/100</f>
        <v>0</v>
      </c>
      <c r="G3" s="2658" t="s">
        <v>2771</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2799</v>
      </c>
      <c r="C4" s="2719">
        <f ca="1">N4/100</f>
        <v>1.4999999999999999E-2</v>
      </c>
      <c r="G4" s="2664" t="s">
        <v>2772</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2773</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2774</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2775</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42301</v>
      </c>
      <c r="D13" s="2702">
        <v>4.3499999999999996</v>
      </c>
      <c r="E13" s="2702">
        <v>4.3499999999999996</v>
      </c>
      <c r="F13" s="2702">
        <v>4.75</v>
      </c>
      <c r="G13" s="2702">
        <v>4.75</v>
      </c>
      <c r="H13" s="2702">
        <v>4.9000000000000004</v>
      </c>
      <c r="I13" s="2702">
        <v>2.75</v>
      </c>
      <c r="J13" s="2702">
        <v>3.25</v>
      </c>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2797</v>
      </c>
      <c r="J55" s="2706" t="s">
        <v>2797</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5" t="s">
        <v>2026</v>
      </c>
      <c r="B1" s="3325"/>
      <c r="C1" s="3325"/>
      <c r="D1" s="3325"/>
      <c r="E1" s="3325"/>
      <c r="F1" s="3325"/>
      <c r="G1" s="3325"/>
      <c r="H1" s="3325"/>
      <c r="I1" s="3325"/>
      <c r="J1" s="3325"/>
      <c r="K1" s="3325"/>
      <c r="L1" s="3325"/>
      <c r="M1" s="3325"/>
      <c r="N1" s="3325"/>
      <c r="O1" s="3325"/>
      <c r="P1" s="3325"/>
      <c r="Q1" s="3325"/>
      <c r="R1" s="3325"/>
    </row>
    <row r="2" spans="1:18">
      <c r="A2" s="1721" t="s">
        <v>2028</v>
      </c>
      <c r="B2" s="1721"/>
      <c r="C2" s="1721"/>
      <c r="D2" s="1721"/>
      <c r="E2" s="1721"/>
      <c r="F2" s="1721"/>
      <c r="G2" s="1721"/>
      <c r="H2" s="1721"/>
      <c r="I2" s="1722"/>
      <c r="J2" s="1722"/>
      <c r="K2" s="1723" t="str">
        <f>"估价期日："&amp;TEXT(项目基本情况!D3,"yyyy年m月d日;;")</f>
        <v>估价期日：2020年9月3日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26" t="s">
        <v>2017</v>
      </c>
      <c r="B3" s="3326" t="s">
        <v>2711</v>
      </c>
      <c r="C3" s="3327" t="s">
        <v>2018</v>
      </c>
      <c r="D3" s="3326" t="s">
        <v>2715</v>
      </c>
      <c r="E3" s="3329" t="s">
        <v>2019</v>
      </c>
      <c r="F3" s="3329"/>
      <c r="G3" s="3329"/>
      <c r="H3" s="3329" t="s">
        <v>2020</v>
      </c>
      <c r="I3" s="3329"/>
      <c r="J3" s="3329"/>
      <c r="K3" s="3327" t="s">
        <v>2021</v>
      </c>
      <c r="L3" s="3327" t="s">
        <v>2022</v>
      </c>
      <c r="M3" s="3326" t="s">
        <v>2712</v>
      </c>
      <c r="N3" s="3328" t="str">
        <f>"（分摊）"&amp;项目基本情况!B16&amp;"国有建设用地使用权面积/㎡"</f>
        <v>（分摊）出让国有建设用地使用权面积/㎡</v>
      </c>
      <c r="O3" s="3326" t="s">
        <v>2051</v>
      </c>
      <c r="P3" s="3327" t="s">
        <v>2031</v>
      </c>
      <c r="Q3" s="3327" t="s">
        <v>2052</v>
      </c>
      <c r="R3" s="3327" t="s">
        <v>2023</v>
      </c>
    </row>
    <row r="4" spans="1:18" ht="36.75" customHeight="1">
      <c r="A4" s="3326"/>
      <c r="B4" s="3326"/>
      <c r="C4" s="3327"/>
      <c r="D4" s="3326"/>
      <c r="E4" s="2490" t="s">
        <v>2030</v>
      </c>
      <c r="F4" s="2490" t="s">
        <v>2724</v>
      </c>
      <c r="G4" s="2490" t="s">
        <v>2024</v>
      </c>
      <c r="H4" s="2490" t="s">
        <v>2025</v>
      </c>
      <c r="I4" s="2490" t="s">
        <v>2725</v>
      </c>
      <c r="J4" s="2490" t="s">
        <v>2024</v>
      </c>
      <c r="K4" s="3327"/>
      <c r="L4" s="3327"/>
      <c r="M4" s="3326"/>
      <c r="N4" s="3328"/>
      <c r="O4" s="3326"/>
      <c r="P4" s="3327"/>
      <c r="Q4" s="3327"/>
      <c r="R4" s="3327"/>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75029.52</v>
      </c>
      <c r="O5" s="1724">
        <f>项目基本情况!C21</f>
        <v>276122.93</v>
      </c>
      <c r="P5" s="1724">
        <f ca="1">结果表!E42</f>
        <v>16547</v>
      </c>
      <c r="Q5" s="1724">
        <f ca="1">结果表!D42</f>
        <v>4496</v>
      </c>
      <c r="R5" s="1725">
        <f ca="1">结果表!C42</f>
        <v>124151</v>
      </c>
    </row>
    <row r="6" spans="1:18">
      <c r="A6" s="3322" t="str">
        <f>IF(项目基本情况!B9="市场价格","——","抵押价格")</f>
        <v>抵押价格</v>
      </c>
      <c r="B6" s="3323"/>
      <c r="C6" s="3323"/>
      <c r="D6" s="3323"/>
      <c r="E6" s="3323"/>
      <c r="F6" s="3323"/>
      <c r="G6" s="3323"/>
      <c r="H6" s="3323"/>
      <c r="I6" s="3323"/>
      <c r="J6" s="3323"/>
      <c r="K6" s="3323"/>
      <c r="L6" s="3323"/>
      <c r="M6" s="3323"/>
      <c r="N6" s="3323"/>
      <c r="O6" s="3323"/>
      <c r="P6" s="3323"/>
      <c r="Q6" s="3324"/>
      <c r="R6" s="1726">
        <f ca="1">结果表!O39</f>
        <v>124151</v>
      </c>
    </row>
    <row r="7" spans="1:18">
      <c r="A7" s="3322" t="str">
        <f>IF(项目基本情况!B9="市场价格","——",IF(项目基本情况!E8="已注销及未注销","抵押担保权已注销时的抵押价格","——"))</f>
        <v>——</v>
      </c>
      <c r="B7" s="3323"/>
      <c r="C7" s="3323"/>
      <c r="D7" s="3323"/>
      <c r="E7" s="3323"/>
      <c r="F7" s="3323"/>
      <c r="G7" s="3323"/>
      <c r="H7" s="3323"/>
      <c r="I7" s="3323"/>
      <c r="J7" s="3323"/>
      <c r="K7" s="3323"/>
      <c r="L7" s="3323"/>
      <c r="M7" s="3323"/>
      <c r="N7" s="3323"/>
      <c r="O7" s="3323"/>
      <c r="P7" s="3323"/>
      <c r="Q7" s="3324"/>
      <c r="R7" s="1726" t="str">
        <f>结果表!O40</f>
        <v>——</v>
      </c>
    </row>
    <row r="8" spans="1:18">
      <c r="A8" s="3322">
        <f>IF(项目基本情况!B9="市场价格","——",项目基本情况!E9)</f>
        <v>0</v>
      </c>
      <c r="B8" s="3323"/>
      <c r="C8" s="3323"/>
      <c r="D8" s="3323"/>
      <c r="E8" s="3323"/>
      <c r="F8" s="3323"/>
      <c r="G8" s="3323"/>
      <c r="H8" s="3323"/>
      <c r="I8" s="3323"/>
      <c r="J8" s="3323"/>
      <c r="K8" s="3323"/>
      <c r="L8" s="3323"/>
      <c r="M8" s="3323"/>
      <c r="N8" s="3323"/>
      <c r="O8" s="3323"/>
      <c r="P8" s="3323"/>
      <c r="Q8" s="3324"/>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30" t="s">
        <v>2053</v>
      </c>
      <c r="B1" s="3330"/>
      <c r="C1" s="3330"/>
      <c r="D1" s="3330"/>
    </row>
    <row r="2" spans="1:4" ht="47.25" customHeight="1">
      <c r="A2" s="3334" t="str">
        <f>"1.权利限制："&amp;项目基本情况!L24&amp;"未设定租赁等其他他项权利。"</f>
        <v>1.权利限制：根据估价对象《不动产权证书》原件、《国有土地使用权》复印件，截至估价期日，估价对象抵押权未见登记。未设定租赁等其他他项权利。</v>
      </c>
      <c r="B2" s="3334"/>
      <c r="C2" s="3334"/>
      <c r="D2" s="3334"/>
    </row>
    <row r="3" spans="1:4" ht="48" customHeight="1">
      <c r="A3" s="33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0"/>
      <c r="C3" s="3330"/>
      <c r="D3" s="3330"/>
    </row>
    <row r="4" spans="1:4" ht="36.75" customHeight="1">
      <c r="A4" s="3330" t="str">
        <f>"3.估价规划限制条件：详见"&amp;项目基本情况!E21&amp;"。"</f>
        <v>3.估价规划限制条件：详见《建设工程规划许可证》[]、《出让合同》[]。</v>
      </c>
      <c r="B4" s="3330"/>
      <c r="C4" s="3330"/>
      <c r="D4" s="3330"/>
    </row>
    <row r="5" spans="1:4">
      <c r="A5" s="3333" t="s">
        <v>2054</v>
      </c>
      <c r="B5" s="3333"/>
      <c r="C5" s="3333"/>
      <c r="D5" s="3333"/>
    </row>
    <row r="6" spans="1:4">
      <c r="A6" s="3330" t="s">
        <v>2032</v>
      </c>
      <c r="B6" s="3330"/>
      <c r="C6" s="3330"/>
      <c r="D6" s="3330"/>
    </row>
    <row r="7" spans="1:4" ht="33" customHeight="1">
      <c r="A7" s="3330" t="s">
        <v>2555</v>
      </c>
      <c r="B7" s="3330"/>
      <c r="C7" s="3330"/>
      <c r="D7" s="3330"/>
    </row>
    <row r="8" spans="1:4" ht="32.25" customHeight="1">
      <c r="A8" s="33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0"/>
      <c r="C8" s="3330"/>
      <c r="D8" s="3330"/>
    </row>
    <row r="9" spans="1:4" ht="33.75" customHeight="1">
      <c r="A9" s="33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0"/>
      <c r="C9" s="3330"/>
      <c r="D9" s="3330"/>
    </row>
    <row r="10" spans="1:4">
      <c r="A10" s="3330" t="str">
        <f>IF(项目基本情况!B8="抵押","4.估价师所知悉的法定优先受偿款情况为：","——")</f>
        <v>4.估价师所知悉的法定优先受偿款情况为：</v>
      </c>
      <c r="B10" s="3330"/>
      <c r="C10" s="3330"/>
      <c r="D10" s="3330"/>
    </row>
    <row r="11" spans="1:4" ht="37.5" customHeight="1">
      <c r="A11" s="33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2"/>
      <c r="C11" s="3332"/>
      <c r="D11" s="3332"/>
    </row>
    <row r="12" spans="1:4" ht="168" customHeight="1">
      <c r="A12" s="3333" t="s">
        <v>2056</v>
      </c>
      <c r="B12" s="3333"/>
      <c r="C12" s="3333"/>
      <c r="D12" s="3333"/>
    </row>
    <row r="13" spans="1:4">
      <c r="A13" s="3331" t="s">
        <v>2726</v>
      </c>
      <c r="B13" s="3331"/>
      <c r="C13" s="3331"/>
      <c r="D13" s="3331"/>
    </row>
    <row r="14" spans="1:4">
      <c r="A14" s="3332" t="str">
        <f>IF(项目基本情况!B8="抵押","综上，"&amp;结果表!K47,"——")</f>
        <v>综上，本次评估不存在估价师知悉的法定优先受偿款</v>
      </c>
      <c r="B14" s="3332"/>
      <c r="C14" s="3332"/>
      <c r="D14" s="3332"/>
    </row>
    <row r="15" spans="1:4" ht="58.5" customHeight="1">
      <c r="A15" s="33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0"/>
      <c r="C15" s="3330"/>
      <c r="D15" s="3330"/>
    </row>
    <row r="16" spans="1:4" ht="70.5" customHeight="1">
      <c r="A16" s="33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0"/>
      <c r="C16" s="3330"/>
      <c r="D16" s="3330"/>
    </row>
    <row r="17" spans="1:4">
      <c r="A17" s="3330" t="s">
        <v>2682</v>
      </c>
      <c r="B17" s="3330"/>
      <c r="C17" s="3330"/>
      <c r="D17" s="3330"/>
    </row>
    <row r="18" spans="1:4">
      <c r="A18" s="3330" t="s">
        <v>2674</v>
      </c>
      <c r="B18" s="3330"/>
      <c r="C18" s="3330"/>
      <c r="D18" s="3330"/>
    </row>
    <row r="19" spans="1:4">
      <c r="A19" s="2584" t="s">
        <v>2675</v>
      </c>
      <c r="B19" s="2584" t="s">
        <v>2676</v>
      </c>
      <c r="C19" s="2584" t="s">
        <v>2677</v>
      </c>
      <c r="D19" s="2584" t="s">
        <v>2678</v>
      </c>
    </row>
    <row r="20" spans="1:4">
      <c r="A20" s="2584" t="str">
        <f>项目基本情况!B4</f>
        <v>土地估价师</v>
      </c>
      <c r="B20" s="2584">
        <f>项目基本情况!C4</f>
        <v>0</v>
      </c>
      <c r="C20" s="2586"/>
      <c r="D20" s="1714" t="s">
        <v>2683</v>
      </c>
    </row>
    <row r="21" spans="1:4">
      <c r="A21" s="2584" t="str">
        <f>项目基本情况!D4</f>
        <v>土地估价师</v>
      </c>
      <c r="B21" s="2584">
        <f>项目基本情况!E4</f>
        <v>0</v>
      </c>
      <c r="C21" s="2586"/>
      <c r="D21" s="1714" t="s">
        <v>2684</v>
      </c>
    </row>
    <row r="23" spans="1:4">
      <c r="A23" s="3330" t="s">
        <v>2679</v>
      </c>
      <c r="B23" s="3330"/>
      <c r="C23" s="3330"/>
      <c r="D23" s="3330"/>
    </row>
    <row r="24" spans="1:4">
      <c r="A24" s="2584" t="s">
        <v>2675</v>
      </c>
      <c r="B24" s="2584" t="s">
        <v>2680</v>
      </c>
      <c r="C24" s="2584" t="s">
        <v>2677</v>
      </c>
      <c r="D24" s="2584" t="s">
        <v>2678</v>
      </c>
    </row>
    <row r="25" spans="1:4">
      <c r="A25" s="2587" t="s">
        <v>2681</v>
      </c>
      <c r="B25" s="2584" t="s">
        <v>943</v>
      </c>
      <c r="C25" s="2586"/>
      <c r="D25" s="1714" t="s">
        <v>2684</v>
      </c>
    </row>
    <row r="29" spans="1:4">
      <c r="D29" s="2585" t="s">
        <v>2027</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42" t="s">
        <v>53</v>
      </c>
      <c r="B15" s="3343" t="s">
        <v>838</v>
      </c>
      <c r="C15" s="3339"/>
    </row>
    <row r="16" spans="1:7" ht="14.25">
      <c r="A16" s="3342"/>
      <c r="B16" s="3340" t="s">
        <v>54</v>
      </c>
      <c r="C16" s="1154" t="s">
        <v>53</v>
      </c>
    </row>
    <row r="17" spans="1:3" ht="14.25">
      <c r="A17" s="3342"/>
      <c r="B17" s="3340"/>
      <c r="C17" s="1154" t="s">
        <v>55</v>
      </c>
    </row>
    <row r="18" spans="1:3" ht="14.25">
      <c r="A18" s="3342"/>
      <c r="B18" s="3340"/>
      <c r="C18" s="1154" t="s">
        <v>56</v>
      </c>
    </row>
    <row r="19" spans="1:3" ht="14.25">
      <c r="A19" s="3342"/>
      <c r="B19" s="3338" t="s">
        <v>57</v>
      </c>
      <c r="C19" s="3339"/>
    </row>
    <row r="20" spans="1:3" ht="14.25">
      <c r="A20" s="1155" t="s">
        <v>58</v>
      </c>
      <c r="B20" s="1156"/>
      <c r="C20" s="1157"/>
    </row>
    <row r="21" spans="1:3" ht="14.25">
      <c r="A21" s="3341" t="s">
        <v>59</v>
      </c>
      <c r="B21" s="3338" t="s">
        <v>60</v>
      </c>
      <c r="C21" s="3339"/>
    </row>
    <row r="22" spans="1:3" ht="14.25">
      <c r="A22" s="3341"/>
      <c r="B22" s="3338" t="s">
        <v>61</v>
      </c>
      <c r="C22" s="3339"/>
    </row>
    <row r="23" spans="1:3" ht="14.25">
      <c r="A23" s="3341"/>
      <c r="B23" s="3338" t="s">
        <v>62</v>
      </c>
      <c r="C23" s="3339"/>
    </row>
    <row r="24" spans="1:3" ht="14.25">
      <c r="A24" s="3341"/>
      <c r="B24" s="3344" t="s">
        <v>63</v>
      </c>
      <c r="C24" s="1158" t="s">
        <v>829</v>
      </c>
    </row>
    <row r="25" spans="1:3" ht="14.25">
      <c r="A25" s="3341"/>
      <c r="B25" s="3345"/>
      <c r="C25" s="1158" t="s">
        <v>830</v>
      </c>
    </row>
    <row r="26" spans="1:3" ht="14.25">
      <c r="A26" s="3341"/>
      <c r="B26" s="3345"/>
      <c r="C26" s="1158" t="s">
        <v>831</v>
      </c>
    </row>
    <row r="27" spans="1:3" ht="14.25">
      <c r="A27" s="3341"/>
      <c r="B27" s="3345"/>
      <c r="C27" s="1158" t="s">
        <v>832</v>
      </c>
    </row>
    <row r="28" spans="1:3" ht="14.25">
      <c r="A28" s="3341"/>
      <c r="B28" s="3345"/>
      <c r="C28" s="1158" t="s">
        <v>833</v>
      </c>
    </row>
    <row r="29" spans="1:3" ht="14.25">
      <c r="A29" s="3341"/>
      <c r="B29" s="3345"/>
      <c r="C29" s="1158" t="s">
        <v>834</v>
      </c>
    </row>
    <row r="30" spans="1:3" ht="14.25">
      <c r="A30" s="3341"/>
      <c r="B30" s="3345"/>
      <c r="C30" s="1158" t="s">
        <v>835</v>
      </c>
    </row>
    <row r="31" spans="1:3" ht="14.25">
      <c r="A31" s="3341"/>
      <c r="B31" s="3345"/>
      <c r="C31" s="1158" t="s">
        <v>836</v>
      </c>
    </row>
    <row r="32" spans="1:3" ht="14.25">
      <c r="A32" s="3341"/>
      <c r="B32" s="3345"/>
      <c r="C32" s="1158" t="s">
        <v>1637</v>
      </c>
    </row>
    <row r="33" spans="1:3" ht="14.25">
      <c r="A33" s="3341"/>
      <c r="B33" s="3335" t="s">
        <v>1643</v>
      </c>
      <c r="C33" s="1158" t="s">
        <v>1638</v>
      </c>
    </row>
    <row r="34" spans="1:3" ht="14.25">
      <c r="A34" s="3341"/>
      <c r="B34" s="3336"/>
      <c r="C34" s="1163" t="s">
        <v>1639</v>
      </c>
    </row>
    <row r="35" spans="1:3" ht="14.25">
      <c r="A35" s="3341"/>
      <c r="B35" s="3336"/>
      <c r="C35" s="1164" t="s">
        <v>1640</v>
      </c>
    </row>
    <row r="36" spans="1:3" ht="14.25">
      <c r="A36" s="3341"/>
      <c r="B36" s="3336"/>
      <c r="C36" s="1164" t="s">
        <v>1641</v>
      </c>
    </row>
    <row r="37" spans="1:3" ht="14.25">
      <c r="A37" s="3341"/>
      <c r="B37" s="3337"/>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44082</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2960</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49" t="s">
        <v>1914</v>
      </c>
      <c r="B17" s="3350"/>
      <c r="C17" s="3350"/>
      <c r="D17" s="3350"/>
      <c r="E17" s="3350"/>
      <c r="F17" s="3350"/>
      <c r="G17" s="3033"/>
    </row>
    <row r="18" spans="1:7" ht="20.25" customHeight="1">
      <c r="A18" s="3346" t="s">
        <v>1915</v>
      </c>
      <c r="B18" s="3346"/>
      <c r="C18" s="3347"/>
      <c r="D18" s="3348" t="s">
        <v>1916</v>
      </c>
      <c r="E18" s="3346"/>
      <c r="F18" s="3346"/>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2959</v>
      </c>
      <c r="F21" s="3037">
        <v>44012</v>
      </c>
      <c r="G21" s="3025"/>
    </row>
    <row r="22" spans="1:7" ht="20.25" customHeight="1">
      <c r="A22" s="3024"/>
      <c r="B22" s="3024"/>
      <c r="C22" s="3038"/>
      <c r="D22" s="3046"/>
      <c r="E22" s="3047"/>
      <c r="F22" s="3039" t="s">
        <v>2974</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2" priority="149">
      <formula>AND($C5-TODAY()&lt;30,TODAY()&lt;$C5)</formula>
    </cfRule>
  </conditionalFormatting>
  <conditionalFormatting sqref="C20">
    <cfRule type="expression" dxfId="221" priority="148">
      <formula>AND($C20-TODAY()&lt;30,TODAY()&lt;$C20)</formula>
    </cfRule>
  </conditionalFormatting>
  <conditionalFormatting sqref="C20 F4 C5 C13">
    <cfRule type="cellIs" dxfId="220" priority="150" stopIfTrue="1" operator="lessThan">
      <formula>$B$2</formula>
    </cfRule>
  </conditionalFormatting>
  <conditionalFormatting sqref="F5 F7 F9">
    <cfRule type="cellIs" dxfId="219" priority="144" stopIfTrue="1" operator="lessThan">
      <formula>$B$2</formula>
    </cfRule>
  </conditionalFormatting>
  <conditionalFormatting sqref="C16:D16">
    <cfRule type="expression" dxfId="218" priority="142">
      <formula>AND($C16-TODAY()&lt;30,TODAY()&lt;$C16)</formula>
    </cfRule>
  </conditionalFormatting>
  <conditionalFormatting sqref="F6 F8 F10 C16:D16">
    <cfRule type="cellIs" dxfId="217" priority="143" stopIfTrue="1" operator="lessThan">
      <formula>$B$2</formula>
    </cfRule>
  </conditionalFormatting>
  <conditionalFormatting sqref="F14">
    <cfRule type="cellIs" dxfId="216" priority="114" stopIfTrue="1" operator="lessThan">
      <formula>$B$2</formula>
    </cfRule>
  </conditionalFormatting>
  <conditionalFormatting sqref="F13">
    <cfRule type="cellIs" dxfId="215" priority="113" stopIfTrue="1" operator="lessThan">
      <formula>$B$2</formula>
    </cfRule>
  </conditionalFormatting>
  <conditionalFormatting sqref="B4:B11 E4:E11 E13:E15 B13:B15">
    <cfRule type="cellIs" dxfId="214" priority="111" stopIfTrue="1" operator="equal">
      <formula>"已过期"</formula>
    </cfRule>
  </conditionalFormatting>
  <conditionalFormatting sqref="F20">
    <cfRule type="cellIs" dxfId="213" priority="108" stopIfTrue="1" operator="lessThan">
      <formula>$B$2</formula>
    </cfRule>
  </conditionalFormatting>
  <conditionalFormatting sqref="F20">
    <cfRule type="expression" dxfId="212" priority="152">
      <formula>AND($E20-TODAY()&lt;30,TODAY()&lt;$E20)</formula>
    </cfRule>
  </conditionalFormatting>
  <conditionalFormatting sqref="C6">
    <cfRule type="expression" dxfId="211" priority="82">
      <formula>AND($C6-TODAY()&lt;30,TODAY()&lt;$C6)</formula>
    </cfRule>
  </conditionalFormatting>
  <conditionalFormatting sqref="C6">
    <cfRule type="cellIs" dxfId="210" priority="83" stopIfTrue="1" operator="lessThan">
      <formula>$B$2</formula>
    </cfRule>
  </conditionalFormatting>
  <conditionalFormatting sqref="C11 C15">
    <cfRule type="expression" dxfId="209" priority="80">
      <formula>AND($C11-TODAY()&lt;30,TODAY()&lt;$C11)</formula>
    </cfRule>
  </conditionalFormatting>
  <conditionalFormatting sqref="C11 C15">
    <cfRule type="cellIs" dxfId="208" priority="81" stopIfTrue="1" operator="lessThan">
      <formula>$B$2</formula>
    </cfRule>
  </conditionalFormatting>
  <conditionalFormatting sqref="F11">
    <cfRule type="cellIs" dxfId="207" priority="79" stopIfTrue="1" operator="lessThan">
      <formula>$B$2</formula>
    </cfRule>
  </conditionalFormatting>
  <conditionalFormatting sqref="C14">
    <cfRule type="expression" dxfId="206" priority="60">
      <formula>AND($C14-TODAY()&lt;30,TODAY()&lt;$C14)</formula>
    </cfRule>
  </conditionalFormatting>
  <conditionalFormatting sqref="C14">
    <cfRule type="cellIs" dxfId="205" priority="61" stopIfTrue="1" operator="lessThan">
      <formula>$B$2</formula>
    </cfRule>
  </conditionalFormatting>
  <conditionalFormatting sqref="C12">
    <cfRule type="cellIs" dxfId="204" priority="54" stopIfTrue="1" operator="lessThan">
      <formula>$B$2</formula>
    </cfRule>
  </conditionalFormatting>
  <conditionalFormatting sqref="C12">
    <cfRule type="expression" dxfId="203" priority="51">
      <formula>AND($C12-TODAY()&lt;30,TODAY()&lt;$C12)</formula>
    </cfRule>
  </conditionalFormatting>
  <conditionalFormatting sqref="C12">
    <cfRule type="cellIs" dxfId="202" priority="52" stopIfTrue="1" operator="lessThan">
      <formula>$B$2</formula>
    </cfRule>
  </conditionalFormatting>
  <conditionalFormatting sqref="B12">
    <cfRule type="cellIs" dxfId="201" priority="48" stopIfTrue="1" operator="equal">
      <formula>"已过期"</formula>
    </cfRule>
  </conditionalFormatting>
  <conditionalFormatting sqref="E12">
    <cfRule type="cellIs" dxfId="200" priority="38" stopIfTrue="1" operator="equal">
      <formula>"已过期"</formula>
    </cfRule>
  </conditionalFormatting>
  <conditionalFormatting sqref="F12">
    <cfRule type="cellIs" dxfId="199" priority="37" stopIfTrue="1" operator="lessThan">
      <formula>$B$2</formula>
    </cfRule>
  </conditionalFormatting>
  <conditionalFormatting sqref="C9:C10">
    <cfRule type="expression" dxfId="198" priority="33">
      <formula>AND($C9-TODAY()&lt;30,TODAY()&lt;$C9)</formula>
    </cfRule>
  </conditionalFormatting>
  <conditionalFormatting sqref="C9:C10">
    <cfRule type="cellIs" dxfId="197" priority="34" stopIfTrue="1" operator="lessThan">
      <formula>$B$2</formula>
    </cfRule>
  </conditionalFormatting>
  <conditionalFormatting sqref="F21">
    <cfRule type="cellIs" dxfId="196" priority="13" stopIfTrue="1" operator="lessThan">
      <formula>$B$2</formula>
    </cfRule>
  </conditionalFormatting>
  <conditionalFormatting sqref="F21">
    <cfRule type="expression" dxfId="195" priority="14">
      <formula>AND($E21-TODAY()&lt;30,TODAY()&lt;$E21)</formula>
    </cfRule>
  </conditionalFormatting>
  <conditionalFormatting sqref="C7:C8">
    <cfRule type="expression" dxfId="194" priority="5">
      <formula>AND($C7-TODAY()&lt;30,TODAY()&lt;$C7)</formula>
    </cfRule>
  </conditionalFormatting>
  <conditionalFormatting sqref="C7:C8">
    <cfRule type="cellIs" dxfId="193" priority="6" stopIfTrue="1" operator="lessThan">
      <formula>$B$2</formula>
    </cfRule>
  </conditionalFormatting>
  <conditionalFormatting sqref="C7:C8">
    <cfRule type="expression" dxfId="192" priority="3">
      <formula>AND($C7-TODAY()&lt;30,TODAY()&lt;$C7)</formula>
    </cfRule>
  </conditionalFormatting>
  <conditionalFormatting sqref="C7:C8">
    <cfRule type="cellIs" dxfId="191" priority="4" stopIfTrue="1" operator="lessThan">
      <formula>$B$2</formula>
    </cfRule>
  </conditionalFormatting>
  <conditionalFormatting sqref="C4">
    <cfRule type="expression" dxfId="190" priority="1">
      <formula>AND($C4-TODAY()&lt;30,TODAY()&lt;$C4)</formula>
    </cfRule>
  </conditionalFormatting>
  <conditionalFormatting sqref="C4">
    <cfRule type="cellIs" dxfId="18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8"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8"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0" t="s">
        <v>1703</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8" t="s">
        <v>1672</v>
      </c>
      <c r="C15" s="1491"/>
    </row>
    <row r="16" spans="1:23">
      <c r="A16" s="8" t="s">
        <v>117</v>
      </c>
      <c r="B16" s="8" t="s">
        <v>1673</v>
      </c>
      <c r="C16" s="1491"/>
    </row>
    <row r="17" spans="1:3">
      <c r="A17" s="8" t="s">
        <v>118</v>
      </c>
      <c r="B17" s="3294" t="s">
        <v>3057</v>
      </c>
      <c r="C17" s="1491"/>
    </row>
    <row r="18" spans="1:3">
      <c r="A18" s="8" t="s">
        <v>119</v>
      </c>
      <c r="B18" s="2791" t="s">
        <v>2921</v>
      </c>
      <c r="C18" s="1491"/>
    </row>
    <row r="19" spans="1:3">
      <c r="A19" s="8" t="s">
        <v>120</v>
      </c>
      <c r="B19" s="2791" t="s">
        <v>2928</v>
      </c>
      <c r="C19" s="1491"/>
    </row>
    <row r="20" spans="1:3">
      <c r="A20" s="8" t="s">
        <v>121</v>
      </c>
      <c r="B20" s="2791" t="s">
        <v>2975</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51"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c r="D53" s="1684"/>
      <c r="E53" s="1684"/>
    </row>
    <row r="54" spans="1:5">
      <c r="A54" s="3351"/>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51"/>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51"/>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51"/>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市调结果</vt:lpstr>
      <vt:lpstr>不动产收益法</vt:lpstr>
      <vt:lpstr>酒店收入计算</vt:lpstr>
      <vt:lpstr>成本逼近法</vt:lpstr>
      <vt:lpstr>不动产比较法-商业</vt:lpstr>
      <vt:lpstr>不动产比较法-办公</vt:lpstr>
      <vt:lpstr>不动产比较法-工业</vt:lpstr>
      <vt:lpstr>商铺租金</vt:lpstr>
      <vt:lpstr>不动产收益法车库</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2020-09-08T10:16:41Z</dcterms:modified>
</cp:coreProperties>
</file>