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721平谷区文化北街6号1-2层商业\"/>
    </mc:Choice>
  </mc:AlternateContent>
  <xr:revisionPtr revIDLastSave="0" documentId="13_ncr:1_{A3D92191-A775-4683-AEA6-D6DB91F596B1}"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比较法-商业" sheetId="33" r:id="rId21"/>
    <sheet name="成本法 (元)" sheetId="69" r:id="rId22"/>
    <sheet name="假设开发法" sheetId="12" state="hidden" r:id="rId23"/>
    <sheet name="收益法" sheetId="15" state="hidden" r:id="rId24"/>
    <sheet name="基准地价修正" sheetId="43" r:id="rId25"/>
    <sheet name="收益法 (元)" sheetId="67" r:id="rId26"/>
    <sheet name="案例" sheetId="81" r:id="rId27"/>
    <sheet name="收益法-酒店模型" sheetId="77" state="hidden" r:id="rId28"/>
    <sheet name="收益法（汇总）" sheetId="70"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0">'比较法-商业'!$A$1:$K$54,'比较法-商业'!$A$57:$M$131</definedName>
    <definedName name="_xlnm.Print_Area" localSheetId="29">'比较法-住宅'!$A$1:$K$54,'比较法-住宅'!$A$57:$M$131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4">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6">'[1]比较法-办公'!$B$119:$M$119</definedName>
    <definedName name="办公层高">'比较法-办公'!$B$119:$M$119</definedName>
    <definedName name="办公朝向" localSheetId="26">'[1]比较法-办公'!$B$91:$M$91</definedName>
    <definedName name="办公朝向">'比较法-办公'!$B$91:$M$91</definedName>
    <definedName name="办公道路级别" localSheetId="26">'[1]比较法-办公'!$B$87:$M$87</definedName>
    <definedName name="办公道路级别">'比较法-办公'!$B$87:$M$87</definedName>
    <definedName name="办公公共部分装修" localSheetId="26">'[1]比较法-办公'!$B$108:$M$108</definedName>
    <definedName name="办公公共部分装修">'比较法-办公'!$B$108:$M$108</definedName>
    <definedName name="办公基础设施水平" localSheetId="26">'[1]比较法-办公'!$B$117:$M$117</definedName>
    <definedName name="办公基础设施水平">'比较法-办公'!$B$117:$M$117</definedName>
    <definedName name="办公集聚程度" localSheetId="26">[1]定义!$M$1:$M$6</definedName>
    <definedName name="办公集聚程度">定义!$M$1:$M$6</definedName>
    <definedName name="办公建筑结构" localSheetId="26">'[1]比较法-办公'!$B$106:$M$106</definedName>
    <definedName name="办公建筑结构">'比较法-办公'!$B$106:$M$106</definedName>
    <definedName name="办公建筑类型" localSheetId="26">'[1]比较法-办公'!$B$101:$M$101</definedName>
    <definedName name="办公建筑类型">'比较法-办公'!$B$101:$M$101</definedName>
    <definedName name="办公交易情况" localSheetId="26">'[1]比较法-办公'!$A$62:$M$62</definedName>
    <definedName name="办公交易情况">'比较法-办公'!$A$62:$M$62</definedName>
    <definedName name="办公楼层" localSheetId="26">'[1]比较法-办公'!$B$89:$M$89</definedName>
    <definedName name="办公楼层">'比较法-办公'!$B$89:$M$89</definedName>
    <definedName name="办公内部装修" localSheetId="26">'[1]比较法-办公'!$B$123:$M$123</definedName>
    <definedName name="办公内部装修">'比较法-办公'!$B$123:$M$123</definedName>
    <definedName name="办公物业管理" localSheetId="26">'[1]比较法-办公'!$B$115:$M$115</definedName>
    <definedName name="办公物业管理">'比较法-办公'!$B$115:$M$115</definedName>
    <definedName name="办公用途" localSheetId="26">'[1]比较法-办公'!$B$64:$M$64</definedName>
    <definedName name="办公用途">'比较法-办公'!$B$64:$M$64</definedName>
    <definedName name="仓储公共部分装修" localSheetId="26">'[1]比较法-仓储'!$B$77:$M$77</definedName>
    <definedName name="仓储公共部分装修">'比较法-仓储'!$B$77:$M$77</definedName>
    <definedName name="仓储交易情况" localSheetId="26">'[1]比较法-仓储'!$A$49:$M$49</definedName>
    <definedName name="仓储交易情况">'比较法-仓储'!$A$49:$M$49</definedName>
    <definedName name="仓储楼层" localSheetId="26">'[1]比较法-仓储'!$B$69:$M$69</definedName>
    <definedName name="仓储楼层">'比较法-仓储'!$B$69:$M$69</definedName>
    <definedName name="仓储物业等级" localSheetId="26">'[1]比较法-仓储'!$B$82:$M$82</definedName>
    <definedName name="仓储物业等级">'比较法-仓储'!$B$82:$M$82</definedName>
    <definedName name="仓储用途" localSheetId="26">'[1]比较法-仓储'!$B$51:$M$51</definedName>
    <definedName name="仓储用途">'比较法-仓储'!$B$51:$M$51</definedName>
    <definedName name="产业集聚程度" localSheetId="26">[1]定义!$N$1:$N$6</definedName>
    <definedName name="产业集聚程度">定义!$N$1:$N$6</definedName>
    <definedName name="车位公共部分装修" localSheetId="26">'[1]比较法-车位'!$B$83:$M$83</definedName>
    <definedName name="车位公共部分装修">'比较法-车位'!$B$83:$M$83</definedName>
    <definedName name="车位交易情况" localSheetId="26">'[1]比较法-车位'!$A$51:$M$51</definedName>
    <definedName name="车位交易情况">'比较法-车位'!$A$51:$M$51</definedName>
    <definedName name="车位类型" localSheetId="26">'[1]比较法-车位'!$B$93:$M$93</definedName>
    <definedName name="车位类型">'比较法-车位'!$B$93:$M$93</definedName>
    <definedName name="车位楼层" localSheetId="26">'[1]比较法-车位'!$B$71:$M$71</definedName>
    <definedName name="车位楼层">'比较法-车位'!$B$71:$M$71</definedName>
    <definedName name="车位配套类型" localSheetId="26">'[1]比较法-车位'!$B$79:$M$79</definedName>
    <definedName name="车位配套类型">'比较法-车位'!$B$79:$M$79</definedName>
    <definedName name="车位物业等级" localSheetId="26">'[1]比较法-车位'!$B$88:$M$88</definedName>
    <definedName name="车位物业等级">'比较法-车位'!$B$88:$M$88</definedName>
    <definedName name="车位用途" localSheetId="26">'[1]比较法-车位'!$B$53:$M$53</definedName>
    <definedName name="车位用途">'比较法-车位'!$B$53:$M$53</definedName>
    <definedName name="城镇土地纳税等级分级范围" localSheetId="26">'[1]数据-取费表'!$A$53:$A$63</definedName>
    <definedName name="城镇土地纳税等级分级范围">'数据-取费表'!$A$53:$A$63</definedName>
    <definedName name="单价内涵" localSheetId="26">[1]定义!$V$1:$V$3</definedName>
    <definedName name="单价内涵">定义!$V$1:$V$3</definedName>
    <definedName name="地类判定" localSheetId="26">[1]定义!$H$1:$H$9</definedName>
    <definedName name="地类判定">定义!$H$1:$H$9</definedName>
    <definedName name="二级">区片价!$J$1:$J$21</definedName>
    <definedName name="二级分类" localSheetId="26">[1]修正!$C$19:$C$51</definedName>
    <definedName name="二级分类">修正!$C$19:$C$53</definedName>
    <definedName name="法定最高年限" localSheetId="26">[1]定义!$G$1:$G$6</definedName>
    <definedName name="法定最高年限">定义!$G$1:$G$6</definedName>
    <definedName name="工业">定义!$AB$2:$AB$12</definedName>
    <definedName name="工业公共部分装修" localSheetId="26">'[1]比较法-工业'!$B$95:$M$95</definedName>
    <definedName name="工业公共部分装修">'比较法-工业'!$B$95:$M$95</definedName>
    <definedName name="工业基础设施水平" localSheetId="26">'[1]比较法-工业'!$B$102:$M$102</definedName>
    <definedName name="工业基础设施水平">'比较法-工业'!$B$102:$M$102</definedName>
    <definedName name="工业建筑结构" localSheetId="26">'[1]比较法-工业'!$B$93:$M$93</definedName>
    <definedName name="工业建筑结构">'比较法-工业'!$B$93:$M$93</definedName>
    <definedName name="工业建筑类型" localSheetId="26">'[1]比较法-工业'!$B$88:$M$88</definedName>
    <definedName name="工业建筑类型">'比较法-工业'!$B$88:$M$88</definedName>
    <definedName name="工业交易情况" localSheetId="26">'[1]比较法-工业'!$A$55:$M$55</definedName>
    <definedName name="工业交易情况">'比较法-工业'!$A$55:$M$55</definedName>
    <definedName name="工业内部装修" localSheetId="26">'[1]比较法-工业'!$B$104:$M$104</definedName>
    <definedName name="工业内部装修">'比较法-工业'!$B$104:$M$104</definedName>
    <definedName name="工业物业管理" localSheetId="26">'[1]比较法-工业'!$B$100:$M$100</definedName>
    <definedName name="工业物业管理">'比较法-工业'!$B$100:$M$100</definedName>
    <definedName name="工业用途" localSheetId="26">'[1]比较法-工业'!$B$57:$M$57</definedName>
    <definedName name="工业用途">'比较法-工业'!$B$57:$M$57</definedName>
    <definedName name="公共服务">定义!$Z$2:$Z$14</definedName>
    <definedName name="公共配套设施" localSheetId="26">[1]定义!$Q$1:$Q$6</definedName>
    <definedName name="公共配套设施">定义!$Q$1:$Q$6</definedName>
    <definedName name="估价范围判定" localSheetId="26">[1]定义!$D$1:$D$4</definedName>
    <definedName name="估价范围判定">定义!$D$1:$D$4</definedName>
    <definedName name="估价方法" localSheetId="26">[1]定义!$B$1:$B$50</definedName>
    <definedName name="估价方法">定义!$B$1:$B$50</definedName>
    <definedName name="环境" localSheetId="26">[1]定义!$S$1:$S$6</definedName>
    <definedName name="环境">定义!$S$1:$S$6</definedName>
    <definedName name="基础设施水平" localSheetId="26">[1]定义!$R$1:$R$6</definedName>
    <definedName name="基础设施水平">定义!$R$1:$R$6</definedName>
    <definedName name="季度">基准地价修正!$Q$19:$AD$19</definedName>
    <definedName name="价值类型2" localSheetId="26">[1]定义!$B$54:$B$56</definedName>
    <definedName name="价值类型2">定义!$B$54:$B$56</definedName>
    <definedName name="交通便捷度" localSheetId="26">[1]定义!$O$1:$O$6</definedName>
    <definedName name="交通便捷度">定义!$O$1:$O$6</definedName>
    <definedName name="九级">区片价!$Q$1:$Q$51</definedName>
    <definedName name="居住社区成熟度" localSheetId="26">[1]定义!$K$1:$K$6</definedName>
    <definedName name="居住社区成熟度">定义!$K$1:$K$6</definedName>
    <definedName name="类别" localSheetId="26">[1]定义!$J$1:$J$3</definedName>
    <definedName name="类别">定义!$J$1:$J$3</definedName>
    <definedName name="临街状况" localSheetId="26">[1]定义!$T$1:$T$5</definedName>
    <definedName name="临街状况">定义!$T$1:$T$5</definedName>
    <definedName name="六级">区片价!$N$1:$N$64</definedName>
    <definedName name="内部装修维护情况" localSheetId="26">[1]定义!$U$1:$U$6</definedName>
    <definedName name="内部装修维护情况">定义!$U$1:$U$6</definedName>
    <definedName name="七级">区片价!$O$1:$O$45</definedName>
    <definedName name="七通一平" localSheetId="26">[1]修正!$A$8:$A$16</definedName>
    <definedName name="七通一平">修正!$A$8:$A$16</definedName>
    <definedName name="区域土地利用方向" localSheetId="26">[1]定义!$P$1:$P$6</definedName>
    <definedName name="区域土地利用方向">定义!$P$1:$P$6</definedName>
    <definedName name="三级">区片价!$K$1:$K$26</definedName>
    <definedName name="商业">定义!$X$2:$X$9</definedName>
    <definedName name="商业层高" localSheetId="26">'[1]比较法-商业'!$B$116:$M$116</definedName>
    <definedName name="商业层高">'比较法-商业'!$B$116:$M$116</definedName>
    <definedName name="商业成新度">'比较法-商业'!$B$109:$M$109</definedName>
    <definedName name="商业繁华度" localSheetId="26">[1]定义!$L$1:$L$6</definedName>
    <definedName name="商业繁华度">定义!$L$1:$L$6</definedName>
    <definedName name="商业公共部分装修" localSheetId="26">'[1]比较法-商业'!$B$107:$M$107</definedName>
    <definedName name="商业公共部分装修">'比较法-商业'!$B$107:$M$107</definedName>
    <definedName name="商业基础设施水平" localSheetId="26">'[1]比较法-商业'!$B$112:$M$112</definedName>
    <definedName name="商业基础设施水平">'比较法-商业'!$B$112:$M$112</definedName>
    <definedName name="商业建筑结构" localSheetId="26">'[1]比较法-商业'!$B$105:$M$105</definedName>
    <definedName name="商业建筑结构">'比较法-商业'!$B$105:$M$105</definedName>
    <definedName name="商业交易情况" localSheetId="26">'[1]比较法-商业'!$A$61:$M$61</definedName>
    <definedName name="商业交易情况">'比较法-商业'!$A$61:$M$61</definedName>
    <definedName name="商业街名称" localSheetId="26">[1]修正!$C$71:$C$138</definedName>
    <definedName name="商业街名称">修正!$C$73:$C$140</definedName>
    <definedName name="商业进深比" localSheetId="26">'[1]比较法-商业'!$B$120:$M$120</definedName>
    <definedName name="商业进深比">'比较法-商业'!$B$120:$M$120</definedName>
    <definedName name="商业类型" localSheetId="26">'[1]比较法-商业'!$B$100:$M$100</definedName>
    <definedName name="商业类型">'比较法-商业'!$B$100:$M$100</definedName>
    <definedName name="商业临街状况" localSheetId="26">'[1]比较法-商业'!$B$86:$M$86</definedName>
    <definedName name="商业临街状况">'比较法-商业'!$B$86:$M$86</definedName>
    <definedName name="商业楼层" localSheetId="26">'[1]比较法-商业'!$B$92:$M$92</definedName>
    <definedName name="商业楼层">'比较法-商业'!$B$92:$M$92</definedName>
    <definedName name="商业内部装修" localSheetId="26">'[1]比较法-商业'!$B$122:$M$122</definedName>
    <definedName name="商业内部装修">'比较法-商业'!$B$122:$M$122</definedName>
    <definedName name="商业人流量" localSheetId="26">'[1]比较法-商业'!$B$90:$M$90</definedName>
    <definedName name="商业人流量">'比较法-商业'!$B$90:$M$90</definedName>
    <definedName name="商业业态" localSheetId="26">'[1]比较法-商业'!$B$114:$M$114</definedName>
    <definedName name="商业业态">'比较法-商业'!$B$114:$M$114</definedName>
    <definedName name="商业用途" localSheetId="26">'[1]比较法-商业'!$B$63:$M$63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6">'[1]比较法-仓储'!$B$89:$M$89</definedName>
    <definedName name="是否封闭">'比较法-仓储'!$B$89:$M$89</definedName>
    <definedName name="是否直接入户" localSheetId="26">'[1]比较法-车位'!$B$95:$M$95</definedName>
    <definedName name="是否直接入户">'比较法-车位'!$B$95:$M$95</definedName>
    <definedName name="四级">区片价!$L$1:$L$33</definedName>
    <definedName name="套工道路等级" localSheetId="26">'[1]土地比较法-工业'!$B$97:$M$97</definedName>
    <definedName name="套工道路等级">'土地比较法-工业'!$B$97:$M$97</definedName>
    <definedName name="套工地质条件" localSheetId="26">'[1]土地比较法-工业'!$B$114:$M$114</definedName>
    <definedName name="套工地质条件">'土地比较法-工业'!$B$114:$M$114</definedName>
    <definedName name="套工交易情况" localSheetId="26">'[1]土地比较法-住宅、综合'!$A$72:$M$72</definedName>
    <definedName name="套工交易情况">'土地比较法-住宅、综合'!$A$72:$M$72</definedName>
    <definedName name="套工土地级别" localSheetId="26">'[1]土地比较法-工业'!$B$99:$M$99</definedName>
    <definedName name="套工土地级别">'土地比较法-工业'!$B$99:$M$99</definedName>
    <definedName name="套工用途" localSheetId="26">'[1]土地比较法-工业'!$B$70:$M$70</definedName>
    <definedName name="套工用途">'土地比较法-工业'!$B$70:$M$70</definedName>
    <definedName name="套工宗地开发程度" localSheetId="26">'[1]土地比较法-工业'!$B$112:$M$112</definedName>
    <definedName name="套工宗地开发程度">'土地比较法-工业'!$B$112:$M$112</definedName>
    <definedName name="套工宗地形状" localSheetId="26">'[1]土地比较法-工业'!$B$110:$M$110</definedName>
    <definedName name="套工宗地形状">'土地比较法-工业'!$B$110:$M$110</definedName>
    <definedName name="套综道路等级" localSheetId="26">'[1]土地比较法-住宅、综合'!$B$105:$M$105</definedName>
    <definedName name="套综道路等级">'土地比较法-住宅、综合'!$B$105:$M$105</definedName>
    <definedName name="套综工程地质条件" localSheetId="26">'[1]土地比较法-住宅、综合'!$B$124:$M$124</definedName>
    <definedName name="套综工程地质条件">'土地比较法-住宅、综合'!$B$124:$M$124</definedName>
    <definedName name="套综交易情况" localSheetId="26">'[1]土地比较法-住宅、综合'!$A$72:$M$72</definedName>
    <definedName name="套综交易情况">'土地比较法-住宅、综合'!$A$72:$M$72</definedName>
    <definedName name="套综临街宽度及深度" localSheetId="26">'[1]土地比较法-住宅、综合'!$B$120:$M$120</definedName>
    <definedName name="套综临街宽度及深度">'土地比较法-住宅、综合'!$B$120:$M$120</definedName>
    <definedName name="套综土地级别" localSheetId="26">'[1]土地比较法-住宅、综合'!$B$107:$M$107</definedName>
    <definedName name="套综土地级别">'土地比较法-住宅、综合'!$B$107:$M$107</definedName>
    <definedName name="套综用途" localSheetId="26">'[1]土地比较法-住宅、综合'!$B$74:$M$74</definedName>
    <definedName name="套综用途">'土地比较法-住宅、综合'!$B$74:$M$74</definedName>
    <definedName name="套综宗地内开发程度" localSheetId="26">'[1]土地比较法-住宅、综合'!$B$122:$M$122</definedName>
    <definedName name="套综宗地内开发程度">'土地比较法-住宅、综合'!$B$122:$M$122</definedName>
    <definedName name="套综宗地形状" localSheetId="26">'[1]土地比较法-住宅、综合'!$B$118:$M$118</definedName>
    <definedName name="套综宗地形状">'土地比较法-住宅、综合'!$B$118:$M$118</definedName>
    <definedName name="土地估价师">估价师及机构信息!$D$3:$D$24</definedName>
    <definedName name="土地级别" localSheetId="26">[1]定义!$C$1:$C$14</definedName>
    <definedName name="土地级别">定义!$C$1:$C$14</definedName>
    <definedName name="土地利用方向">定义!$P$1:$P$6</definedName>
    <definedName name="土地年限区间">定义!$I$1:$I$16</definedName>
    <definedName name="位置" localSheetId="26">[1]定义!$E$2:$E$4</definedName>
    <definedName name="位置">定义!$E$2:$E$4</definedName>
    <definedName name="五等判定" localSheetId="26">[1]定义!$W$1:$W$6</definedName>
    <definedName name="五等判定">定义!$W$1:$W$6</definedName>
    <definedName name="五级">区片价!$M$1:$M$41</definedName>
    <definedName name="项目类型" localSheetId="26">'[1]数据-汇总表'!$C$17:$C$26</definedName>
    <definedName name="项目类型" localSheetId="27">'[2]数据-汇总表'!$C$17:$C$26</definedName>
    <definedName name="项目类型">'数据-汇总表'!$C$17:$C$26</definedName>
    <definedName name="写字楼等级" localSheetId="26">'[1]比较法-办公'!$B$113:$M$113</definedName>
    <definedName name="写字楼等级">'比较法-办公'!$B$113:$M$113</definedName>
    <definedName name="一级">区片价!$I$1:$I$6</definedName>
    <definedName name="一修多修正项2" localSheetId="26">[1]典型户型修正!$5:$5</definedName>
    <definedName name="一修多修正项2">典型户型修正!$5:$5</definedName>
    <definedName name="一修多修正项3" localSheetId="26">[1]典型户型修正!$7:$7</definedName>
    <definedName name="一修多修正项3">典型户型修正!$7:$7</definedName>
    <definedName name="一修多修正项4" localSheetId="26">[1]典型户型修正!$9:$9</definedName>
    <definedName name="一修多修正项4">典型户型修正!$9:$9</definedName>
    <definedName name="一修多修正项5" localSheetId="26">[1]典型户型修正!$11:$11</definedName>
    <definedName name="一修多修正项5">典型户型修正!$11:$11</definedName>
    <definedName name="一修多修正项6" localSheetId="26">[1]典型户型修正!$13:$13</definedName>
    <definedName name="一修多修正项6">典型户型修正!$13:$13</definedName>
    <definedName name="一修多修正项7" localSheetId="26">[1]典型户型修正!$15:$15</definedName>
    <definedName name="一修多修正项7">典型户型修正!$15:$15</definedName>
    <definedName name="一修多修正项8" localSheetId="26">[1]典型户型修正!$17:$17</definedName>
    <definedName name="一修多修正项8">典型户型修正!$17:$17</definedName>
    <definedName name="用途明细" localSheetId="26">[1]定义!$A$1:$A$50</definedName>
    <definedName name="用途明细">定义!$A$1:$A$50</definedName>
    <definedName name="有无电梯" localSheetId="26">'[1]比较法-仓储'!$B$84:$M$84</definedName>
    <definedName name="有无电梯">'比较法-仓储'!$B$84:$M$84</definedName>
    <definedName name="主用途" localSheetId="26">[1]定义!$F$1:$F$12</definedName>
    <definedName name="主用途">定义!$F$1:$F$12</definedName>
    <definedName name="住宅">定义!$AA$2</definedName>
    <definedName name="住宅朝向" localSheetId="26">'[1]比较法-住宅'!$B$88:$M$88</definedName>
    <definedName name="住宅朝向">'比较法-住宅'!$B$88:$M$88</definedName>
    <definedName name="住宅房型" localSheetId="26">'[1]比较法-住宅'!$B$118:$M$118</definedName>
    <definedName name="住宅房型">'比较法-住宅'!$B$118:$M$118</definedName>
    <definedName name="住宅公共部分装修" localSheetId="26">'[1]比较法-住宅'!$B$109:$M$109</definedName>
    <definedName name="住宅公共部分装修">'比较法-住宅'!$B$109:$M$109</definedName>
    <definedName name="住宅基础设施水平" localSheetId="26">'[1]比较法-住宅'!$B$116:$M$116</definedName>
    <definedName name="住宅基础设施水平">'比较法-住宅'!$B$116:$M$116</definedName>
    <definedName name="住宅建筑结构" localSheetId="26">'[1]比较法-住宅'!$B$105:$M$105</definedName>
    <definedName name="住宅建筑结构">'比较法-住宅'!$B$105:$M$105</definedName>
    <definedName name="住宅建筑类型" localSheetId="26">'[1]比较法-住宅'!$B$100:$M$100</definedName>
    <definedName name="住宅建筑类型">'比较法-住宅'!$B$100:$M$100</definedName>
    <definedName name="住宅建筑品质" localSheetId="26">'[1]比较法-住宅'!$B$107:$M$107</definedName>
    <definedName name="住宅建筑品质">'比较法-住宅'!$B$107:$M$107</definedName>
    <definedName name="住宅交易情况" localSheetId="26">'[1]比较法-住宅'!$A$61:$M$61</definedName>
    <definedName name="住宅交易情况">'比较法-住宅'!$A$61:$M$61</definedName>
    <definedName name="住宅楼层" localSheetId="26">'[1]比较法-住宅'!$B$86:$M$86</definedName>
    <definedName name="住宅楼层">'比较法-住宅'!$B$86:$M$86</definedName>
    <definedName name="住宅内部装修" localSheetId="26">'[1]比较法-住宅'!$B$122:$M$122</definedName>
    <definedName name="住宅内部装修">'比较法-住宅'!$B$122:$M$122</definedName>
    <definedName name="住宅物业管理" localSheetId="26">'[1]比较法-住宅'!$B$114:$M$114</definedName>
    <definedName name="住宅物业管理">'比较法-住宅'!$B$114:$M$114</definedName>
    <definedName name="住宅用途" localSheetId="26">'[1]比较法-住宅'!$B$63:$M$63</definedName>
    <definedName name="住宅用途">'比较法-住宅'!$B$63:$M$63</definedName>
    <definedName name="住宅主力户型面积">'比较法-住宅'!$B$120:$M$120</definedName>
    <definedName name="注册房地产估价师" localSheetId="26">[1]估价师及机构信息!$A$3:$A$16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4" i="74" l="1"/>
  <c r="Y24" i="1"/>
  <c r="Y22" i="1"/>
  <c r="W24" i="1"/>
  <c r="C36" i="33"/>
  <c r="C33" i="33"/>
  <c r="O96" i="33"/>
  <c r="P92" i="33" s="1"/>
  <c r="O95" i="33"/>
  <c r="P95" i="33" s="1"/>
  <c r="G51" i="43"/>
  <c r="G52" i="43"/>
  <c r="G53" i="43"/>
  <c r="G54" i="43"/>
  <c r="G55" i="43"/>
  <c r="G56" i="43"/>
  <c r="G57" i="43"/>
  <c r="G58" i="43"/>
  <c r="G50" i="43"/>
  <c r="U3" i="43"/>
  <c r="U2" i="43"/>
  <c r="Y6" i="1"/>
  <c r="W23" i="1"/>
  <c r="N6" i="1"/>
  <c r="N22" i="1"/>
  <c r="N23" i="1" s="1"/>
  <c r="F19" i="6"/>
  <c r="C19" i="6"/>
  <c r="I51" i="33" l="1"/>
  <c r="I47" i="33" s="1"/>
  <c r="E93" i="33"/>
  <c r="E51" i="33"/>
  <c r="E47" i="33" s="1"/>
  <c r="G51" i="33"/>
  <c r="G47" i="33" s="1"/>
  <c r="D93" i="33"/>
  <c r="P93" i="33"/>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6" i="79"/>
  <c r="AD37" i="79"/>
  <c r="AD38"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W40" i="79"/>
  <c r="AK40" i="79" s="1"/>
  <c r="AH40" i="79"/>
  <c r="AR18" i="79"/>
  <c r="AR19" i="79" s="1"/>
  <c r="AR20" i="79" s="1"/>
  <c r="AR21" i="79" s="1"/>
  <c r="AR22" i="79" s="1"/>
  <c r="AR23" i="79" s="1"/>
  <c r="AR24" i="79" s="1"/>
  <c r="T33" i="79"/>
  <c r="T35"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X25" i="71" s="1"/>
  <c r="D33" i="71"/>
  <c r="Q32" i="71"/>
  <c r="AB32" i="71" s="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X26" i="71" s="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E66" i="71" s="1"/>
  <c r="Q28" i="71"/>
  <c r="C59" i="71"/>
  <c r="D59" i="71" s="1"/>
  <c r="C63" i="71"/>
  <c r="C64" i="71" s="1"/>
  <c r="D62" i="71"/>
  <c r="T68" i="71"/>
  <c r="O68" i="71"/>
  <c r="D68" i="71"/>
  <c r="C67" i="71"/>
  <c r="D67" i="71" s="1"/>
  <c r="Q68" i="71"/>
  <c r="E71" i="71"/>
  <c r="E70" i="71"/>
  <c r="D72" i="71"/>
  <c r="C75" i="71"/>
  <c r="D76" i="71"/>
  <c r="D80" i="71"/>
  <c r="F28" i="71"/>
  <c r="F27" i="71"/>
  <c r="F26" i="71"/>
  <c r="AA3" i="71"/>
  <c r="D63" i="71"/>
  <c r="D75" i="71"/>
  <c r="C74" i="71"/>
  <c r="D74" i="71" s="1"/>
  <c r="C60" i="71"/>
  <c r="T60" i="71" s="1"/>
  <c r="P67"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F21" i="37"/>
  <c r="H21" i="34"/>
  <c r="AB21" i="34" s="1"/>
  <c r="H21" i="33"/>
  <c r="U21" i="33" s="1"/>
  <c r="F21" i="33"/>
  <c r="S21" i="33" s="1"/>
  <c r="E83" i="21"/>
  <c r="F83" i="21" s="1"/>
  <c r="H1" i="69"/>
  <c r="AC25" i="40"/>
  <c r="W25" i="40"/>
  <c r="U25" i="40"/>
  <c r="U29" i="39"/>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s="1"/>
  <c r="D53" i="43"/>
  <c r="M52" i="43"/>
  <c r="N52" i="43" s="1"/>
  <c r="K52" i="43"/>
  <c r="J52" i="43" s="1"/>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A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F11" i="35" s="1"/>
  <c r="S11" i="35" s="1"/>
  <c r="B61" i="35"/>
  <c r="B59" i="35"/>
  <c r="F12" i="35" s="1"/>
  <c r="B131" i="34"/>
  <c r="B129" i="34"/>
  <c r="J46" i="34" s="1"/>
  <c r="B127" i="34"/>
  <c r="B99" i="34"/>
  <c r="B97" i="34"/>
  <c r="B95" i="34"/>
  <c r="B93" i="34"/>
  <c r="B75" i="34"/>
  <c r="B73" i="34"/>
  <c r="B71" i="34"/>
  <c r="J12" i="34" s="1"/>
  <c r="W12" i="34" s="1"/>
  <c r="B130" i="33"/>
  <c r="F46" i="33" s="1"/>
  <c r="B128" i="33"/>
  <c r="B126" i="33"/>
  <c r="B98" i="33"/>
  <c r="F31" i="33" s="1"/>
  <c r="B96" i="33"/>
  <c r="B94" i="33"/>
  <c r="J29" i="33" s="1"/>
  <c r="B74" i="33"/>
  <c r="B72" i="33"/>
  <c r="B70" i="33"/>
  <c r="J12" i="33"/>
  <c r="W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F26" i="33" s="1"/>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Q41" i="33"/>
  <c r="Z41" i="33" s="1"/>
  <c r="Q40" i="33"/>
  <c r="Z40" i="33"/>
  <c r="J40" i="33"/>
  <c r="AC40" i="33" s="1"/>
  <c r="H40" i="33"/>
  <c r="AB40" i="33" s="1"/>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s="1"/>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c r="D77" i="21"/>
  <c r="E77" i="21" s="1"/>
  <c r="B130" i="21"/>
  <c r="B128" i="21"/>
  <c r="J45" i="21"/>
  <c r="W45" i="21" s="1"/>
  <c r="B126" i="21"/>
  <c r="B98" i="21"/>
  <c r="H31" i="21"/>
  <c r="B96" i="21"/>
  <c r="J30" i="21" s="1"/>
  <c r="B94" i="21"/>
  <c r="J29" i="21" s="1"/>
  <c r="AC29" i="21" s="1"/>
  <c r="B92" i="21"/>
  <c r="J28" i="21" s="1"/>
  <c r="W28" i="21" s="1"/>
  <c r="B90" i="2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F36" i="39"/>
  <c r="S36" i="39" s="1"/>
  <c r="H36" i="39"/>
  <c r="J35" i="39"/>
  <c r="AC35" i="39" s="1"/>
  <c r="F35" i="39"/>
  <c r="AA35" i="39"/>
  <c r="U9" i="39"/>
  <c r="W40" i="39"/>
  <c r="W25" i="37"/>
  <c r="U30" i="37"/>
  <c r="W31" i="37"/>
  <c r="E103" i="37"/>
  <c r="F103" i="37" s="1"/>
  <c r="G103" i="37" s="1"/>
  <c r="H103" i="37" s="1"/>
  <c r="I103" i="37" s="1"/>
  <c r="J103" i="37" s="1"/>
  <c r="K103" i="37" s="1"/>
  <c r="L103" i="37" s="1"/>
  <c r="M103" i="37" s="1"/>
  <c r="F29" i="36"/>
  <c r="AA29" i="36" s="1"/>
  <c r="F16" i="36"/>
  <c r="AA16" i="36" s="1"/>
  <c r="W28" i="36"/>
  <c r="H22" i="35"/>
  <c r="AB22" i="35"/>
  <c r="AC27" i="35"/>
  <c r="W28" i="35"/>
  <c r="U31" i="35"/>
  <c r="W22" i="35"/>
  <c r="S31" i="35"/>
  <c r="U34" i="35"/>
  <c r="F36" i="34"/>
  <c r="J35" i="34"/>
  <c r="U34" i="34"/>
  <c r="H39" i="33"/>
  <c r="AB39" i="33" s="1"/>
  <c r="W39" i="33"/>
  <c r="H39" i="37"/>
  <c r="AB39" i="37" s="1"/>
  <c r="S27" i="35"/>
  <c r="F11" i="40"/>
  <c r="AA11" i="40" s="1"/>
  <c r="H11" i="40"/>
  <c r="AB11" i="40"/>
  <c r="W8" i="40"/>
  <c r="AB39" i="40"/>
  <c r="U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c r="AB12" i="35"/>
  <c r="AB12" i="36"/>
  <c r="W32" i="40"/>
  <c r="S44" i="39"/>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E113" i="33"/>
  <c r="F113" i="33" s="1"/>
  <c r="G113" i="33" s="1"/>
  <c r="H113" i="33" s="1"/>
  <c r="I113" i="33" s="1"/>
  <c r="J113" i="33" s="1"/>
  <c r="K113" i="33" s="1"/>
  <c r="L113" i="33" s="1"/>
  <c r="M113" i="33" s="1"/>
  <c r="F32" i="33"/>
  <c r="AA32" i="33" s="1"/>
  <c r="J19" i="33"/>
  <c r="AC19" i="33" s="1"/>
  <c r="F11" i="33"/>
  <c r="AA11" i="33" s="1"/>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H37" i="33"/>
  <c r="AB37"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AA44" i="34"/>
  <c r="J10" i="35"/>
  <c r="AC10" i="35" s="1"/>
  <c r="W14" i="21"/>
  <c r="F14" i="21"/>
  <c r="S14" i="21" s="1"/>
  <c r="H14" i="21"/>
  <c r="U14" i="21" s="1"/>
  <c r="H28" i="21"/>
  <c r="AB28" i="21" s="1"/>
  <c r="F28" i="21"/>
  <c r="AA28" i="21" s="1"/>
  <c r="H30" i="21"/>
  <c r="U30" i="21" s="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H29" i="21"/>
  <c r="U29" i="21"/>
  <c r="J31" i="21"/>
  <c r="AC31" i="21" s="1"/>
  <c r="F31" i="21"/>
  <c r="S31" i="21"/>
  <c r="F45" i="21"/>
  <c r="AA45" i="21" s="1"/>
  <c r="F27" i="33"/>
  <c r="AA27" i="33" s="1"/>
  <c r="J13" i="33"/>
  <c r="H13" i="33"/>
  <c r="U13" i="33" s="1"/>
  <c r="F13" i="33"/>
  <c r="S13" i="33" s="1"/>
  <c r="H29" i="33"/>
  <c r="U29" i="33" s="1"/>
  <c r="J31" i="33"/>
  <c r="W31" i="33" s="1"/>
  <c r="H31" i="33"/>
  <c r="H45" i="33"/>
  <c r="U45" i="33" s="1"/>
  <c r="J45" i="33"/>
  <c r="W45" i="33" s="1"/>
  <c r="F45" i="33"/>
  <c r="AA45" i="33" s="1"/>
  <c r="J14" i="34"/>
  <c r="W14" i="34" s="1"/>
  <c r="F14" i="34"/>
  <c r="H14" i="34"/>
  <c r="H30" i="34"/>
  <c r="F30" i="34"/>
  <c r="S30" i="34" s="1"/>
  <c r="J30" i="34"/>
  <c r="H32" i="34"/>
  <c r="F32" i="34"/>
  <c r="J32" i="34"/>
  <c r="W32" i="34" s="1"/>
  <c r="H46" i="34"/>
  <c r="U46" i="34" s="1"/>
  <c r="F46" i="34"/>
  <c r="H11" i="35"/>
  <c r="AB11" i="35" s="1"/>
  <c r="J11" i="35"/>
  <c r="W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s="1"/>
  <c r="F30" i="33"/>
  <c r="S30" i="33" s="1"/>
  <c r="J30" i="33"/>
  <c r="W30" i="33" s="1"/>
  <c r="H44" i="33"/>
  <c r="J44" i="33"/>
  <c r="AC44" i="33" s="1"/>
  <c r="F44" i="33"/>
  <c r="S44" i="33" s="1"/>
  <c r="H46" i="33"/>
  <c r="AB46" i="33" s="1"/>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s="1"/>
  <c r="H12" i="40"/>
  <c r="AB12" i="40" s="1"/>
  <c r="H30" i="40"/>
  <c r="AB30" i="40" s="1"/>
  <c r="F33" i="40"/>
  <c r="AA33" i="40" s="1"/>
  <c r="H33" i="40"/>
  <c r="U33" i="40" s="1"/>
  <c r="J35" i="40"/>
  <c r="AC35" i="40" s="1"/>
  <c r="J37" i="40"/>
  <c r="AC37" i="40"/>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s="1"/>
  <c r="J36" i="37"/>
  <c r="AC36" i="37" s="1"/>
  <c r="J10" i="36"/>
  <c r="AC10" i="36" s="1"/>
  <c r="AB30" i="21"/>
  <c r="S11" i="36"/>
  <c r="S45" i="33"/>
  <c r="AC28" i="21"/>
  <c r="BA586" i="3"/>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BA544" i="3"/>
  <c r="AZ544" i="3" s="1"/>
  <c r="BA542" i="3"/>
  <c r="AZ542" i="3"/>
  <c r="BA540" i="3"/>
  <c r="BA538" i="3"/>
  <c r="BA536" i="3"/>
  <c r="AZ536" i="3" s="1"/>
  <c r="BA534" i="3"/>
  <c r="AZ534" i="3"/>
  <c r="BA532" i="3"/>
  <c r="AZ532" i="3" s="1"/>
  <c r="BA530" i="3"/>
  <c r="BA528" i="3"/>
  <c r="AZ528" i="3" s="1"/>
  <c r="BA526" i="3"/>
  <c r="AZ526" i="3" s="1"/>
  <c r="BA524" i="3"/>
  <c r="AZ524" i="3" s="1"/>
  <c r="BA522" i="3"/>
  <c r="BA520" i="3"/>
  <c r="BA518" i="3"/>
  <c r="AZ518" i="3" s="1"/>
  <c r="BA516" i="3"/>
  <c r="AZ516" i="3" s="1"/>
  <c r="BA514" i="3"/>
  <c r="BA512" i="3"/>
  <c r="AZ512" i="3"/>
  <c r="BA510" i="3"/>
  <c r="BA508" i="3"/>
  <c r="AZ508" i="3" s="1"/>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s="1"/>
  <c r="BQ535" i="3"/>
  <c r="BL535" i="3" s="1"/>
  <c r="AZ535" i="3" s="1"/>
  <c r="BQ533" i="3"/>
  <c r="BL533" i="3" s="1"/>
  <c r="AZ533" i="3" s="1"/>
  <c r="BQ531" i="3"/>
  <c r="BL531" i="3" s="1"/>
  <c r="BQ529" i="3"/>
  <c r="BL529" i="3" s="1"/>
  <c r="BQ527" i="3"/>
  <c r="BL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Q505" i="3"/>
  <c r="BL505" i="3" s="1"/>
  <c r="AZ505" i="3" s="1"/>
  <c r="BQ503" i="3"/>
  <c r="BL503" i="3" s="1"/>
  <c r="AZ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39" i="37"/>
  <c r="U26" i="37"/>
  <c r="W47" i="34"/>
  <c r="AC36" i="34"/>
  <c r="AC31"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BL196" i="3"/>
  <c r="AZ196" i="3"/>
  <c r="G197" i="3"/>
  <c r="BA199" i="3"/>
  <c r="BL200" i="3"/>
  <c r="G201" i="3"/>
  <c r="BA203" i="3"/>
  <c r="BL204"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AZ346" i="3" s="1"/>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AZ500" i="3"/>
  <c r="BA16" i="3"/>
  <c r="BL303" i="3"/>
  <c r="G304" i="3"/>
  <c r="BA306" i="3"/>
  <c r="BL307" i="3"/>
  <c r="G308" i="3"/>
  <c r="BA310" i="3"/>
  <c r="AZ310" i="3" s="1"/>
  <c r="BL311" i="3"/>
  <c r="AZ311" i="3" s="1"/>
  <c r="G312" i="3"/>
  <c r="BA314" i="3"/>
  <c r="BL315" i="3"/>
  <c r="AZ315" i="3" s="1"/>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AZ229" i="3"/>
  <c r="AZ241" i="3"/>
  <c r="BA379" i="3"/>
  <c r="AZ379" i="3" s="1"/>
  <c r="BL380" i="3"/>
  <c r="G381" i="3"/>
  <c r="BA383" i="3"/>
  <c r="AZ383" i="3" s="1"/>
  <c r="BL384" i="3"/>
  <c r="AZ384" i="3" s="1"/>
  <c r="G385" i="3"/>
  <c r="BA387" i="3"/>
  <c r="AZ387" i="3" s="1"/>
  <c r="BL388" i="3"/>
  <c r="G389" i="3"/>
  <c r="BA391" i="3"/>
  <c r="BL392" i="3"/>
  <c r="AZ392" i="3" s="1"/>
  <c r="G393" i="3"/>
  <c r="AZ291" i="3"/>
  <c r="BO5" i="3"/>
  <c r="BM5" i="3"/>
  <c r="BJ5" i="3"/>
  <c r="BH5" i="3"/>
  <c r="BF5" i="3"/>
  <c r="BD5" i="3"/>
  <c r="AC5" i="3"/>
  <c r="AZ506" i="3"/>
  <c r="AZ496" i="3"/>
  <c r="G548" i="3"/>
  <c r="G538" i="3"/>
  <c r="G520" i="3"/>
  <c r="G502" i="3"/>
  <c r="BS5" i="3"/>
  <c r="BP5" i="3"/>
  <c r="BN5" i="3"/>
  <c r="G29" i="6" s="1"/>
  <c r="BK5" i="3"/>
  <c r="BI5" i="3"/>
  <c r="BG5" i="3"/>
  <c r="BE5" i="3"/>
  <c r="BC5" i="3"/>
  <c r="G17" i="3"/>
  <c r="BA17" i="3"/>
  <c r="BT5" i="3"/>
  <c r="BA15" i="3"/>
  <c r="AZ15" i="3" s="1"/>
  <c r="BR5" i="3"/>
  <c r="AZ380" i="3"/>
  <c r="G509" i="3"/>
  <c r="BL493" i="3"/>
  <c r="AZ493" i="3" s="1"/>
  <c r="U36" i="40"/>
  <c r="F83" i="43"/>
  <c r="H85" i="43" s="1"/>
  <c r="F50" i="43"/>
  <c r="H54" i="43" s="1"/>
  <c r="F72" i="43"/>
  <c r="H75" i="43" s="1"/>
  <c r="U17" i="39"/>
  <c r="S14" i="35"/>
  <c r="U43" i="21"/>
  <c r="U35" i="21"/>
  <c r="AC35" i="21"/>
  <c r="AC11" i="39"/>
  <c r="AZ563" i="3"/>
  <c r="W37" i="37"/>
  <c r="W44" i="34"/>
  <c r="AC44" i="34"/>
  <c r="S15" i="37"/>
  <c r="U13" i="37"/>
  <c r="U12" i="40"/>
  <c r="AA12" i="40"/>
  <c r="J37" i="33"/>
  <c r="W37" i="33" s="1"/>
  <c r="AC17" i="34"/>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AB27" i="40" s="1"/>
  <c r="J27" i="40"/>
  <c r="AC27" i="40" s="1"/>
  <c r="F27" i="40"/>
  <c r="AA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6" i="3"/>
  <c r="AZ130" i="3"/>
  <c r="AZ7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12" i="3"/>
  <c r="AZ433" i="3"/>
  <c r="AC12" i="33"/>
  <c r="AA32" i="36"/>
  <c r="S32" i="36"/>
  <c r="BL14" i="3"/>
  <c r="AC13" i="34"/>
  <c r="AA47" i="34"/>
  <c r="W28" i="37"/>
  <c r="S19" i="39"/>
  <c r="F12" i="33"/>
  <c r="H12" i="39"/>
  <c r="U12" i="39" s="1"/>
  <c r="F39" i="40"/>
  <c r="BA14" i="3"/>
  <c r="AZ254" i="3"/>
  <c r="AZ297"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B29" i="33"/>
  <c r="H41" i="33"/>
  <c r="U41" i="33" s="1"/>
  <c r="F36" i="33"/>
  <c r="AA36" i="33" s="1"/>
  <c r="G111" i="33"/>
  <c r="G108" i="33"/>
  <c r="H108" i="33" s="1"/>
  <c r="I108" i="33" s="1"/>
  <c r="J108" i="33" s="1"/>
  <c r="K108" i="33" s="1"/>
  <c r="L108" i="33" s="1"/>
  <c r="M108" i="33" s="1"/>
  <c r="J35" i="33"/>
  <c r="AC35" i="33" s="1"/>
  <c r="S39" i="33"/>
  <c r="F101" i="33"/>
  <c r="G101" i="33" s="1"/>
  <c r="H101" i="33" s="1"/>
  <c r="I101" i="33" s="1"/>
  <c r="J101" i="33" s="1"/>
  <c r="K101" i="33" s="1"/>
  <c r="L101" i="33" s="1"/>
  <c r="M101" i="33" s="1"/>
  <c r="J32" i="33"/>
  <c r="W32" i="33" s="1"/>
  <c r="H27" i="33"/>
  <c r="U27" i="33" s="1"/>
  <c r="F87" i="33"/>
  <c r="H25" i="33"/>
  <c r="U25" i="33" s="1"/>
  <c r="F25" i="33"/>
  <c r="S25" i="33" s="1"/>
  <c r="J23" i="33"/>
  <c r="AC23" i="33" s="1"/>
  <c r="F85" i="33"/>
  <c r="G85" i="33" s="1"/>
  <c r="H23" i="33"/>
  <c r="U23" i="33" s="1"/>
  <c r="F81" i="33"/>
  <c r="F19" i="33"/>
  <c r="S19" i="33" s="1"/>
  <c r="W19" i="33"/>
  <c r="J17" i="33"/>
  <c r="W17" i="33" s="1"/>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G22" i="68"/>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S33" i="33"/>
  <c r="U44" i="33"/>
  <c r="AB44" i="33"/>
  <c r="AC14" i="33"/>
  <c r="W14" i="33"/>
  <c r="S31" i="33"/>
  <c r="AA31" i="33"/>
  <c r="W13" i="33"/>
  <c r="AC13"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9" i="21"/>
  <c r="W39" i="21"/>
  <c r="AC14" i="21"/>
  <c r="W30" i="21"/>
  <c r="S46" i="21"/>
  <c r="H45" i="21"/>
  <c r="U45" i="21" s="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4" i="43"/>
  <c r="B58" i="43"/>
  <c r="B65" i="43"/>
  <c r="B69" i="43"/>
  <c r="D23" i="15"/>
  <c r="D22" i="15"/>
  <c r="E4" i="4"/>
  <c r="B5" i="62" s="1"/>
  <c r="B73" i="72" s="1"/>
  <c r="C4" i="4"/>
  <c r="F30" i="68"/>
  <c r="F48" i="68" s="1"/>
  <c r="AA39" i="40"/>
  <c r="S39" i="40"/>
  <c r="S12" i="33"/>
  <c r="AA12" i="33"/>
  <c r="J32" i="39"/>
  <c r="W32" i="39" s="1"/>
  <c r="H32" i="39"/>
  <c r="AB32" i="39" s="1"/>
  <c r="AA32" i="39"/>
  <c r="S32" i="39"/>
  <c r="AB21" i="39"/>
  <c r="U21" i="39"/>
  <c r="AA21"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H111" i="33"/>
  <c r="I111" i="33" s="1"/>
  <c r="J111" i="33" s="1"/>
  <c r="K111" i="33" s="1"/>
  <c r="L111" i="33" s="1"/>
  <c r="M111" i="33" s="1"/>
  <c r="J36" i="33"/>
  <c r="W36" i="33" s="1"/>
  <c r="H36" i="33"/>
  <c r="U36" i="33" s="1"/>
  <c r="J27" i="33"/>
  <c r="AC27" i="33" s="1"/>
  <c r="G87" i="33"/>
  <c r="H87" i="33" s="1"/>
  <c r="I87" i="33" s="1"/>
  <c r="J87" i="33" s="1"/>
  <c r="K87" i="33" s="1"/>
  <c r="L87" i="33" s="1"/>
  <c r="M87" i="33" s="1"/>
  <c r="J25" i="33"/>
  <c r="AC25" i="33" s="1"/>
  <c r="F23" i="33"/>
  <c r="H19" i="33"/>
  <c r="AB19" i="33" s="1"/>
  <c r="G81" i="33"/>
  <c r="F17" i="33"/>
  <c r="S17" i="33" s="1"/>
  <c r="S37" i="21"/>
  <c r="AA23" i="21"/>
  <c r="AB15" i="21"/>
  <c r="J23" i="21"/>
  <c r="AC23" i="21" s="1"/>
  <c r="F85" i="21"/>
  <c r="G85" i="21" s="1"/>
  <c r="H23" i="21"/>
  <c r="S13" i="21"/>
  <c r="D6" i="52"/>
  <c r="AP7" i="1"/>
  <c r="AA32" i="21"/>
  <c r="W9" i="21"/>
  <c r="AC9" i="21"/>
  <c r="AB32" i="21"/>
  <c r="U32" i="39"/>
  <c r="AC32" i="39"/>
  <c r="J63" i="37"/>
  <c r="K63" i="37" s="1"/>
  <c r="L63" i="37" s="1"/>
  <c r="M63" i="37" s="1"/>
  <c r="J11" i="37"/>
  <c r="AC11" i="37" s="1"/>
  <c r="H70" i="34"/>
  <c r="I70" i="34" s="1"/>
  <c r="J70" i="34" s="1"/>
  <c r="K70" i="34"/>
  <c r="L70" i="34" s="1"/>
  <c r="M70" i="34" s="1"/>
  <c r="J11" i="34"/>
  <c r="W11" i="34" s="1"/>
  <c r="U23" i="21"/>
  <c r="AB23" i="21"/>
  <c r="W23" i="21"/>
  <c r="H109" i="9"/>
  <c r="H112" i="9"/>
  <c r="D21" i="53" s="1"/>
  <c r="B39" i="72" s="1"/>
  <c r="H111" i="9"/>
  <c r="D126" i="9" s="1"/>
  <c r="AD3" i="71"/>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9" i="67"/>
  <c r="F40" i="67"/>
  <c r="C76" i="67"/>
  <c r="M28" i="67"/>
  <c r="E9" i="76"/>
  <c r="F7" i="15"/>
  <c r="F36" i="67"/>
  <c r="M22" i="15"/>
  <c r="F6" i="67"/>
  <c r="F40" i="15"/>
  <c r="L48" i="67"/>
  <c r="B7" i="76"/>
  <c r="M22" i="67"/>
  <c r="F9" i="67"/>
  <c r="B12" i="76"/>
  <c r="M29" i="15"/>
  <c r="AO13" i="1"/>
  <c r="M24" i="15"/>
  <c r="M26" i="67"/>
  <c r="F42" i="67"/>
  <c r="E13" i="76"/>
  <c r="E2" i="68"/>
  <c r="M6" i="67"/>
  <c r="E12" i="76"/>
  <c r="M26" i="15"/>
  <c r="B10" i="76"/>
  <c r="B9" i="76"/>
  <c r="F8" i="67"/>
  <c r="B11" i="76"/>
  <c r="F26" i="67"/>
  <c r="F43" i="67"/>
  <c r="E8" i="76"/>
  <c r="B8" i="76"/>
  <c r="F3" i="73"/>
  <c r="F16" i="67"/>
  <c r="E10" i="76"/>
  <c r="E2" i="69"/>
  <c r="F6" i="73"/>
  <c r="M8" i="67"/>
  <c r="E7" i="76"/>
  <c r="B13" i="76"/>
  <c r="F13" i="67"/>
  <c r="L47" i="67"/>
  <c r="F38" i="67"/>
  <c r="J15" i="67"/>
  <c r="M23" i="67"/>
  <c r="F4" i="73"/>
  <c r="M29" i="67"/>
  <c r="F7" i="67"/>
  <c r="F20" i="31"/>
  <c r="F5" i="73"/>
  <c r="F37" i="67"/>
  <c r="M24" i="67"/>
  <c r="E11" i="76"/>
  <c r="L47" i="15"/>
  <c r="J15" i="15"/>
  <c r="F7" i="73"/>
  <c r="S38" i="33" l="1"/>
  <c r="J38" i="33"/>
  <c r="AC38" i="33" s="1"/>
  <c r="H38" i="33"/>
  <c r="AB38" i="33" s="1"/>
  <c r="J1" i="73"/>
  <c r="J34" i="33"/>
  <c r="W34" i="33" s="1"/>
  <c r="W38" i="33"/>
  <c r="S37" i="33"/>
  <c r="AA46" i="33"/>
  <c r="S46" i="33"/>
  <c r="J46" i="33"/>
  <c r="AC45" i="33"/>
  <c r="AA44" i="33"/>
  <c r="S43" i="33"/>
  <c r="S42" i="33"/>
  <c r="U42" i="33"/>
  <c r="AC41" i="33"/>
  <c r="U37" i="33"/>
  <c r="AC37" i="33"/>
  <c r="W35" i="33"/>
  <c r="AA35" i="33"/>
  <c r="U35" i="33"/>
  <c r="S32" i="33"/>
  <c r="U32" i="33"/>
  <c r="AB41" i="33"/>
  <c r="U39" i="33"/>
  <c r="AA40" i="33"/>
  <c r="W42" i="33"/>
  <c r="AC34" i="33"/>
  <c r="U33" i="33"/>
  <c r="F29" i="33"/>
  <c r="S29" i="33" s="1"/>
  <c r="S28" i="33"/>
  <c r="AC30" i="33"/>
  <c r="AC28" i="33"/>
  <c r="U30" i="33"/>
  <c r="AA30" i="33"/>
  <c r="AB28" i="33"/>
  <c r="S27" i="33"/>
  <c r="AA25" i="33"/>
  <c r="F79" i="33"/>
  <c r="G79" i="33" s="1"/>
  <c r="H17" i="33"/>
  <c r="U17" i="33" s="1"/>
  <c r="H15" i="33"/>
  <c r="J15" i="33"/>
  <c r="AC15" i="33" s="1"/>
  <c r="AA21" i="33"/>
  <c r="AC17" i="33"/>
  <c r="AA17" i="33"/>
  <c r="S15" i="33"/>
  <c r="AB25" i="33"/>
  <c r="S11" i="33"/>
  <c r="W8" i="33"/>
  <c r="W9" i="33"/>
  <c r="AA13" i="33"/>
  <c r="AC11" i="33"/>
  <c r="W25" i="33"/>
  <c r="AC32" i="33"/>
  <c r="W43" i="33"/>
  <c r="AC21" i="33"/>
  <c r="W33" i="33"/>
  <c r="U26" i="33"/>
  <c r="AB27" i="33"/>
  <c r="AB34" i="33"/>
  <c r="U46" i="33"/>
  <c r="U19" i="33"/>
  <c r="AB45" i="33"/>
  <c r="S41" i="33"/>
  <c r="AA19" i="33"/>
  <c r="S36" i="33"/>
  <c r="AA34" i="33"/>
  <c r="AA14" i="33"/>
  <c r="C18" i="9"/>
  <c r="D18" i="9" s="1"/>
  <c r="D51" i="43"/>
  <c r="D52" i="43"/>
  <c r="D56" i="43"/>
  <c r="D50" i="43"/>
  <c r="F54" i="9"/>
  <c r="F52" i="9"/>
  <c r="F32" i="15"/>
  <c r="F60" i="15" s="1"/>
  <c r="D68" i="9"/>
  <c r="F30" i="69"/>
  <c r="F48" i="69" s="1"/>
  <c r="F31" i="12"/>
  <c r="M18" i="15"/>
  <c r="M18" i="67"/>
  <c r="F30" i="11"/>
  <c r="C48" i="11" s="1"/>
  <c r="F28" i="15"/>
  <c r="F32" i="67"/>
  <c r="F60" i="67" s="1"/>
  <c r="F28" i="67"/>
  <c r="C28" i="67" s="1"/>
  <c r="C21" i="68"/>
  <c r="G22" i="69"/>
  <c r="G22" i="11"/>
  <c r="E1" i="73"/>
  <c r="G26" i="12"/>
  <c r="BB5" i="3"/>
  <c r="B62" i="43"/>
  <c r="C29" i="39"/>
  <c r="B51" i="43"/>
  <c r="B68" i="43"/>
  <c r="W27" i="33"/>
  <c r="W23" i="37"/>
  <c r="AB9" i="21"/>
  <c r="AB36" i="33"/>
  <c r="AB45" i="21"/>
  <c r="AB23" i="33"/>
  <c r="AC17" i="21"/>
  <c r="AB12" i="39"/>
  <c r="AA30" i="40"/>
  <c r="S27" i="40"/>
  <c r="U27" i="40"/>
  <c r="F29" i="6"/>
  <c r="AZ391" i="3"/>
  <c r="AZ318" i="3"/>
  <c r="AZ364" i="3"/>
  <c r="AZ329" i="3"/>
  <c r="AZ304" i="3"/>
  <c r="AZ306" i="3"/>
  <c r="AZ529" i="3"/>
  <c r="AZ537" i="3"/>
  <c r="S14" i="34"/>
  <c r="AA14" i="34"/>
  <c r="AA25" i="21"/>
  <c r="W44" i="33"/>
  <c r="AZ519" i="3"/>
  <c r="AZ557" i="3"/>
  <c r="AZ513" i="3"/>
  <c r="AZ575" i="3"/>
  <c r="AZ552" i="3"/>
  <c r="AB46" i="34"/>
  <c r="J27" i="21"/>
  <c r="F27" i="21"/>
  <c r="AZ14" i="3"/>
  <c r="AZ345" i="3"/>
  <c r="AZ372" i="3"/>
  <c r="AZ347" i="3"/>
  <c r="AZ337" i="3"/>
  <c r="AZ376" i="3"/>
  <c r="AZ309" i="3"/>
  <c r="AA11" i="39"/>
  <c r="AZ540" i="3"/>
  <c r="AZ502" i="3"/>
  <c r="S14" i="37"/>
  <c r="BL585" i="3"/>
  <c r="AZ585" i="3" s="1"/>
  <c r="B72" i="43"/>
  <c r="C15" i="39"/>
  <c r="AZ511" i="3"/>
  <c r="AZ571" i="3"/>
  <c r="AZ579" i="3"/>
  <c r="AZ510" i="3"/>
  <c r="AZ546" i="3"/>
  <c r="W31" i="34"/>
  <c r="AC11" i="35"/>
  <c r="AB36" i="39"/>
  <c r="U36" i="39"/>
  <c r="S26" i="33"/>
  <c r="AA26" i="33"/>
  <c r="BL398" i="3"/>
  <c r="BL406" i="3"/>
  <c r="BL407" i="3"/>
  <c r="G421" i="3"/>
  <c r="AZ443" i="3"/>
  <c r="BA444" i="3"/>
  <c r="AZ444" i="3" s="1"/>
  <c r="BA458" i="3"/>
  <c r="AZ458" i="3" s="1"/>
  <c r="BA462" i="3"/>
  <c r="AZ462" i="3" s="1"/>
  <c r="BA470" i="3"/>
  <c r="H9" i="34"/>
  <c r="F12" i="34"/>
  <c r="S12" i="34" s="1"/>
  <c r="G551" i="3"/>
  <c r="BL550" i="3"/>
  <c r="G542" i="3"/>
  <c r="AZ398" i="3"/>
  <c r="AZ406" i="3"/>
  <c r="AC12" i="34"/>
  <c r="U34" i="40"/>
  <c r="J33" i="36"/>
  <c r="AC33" i="36" s="1"/>
  <c r="G585" i="3"/>
  <c r="BL587" i="3"/>
  <c r="AZ587" i="3" s="1"/>
  <c r="BL586" i="3"/>
  <c r="AZ586" i="3" s="1"/>
  <c r="J9" i="34"/>
  <c r="H12" i="34"/>
  <c r="BL16" i="3"/>
  <c r="AZ16" i="3" s="1"/>
  <c r="AZ402" i="3"/>
  <c r="BL404" i="3"/>
  <c r="BL405" i="3"/>
  <c r="AZ407" i="3"/>
  <c r="BA431" i="3"/>
  <c r="BA437" i="3"/>
  <c r="AZ437" i="3" s="1"/>
  <c r="AZ451" i="3"/>
  <c r="G459" i="3"/>
  <c r="AZ461" i="3"/>
  <c r="G463" i="3"/>
  <c r="AZ531" i="3"/>
  <c r="AZ573" i="3"/>
  <c r="AZ583" i="3"/>
  <c r="AZ568" i="3"/>
  <c r="AZ576" i="3"/>
  <c r="AB8" i="39"/>
  <c r="AA9" i="40"/>
  <c r="U31" i="36"/>
  <c r="F39" i="37"/>
  <c r="S39" i="37" s="1"/>
  <c r="J44" i="39"/>
  <c r="G587" i="3"/>
  <c r="J12" i="35"/>
  <c r="F25" i="37"/>
  <c r="BA551" i="3"/>
  <c r="AZ551" i="3" s="1"/>
  <c r="BA550" i="3"/>
  <c r="AZ550" i="3" s="1"/>
  <c r="BL548" i="3"/>
  <c r="AZ548" i="3" s="1"/>
  <c r="BL401" i="3"/>
  <c r="BA473" i="3"/>
  <c r="AZ483" i="3"/>
  <c r="AZ270" i="3"/>
  <c r="BA401" i="3"/>
  <c r="AZ401" i="3" s="1"/>
  <c r="BA403" i="3"/>
  <c r="AZ403" i="3" s="1"/>
  <c r="BA404" i="3"/>
  <c r="BA405" i="3"/>
  <c r="AZ405" i="3" s="1"/>
  <c r="G409" i="3"/>
  <c r="BL410" i="3"/>
  <c r="G412" i="3"/>
  <c r="G419" i="3"/>
  <c r="BA422" i="3"/>
  <c r="G430" i="3"/>
  <c r="BL431" i="3"/>
  <c r="BL434" i="3"/>
  <c r="G437" i="3"/>
  <c r="BL438" i="3"/>
  <c r="BL439" i="3"/>
  <c r="BA441" i="3"/>
  <c r="AZ441" i="3" s="1"/>
  <c r="BL445" i="3"/>
  <c r="BL446" i="3"/>
  <c r="BL449" i="3"/>
  <c r="BL450" i="3"/>
  <c r="BL452" i="3"/>
  <c r="G455" i="3"/>
  <c r="BL456" i="3"/>
  <c r="BA464" i="3"/>
  <c r="AZ464" i="3" s="1"/>
  <c r="BL467" i="3"/>
  <c r="BL468" i="3"/>
  <c r="BL470" i="3"/>
  <c r="BL473" i="3"/>
  <c r="BL474"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397" i="3"/>
  <c r="BL397" i="3"/>
  <c r="BA209" i="3"/>
  <c r="BA217" i="3"/>
  <c r="AZ217" i="3" s="1"/>
  <c r="BL219" i="3"/>
  <c r="G220" i="3"/>
  <c r="BL220" i="3"/>
  <c r="BA225" i="3"/>
  <c r="BA228" i="3"/>
  <c r="BL230" i="3"/>
  <c r="G231" i="3"/>
  <c r="BL231" i="3"/>
  <c r="G233" i="3"/>
  <c r="BL233" i="3"/>
  <c r="AZ233" i="3" s="1"/>
  <c r="BA239" i="3"/>
  <c r="BL239" i="3"/>
  <c r="BA250" i="3"/>
  <c r="AZ250" i="3" s="1"/>
  <c r="BL267" i="3"/>
  <c r="G268" i="3"/>
  <c r="AZ301" i="3"/>
  <c r="BL400" i="3"/>
  <c r="AZ400" i="3" s="1"/>
  <c r="BL408" i="3"/>
  <c r="AZ408" i="3" s="1"/>
  <c r="BL411" i="3"/>
  <c r="BL413" i="3"/>
  <c r="AZ413" i="3" s="1"/>
  <c r="G415" i="3"/>
  <c r="G416" i="3"/>
  <c r="BL417" i="3"/>
  <c r="BL418" i="3"/>
  <c r="AZ418" i="3" s="1"/>
  <c r="BL420" i="3"/>
  <c r="G422" i="3"/>
  <c r="G423" i="3"/>
  <c r="BL424" i="3"/>
  <c r="G426" i="3"/>
  <c r="G427" i="3"/>
  <c r="BL428" i="3"/>
  <c r="BL429" i="3"/>
  <c r="BL432" i="3"/>
  <c r="BL435" i="3"/>
  <c r="AZ435" i="3" s="1"/>
  <c r="BL436" i="3"/>
  <c r="BA439" i="3"/>
  <c r="BA440" i="3"/>
  <c r="AZ440" i="3" s="1"/>
  <c r="BA442" i="3"/>
  <c r="BA445" i="3"/>
  <c r="BA447" i="3"/>
  <c r="AZ447" i="3" s="1"/>
  <c r="BA449" i="3"/>
  <c r="BL453" i="3"/>
  <c r="BL454" i="3"/>
  <c r="AZ454" i="3" s="1"/>
  <c r="G458" i="3"/>
  <c r="BL459" i="3"/>
  <c r="AZ459" i="3" s="1"/>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6" i="3"/>
  <c r="BL211" i="3"/>
  <c r="BL242" i="3"/>
  <c r="BA411" i="3"/>
  <c r="AZ411" i="3" s="1"/>
  <c r="BL414" i="3"/>
  <c r="AZ414" i="3" s="1"/>
  <c r="BL415" i="3"/>
  <c r="AZ415" i="3" s="1"/>
  <c r="BA417" i="3"/>
  <c r="AZ417" i="3" s="1"/>
  <c r="BL421" i="3"/>
  <c r="AZ421" i="3" s="1"/>
  <c r="BL422" i="3"/>
  <c r="BL425" i="3"/>
  <c r="AZ425" i="3" s="1"/>
  <c r="BL426" i="3"/>
  <c r="BA428" i="3"/>
  <c r="AZ428" i="3" s="1"/>
  <c r="BA429" i="3"/>
  <c r="AZ429" i="3" s="1"/>
  <c r="BA430" i="3"/>
  <c r="AZ430" i="3" s="1"/>
  <c r="BA432" i="3"/>
  <c r="AZ432" i="3" s="1"/>
  <c r="BA434" i="3"/>
  <c r="BA436" i="3"/>
  <c r="BA438" i="3"/>
  <c r="G442" i="3"/>
  <c r="BA446" i="3"/>
  <c r="BA450" i="3"/>
  <c r="BA453" i="3"/>
  <c r="AZ453" i="3" s="1"/>
  <c r="BA455" i="3"/>
  <c r="AZ455" i="3" s="1"/>
  <c r="BL457" i="3"/>
  <c r="AZ457" i="3" s="1"/>
  <c r="BL460" i="3"/>
  <c r="AZ460" i="3" s="1"/>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L208" i="3"/>
  <c r="G210" i="3"/>
  <c r="BL212" i="3"/>
  <c r="G214" i="3"/>
  <c r="BL214" i="3"/>
  <c r="AZ214" i="3" s="1"/>
  <c r="G218" i="3"/>
  <c r="BL224" i="3"/>
  <c r="BL225" i="3"/>
  <c r="BL226" i="3"/>
  <c r="G229" i="3"/>
  <c r="G241" i="3"/>
  <c r="BA248" i="3"/>
  <c r="G266" i="3"/>
  <c r="G270" i="3"/>
  <c r="BL217" i="3"/>
  <c r="BA219" i="3"/>
  <c r="BA221" i="3"/>
  <c r="BA223" i="3"/>
  <c r="AZ223" i="3" s="1"/>
  <c r="BL228" i="3"/>
  <c r="BA230" i="3"/>
  <c r="BL232" i="3"/>
  <c r="BL234" i="3"/>
  <c r="BA236" i="3"/>
  <c r="BA238" i="3"/>
  <c r="AZ238" i="3" s="1"/>
  <c r="BA243" i="3"/>
  <c r="AZ243" i="3" s="1"/>
  <c r="BL248" i="3"/>
  <c r="G250" i="3"/>
  <c r="BL250" i="3"/>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4" i="3"/>
  <c r="BL161" i="3"/>
  <c r="G162" i="3"/>
  <c r="BL162" i="3"/>
  <c r="AZ162" i="3" s="1"/>
  <c r="BL165" i="3"/>
  <c r="G166" i="3"/>
  <c r="BL23" i="3"/>
  <c r="G31" i="3"/>
  <c r="BL35" i="3"/>
  <c r="BL52" i="3"/>
  <c r="BA70" i="3"/>
  <c r="AZ70"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BL292" i="3"/>
  <c r="BA294" i="3"/>
  <c r="AZ294" i="3" s="1"/>
  <c r="BL295" i="3"/>
  <c r="BA298" i="3"/>
  <c r="AZ298" i="3" s="1"/>
  <c r="BL301" i="3"/>
  <c r="BL302" i="3"/>
  <c r="BA114" i="3"/>
  <c r="BL123" i="3"/>
  <c r="AZ123" i="3" s="1"/>
  <c r="BA128" i="3"/>
  <c r="AZ128" i="3" s="1"/>
  <c r="G136" i="3"/>
  <c r="BA137" i="3"/>
  <c r="AZ137" i="3" s="1"/>
  <c r="BL138" i="3"/>
  <c r="BA140" i="3"/>
  <c r="AZ140" i="3" s="1"/>
  <c r="BA142" i="3"/>
  <c r="BL149" i="3"/>
  <c r="AZ149" i="3" s="1"/>
  <c r="BL150" i="3"/>
  <c r="AZ150" i="3" s="1"/>
  <c r="G151" i="3"/>
  <c r="BA152" i="3"/>
  <c r="AZ152" i="3" s="1"/>
  <c r="BA154" i="3"/>
  <c r="AZ154" i="3" s="1"/>
  <c r="BA160" i="3"/>
  <c r="AZ160" i="3" s="1"/>
  <c r="BL167" i="3"/>
  <c r="AZ167" i="3" s="1"/>
  <c r="G172" i="3"/>
  <c r="BL34" i="3"/>
  <c r="AZ38" i="3"/>
  <c r="G42" i="3"/>
  <c r="BA62" i="3"/>
  <c r="AZ62" i="3" s="1"/>
  <c r="BL76" i="3"/>
  <c r="BL82" i="3"/>
  <c r="AZ82" i="3" s="1"/>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34" i="3"/>
  <c r="BL139" i="3"/>
  <c r="AZ139" i="3" s="1"/>
  <c r="G140" i="3"/>
  <c r="BL141" i="3"/>
  <c r="BL143" i="3"/>
  <c r="AZ143" i="3" s="1"/>
  <c r="G146" i="3"/>
  <c r="G147" i="3"/>
  <c r="G154" i="3"/>
  <c r="G156" i="3"/>
  <c r="BL157" i="3"/>
  <c r="AZ157" i="3" s="1"/>
  <c r="BL159" i="3"/>
  <c r="AZ159" i="3" s="1"/>
  <c r="G160" i="3"/>
  <c r="BL169" i="3"/>
  <c r="BL170" i="3"/>
  <c r="G171" i="3"/>
  <c r="BL177" i="3"/>
  <c r="AZ177" i="3" s="1"/>
  <c r="G179" i="3"/>
  <c r="BA189" i="3"/>
  <c r="BL195" i="3"/>
  <c r="AZ195" i="3" s="1"/>
  <c r="G41" i="3"/>
  <c r="BA47" i="3"/>
  <c r="AZ47" i="3" s="1"/>
  <c r="AZ52" i="3"/>
  <c r="BA67" i="3"/>
  <c r="AZ67" i="3" s="1"/>
  <c r="AZ284" i="3"/>
  <c r="AZ302" i="3"/>
  <c r="AZ125" i="3"/>
  <c r="AZ103" i="3"/>
  <c r="AA21" i="37"/>
  <c r="S21" i="37"/>
  <c r="P65" i="71"/>
  <c r="P66"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BA41" i="3"/>
  <c r="BA42" i="3"/>
  <c r="G47" i="3"/>
  <c r="BL48" i="3"/>
  <c r="BL54" i="3"/>
  <c r="BL55" i="3"/>
  <c r="AZ55" i="3" s="1"/>
  <c r="G58" i="3"/>
  <c r="BA59" i="3"/>
  <c r="BL61" i="3"/>
  <c r="G64" i="3"/>
  <c r="BA64" i="3"/>
  <c r="AZ64" i="3" s="1"/>
  <c r="G67" i="3"/>
  <c r="BL68" i="3"/>
  <c r="BA69" i="3"/>
  <c r="AZ69" i="3" s="1"/>
  <c r="G72" i="3"/>
  <c r="BL73" i="3"/>
  <c r="BA74" i="3"/>
  <c r="AZ74" i="3" s="1"/>
  <c r="BA75" i="3"/>
  <c r="AZ75" i="3" s="1"/>
  <c r="G81" i="3"/>
  <c r="BL91" i="3"/>
  <c r="BL100" i="3"/>
  <c r="AZ100" i="3" s="1"/>
  <c r="BL105" i="3"/>
  <c r="BL107" i="3"/>
  <c r="V24" i="71"/>
  <c r="E23" i="71"/>
  <c r="E22" i="71" s="1"/>
  <c r="E21" i="71" s="1"/>
  <c r="E20" i="71" s="1"/>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G30" i="3"/>
  <c r="BL30" i="3"/>
  <c r="BL31" i="3"/>
  <c r="G35" i="3"/>
  <c r="G36" i="3"/>
  <c r="G37" i="3"/>
  <c r="G40" i="3"/>
  <c r="BL40" i="3"/>
  <c r="BL41" i="3"/>
  <c r="G45" i="3"/>
  <c r="BL45" i="3"/>
  <c r="BA48" i="3"/>
  <c r="BA49" i="3"/>
  <c r="BA51" i="3"/>
  <c r="G54" i="3"/>
  <c r="G55" i="3"/>
  <c r="BL56" i="3"/>
  <c r="BA58" i="3"/>
  <c r="BL59" i="3"/>
  <c r="BL60" i="3"/>
  <c r="BA61" i="3"/>
  <c r="AZ61" i="3" s="1"/>
  <c r="BA68" i="3"/>
  <c r="BA73" i="3"/>
  <c r="BA80" i="3"/>
  <c r="G84" i="3"/>
  <c r="BL84" i="3"/>
  <c r="BA89" i="3"/>
  <c r="BL92" i="3"/>
  <c r="BL94" i="3"/>
  <c r="AZ94" i="3" s="1"/>
  <c r="BL99" i="3"/>
  <c r="G101" i="3"/>
  <c r="BA101" i="3"/>
  <c r="AZ101" i="3" s="1"/>
  <c r="BA102" i="3"/>
  <c r="BL110" i="3"/>
  <c r="BL111" i="3"/>
  <c r="AZ111" i="3" s="1"/>
  <c r="AC21" i="37"/>
  <c r="C47" i="71"/>
  <c r="D47" i="71" s="1"/>
  <c r="D46" i="71"/>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G53" i="3"/>
  <c r="BL53" i="3"/>
  <c r="AZ53" i="3" s="1"/>
  <c r="BA56" i="3"/>
  <c r="BA57" i="3"/>
  <c r="AZ57" i="3" s="1"/>
  <c r="BL58" i="3"/>
  <c r="BA60" i="3"/>
  <c r="BA63" i="3"/>
  <c r="AZ63" i="3" s="1"/>
  <c r="BA66" i="3"/>
  <c r="AZ66" i="3" s="1"/>
  <c r="BA71" i="3"/>
  <c r="AZ71" i="3" s="1"/>
  <c r="G76" i="3"/>
  <c r="BL77" i="3"/>
  <c r="AZ77" i="3" s="1"/>
  <c r="BA79" i="3"/>
  <c r="AZ79" i="3" s="1"/>
  <c r="G82" i="3"/>
  <c r="G83" i="3"/>
  <c r="BA84" i="3"/>
  <c r="AZ84" i="3" s="1"/>
  <c r="BL88" i="3"/>
  <c r="AZ88" i="3" s="1"/>
  <c r="G90" i="3"/>
  <c r="BL90" i="3"/>
  <c r="G98" i="3"/>
  <c r="G99" i="3"/>
  <c r="BA105" i="3"/>
  <c r="AZ105" i="3" s="1"/>
  <c r="BA106" i="3"/>
  <c r="BL108" i="3"/>
  <c r="G110" i="3"/>
  <c r="BL112" i="3"/>
  <c r="D31" i="71"/>
  <c r="C32" i="71"/>
  <c r="C52" i="71"/>
  <c r="D51" i="71"/>
  <c r="C55" i="71"/>
  <c r="D54" i="71"/>
  <c r="N67" i="71"/>
  <c r="B66" i="71"/>
  <c r="F66" i="71"/>
  <c r="Q67" i="71"/>
  <c r="G85" i="3"/>
  <c r="BL85" i="3"/>
  <c r="BA86" i="3"/>
  <c r="AZ86" i="3" s="1"/>
  <c r="BA87" i="3"/>
  <c r="BA91" i="3"/>
  <c r="AZ91" i="3" s="1"/>
  <c r="G96" i="3"/>
  <c r="BL97" i="3"/>
  <c r="AZ97" i="3" s="1"/>
  <c r="BL101" i="3"/>
  <c r="BL102" i="3"/>
  <c r="G104" i="3"/>
  <c r="G105" i="3"/>
  <c r="BL106" i="3"/>
  <c r="BA108" i="3"/>
  <c r="BA110" i="3"/>
  <c r="AZ110" i="3" s="1"/>
  <c r="F3" i="35"/>
  <c r="W29" i="39"/>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S21" i="34"/>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F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M7" i="15"/>
  <c r="F50" i="15"/>
  <c r="F66" i="67"/>
  <c r="L59" i="15"/>
  <c r="N59" i="15"/>
  <c r="M59" i="15"/>
  <c r="Q71" i="67"/>
  <c r="C27" i="67"/>
  <c r="F71" i="67"/>
  <c r="N59" i="67"/>
  <c r="L59" i="67"/>
  <c r="L58" i="67"/>
  <c r="M59" i="67"/>
  <c r="B13" i="70"/>
  <c r="M7" i="67"/>
  <c r="J6" i="67" s="1"/>
  <c r="F50" i="67"/>
  <c r="F68" i="67"/>
  <c r="F64" i="67"/>
  <c r="F68" i="15"/>
  <c r="C36" i="68"/>
  <c r="D9" i="69"/>
  <c r="F27" i="69"/>
  <c r="C36" i="69"/>
  <c r="D9" i="68"/>
  <c r="D6" i="73"/>
  <c r="C76" i="15"/>
  <c r="F8" i="15"/>
  <c r="F37" i="15"/>
  <c r="F43" i="15"/>
  <c r="D3" i="73"/>
  <c r="F26" i="15"/>
  <c r="L48" i="15"/>
  <c r="M28" i="15"/>
  <c r="M6" i="15"/>
  <c r="M8" i="15"/>
  <c r="D7" i="73"/>
  <c r="F16" i="15"/>
  <c r="D5" i="73"/>
  <c r="F6" i="15"/>
  <c r="F13" i="15"/>
  <c r="F36" i="15"/>
  <c r="M23" i="15"/>
  <c r="C16" i="67"/>
  <c r="D4" i="73"/>
  <c r="F38" i="15"/>
  <c r="F9" i="15"/>
  <c r="M9" i="15"/>
  <c r="F42" i="15"/>
  <c r="U38" i="33" l="1"/>
  <c r="AC46" i="33"/>
  <c r="W46" i="33"/>
  <c r="AA29" i="33"/>
  <c r="W15" i="33"/>
  <c r="AB15" i="33"/>
  <c r="U15" i="33"/>
  <c r="P6" i="1"/>
  <c r="C13" i="12" s="1"/>
  <c r="N94" i="46"/>
  <c r="J26" i="43"/>
  <c r="N370" i="46"/>
  <c r="E28" i="6"/>
  <c r="K14" i="1" s="1"/>
  <c r="K16" i="1" s="1"/>
  <c r="G26" i="43"/>
  <c r="D26" i="43" s="1"/>
  <c r="C25" i="43" s="1"/>
  <c r="E26" i="43"/>
  <c r="E59" i="40"/>
  <c r="F64" i="15"/>
  <c r="F51" i="15"/>
  <c r="F59" i="15" s="1"/>
  <c r="C27" i="15"/>
  <c r="Q71" i="15"/>
  <c r="J53" i="15"/>
  <c r="L56" i="15" s="1"/>
  <c r="L58" i="15"/>
  <c r="Q60" i="15" s="1"/>
  <c r="J57" i="15"/>
  <c r="J55" i="15" s="1"/>
  <c r="J58" i="15" s="1"/>
  <c r="Q50" i="15" s="1"/>
  <c r="I54" i="15"/>
  <c r="F66" i="15"/>
  <c r="F71" i="15"/>
  <c r="F65" i="15"/>
  <c r="F31" i="15"/>
  <c r="C6" i="15"/>
  <c r="D83" i="71"/>
  <c r="C82" i="71"/>
  <c r="D82" i="71" s="1"/>
  <c r="O65" i="71"/>
  <c r="D66" i="71"/>
  <c r="O66" i="71"/>
  <c r="C56" i="71"/>
  <c r="D55" i="71"/>
  <c r="AZ102" i="3"/>
  <c r="AZ49" i="3"/>
  <c r="AZ27" i="3"/>
  <c r="AZ121" i="3"/>
  <c r="AZ274" i="3"/>
  <c r="AZ228" i="3"/>
  <c r="AZ397" i="3"/>
  <c r="AZ422" i="3"/>
  <c r="W12" i="35"/>
  <c r="AC12" i="35"/>
  <c r="AC9" i="34"/>
  <c r="W9" i="34"/>
  <c r="G5" i="3"/>
  <c r="B3" i="3" s="1"/>
  <c r="C40" i="71"/>
  <c r="D39" i="71"/>
  <c r="C44" i="71"/>
  <c r="D43" i="71"/>
  <c r="C86" i="71"/>
  <c r="D86" i="71" s="1"/>
  <c r="D87" i="71"/>
  <c r="N65" i="71"/>
  <c r="N66" i="71"/>
  <c r="AA27" i="21"/>
  <c r="S27" i="21"/>
  <c r="J6" i="15"/>
  <c r="J18" i="15" s="1"/>
  <c r="C70" i="71"/>
  <c r="D70" i="71" s="1"/>
  <c r="D71" i="71"/>
  <c r="C36" i="71"/>
  <c r="D35" i="71"/>
  <c r="AZ108" i="3"/>
  <c r="T52" i="71"/>
  <c r="D52" i="71"/>
  <c r="AZ41" i="3"/>
  <c r="AZ31" i="3"/>
  <c r="AZ118" i="3"/>
  <c r="AZ271" i="3"/>
  <c r="AZ230" i="3"/>
  <c r="AZ219" i="3"/>
  <c r="AZ248" i="3"/>
  <c r="AZ239" i="3"/>
  <c r="AZ404" i="3"/>
  <c r="AC44" i="39"/>
  <c r="W44" i="39"/>
  <c r="W27" i="21"/>
  <c r="AC27" i="21"/>
  <c r="T28" i="71"/>
  <c r="D28" i="71"/>
  <c r="U28" i="71" s="1"/>
  <c r="C27" i="71"/>
  <c r="D79" i="71"/>
  <c r="C78" i="71"/>
  <c r="D78" i="71" s="1"/>
  <c r="T32" i="71"/>
  <c r="D32" i="71"/>
  <c r="AZ58" i="3"/>
  <c r="AZ51" i="3"/>
  <c r="AZ59" i="3"/>
  <c r="AZ189" i="3"/>
  <c r="AZ473" i="3"/>
  <c r="AA25" i="37"/>
  <c r="S25" i="37"/>
  <c r="U12" i="34"/>
  <c r="AB12" i="34"/>
  <c r="AB9" i="34"/>
  <c r="U9" i="34"/>
  <c r="G16" i="1"/>
  <c r="F10" i="39" s="1"/>
  <c r="S10" i="39" s="1"/>
  <c r="J7" i="37"/>
  <c r="AC7" i="37" s="1"/>
  <c r="K1" i="73"/>
  <c r="E534" i="3"/>
  <c r="E370" i="3"/>
  <c r="E40" i="3"/>
  <c r="E52" i="3"/>
  <c r="E90" i="3"/>
  <c r="E209" i="3"/>
  <c r="E462" i="3"/>
  <c r="E352" i="3"/>
  <c r="E397" i="3"/>
  <c r="E272" i="3"/>
  <c r="O6" i="3"/>
  <c r="E338" i="3"/>
  <c r="E254" i="3"/>
  <c r="E128" i="3"/>
  <c r="AE6" i="3"/>
  <c r="I6" i="3"/>
  <c r="E444" i="3"/>
  <c r="E125" i="3"/>
  <c r="E358" i="3"/>
  <c r="E395" i="3"/>
  <c r="E293" i="3"/>
  <c r="E519" i="3"/>
  <c r="E433" i="3"/>
  <c r="E567" i="3"/>
  <c r="E414" i="3"/>
  <c r="E186" i="3"/>
  <c r="E343" i="3"/>
  <c r="E270" i="3"/>
  <c r="E216" i="3"/>
  <c r="E91" i="3"/>
  <c r="E347" i="3"/>
  <c r="E133" i="3"/>
  <c r="E468" i="3"/>
  <c r="E214" i="3"/>
  <c r="E89" i="3"/>
  <c r="E485" i="3"/>
  <c r="E489" i="3"/>
  <c r="E377" i="3"/>
  <c r="E268" i="3"/>
  <c r="E431" i="3"/>
  <c r="M6" i="3"/>
  <c r="E189" i="3"/>
  <c r="E445" i="3"/>
  <c r="E423" i="3"/>
  <c r="E100" i="3"/>
  <c r="E296" i="3"/>
  <c r="AA26" i="37"/>
  <c r="S26" i="37"/>
  <c r="BA5" i="3"/>
  <c r="E27" i="6" s="1"/>
  <c r="K26" i="6" s="1"/>
  <c r="M26" i="6" s="1"/>
  <c r="I26" i="6" s="1"/>
  <c r="S26" i="6" s="1"/>
  <c r="C19" i="71"/>
  <c r="T20" i="71"/>
  <c r="D20" i="71"/>
  <c r="U20" i="71" s="1"/>
  <c r="AZ5" i="3"/>
  <c r="AY6" i="3" s="1"/>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142" i="3"/>
  <c r="E11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59" i="67"/>
  <c r="H7" i="37"/>
  <c r="AB7" i="37" s="1"/>
  <c r="T42" i="37" s="1"/>
  <c r="G42" i="37" s="1"/>
  <c r="H7" i="33"/>
  <c r="J7" i="33"/>
  <c r="D65" i="40"/>
  <c r="E63" i="40"/>
  <c r="F48" i="35"/>
  <c r="S7" i="36"/>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J18" i="67"/>
  <c r="C32" i="15"/>
  <c r="F1" i="67"/>
  <c r="Q52" i="67"/>
  <c r="Q61" i="67"/>
  <c r="Q74" i="67"/>
  <c r="Q74" i="15"/>
  <c r="Q61" i="15"/>
  <c r="AE11" i="1"/>
  <c r="AE9" i="1"/>
  <c r="F27" i="68"/>
  <c r="AE7" i="1"/>
  <c r="AE8" i="1"/>
  <c r="AE12" i="1"/>
  <c r="AE10" i="1"/>
  <c r="G1" i="73"/>
  <c r="C16" i="15"/>
  <c r="AE6" i="1"/>
  <c r="F41" i="67"/>
  <c r="F10" i="40" l="1"/>
  <c r="S10" i="40" s="1"/>
  <c r="C49" i="15"/>
  <c r="E510" i="3"/>
  <c r="E292" i="3"/>
  <c r="E355" i="3"/>
  <c r="E198" i="3"/>
  <c r="E18" i="3"/>
  <c r="E34" i="3"/>
  <c r="E22" i="3"/>
  <c r="E405" i="3"/>
  <c r="E556" i="3"/>
  <c r="E420" i="3"/>
  <c r="E243" i="3"/>
  <c r="E190" i="3"/>
  <c r="E49" i="3"/>
  <c r="E83" i="3"/>
  <c r="E116" i="3"/>
  <c r="E543" i="3"/>
  <c r="E490" i="3"/>
  <c r="E419" i="3"/>
  <c r="E108" i="3"/>
  <c r="E333" i="3"/>
  <c r="E540" i="3"/>
  <c r="E38" i="3"/>
  <c r="E339" i="3"/>
  <c r="E36"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6" i="3"/>
  <c r="E81" i="3"/>
  <c r="E332" i="3"/>
  <c r="E255" i="3"/>
  <c r="E21" i="3"/>
  <c r="E235" i="3"/>
  <c r="E287" i="3"/>
  <c r="E469" i="3"/>
  <c r="E452" i="3"/>
  <c r="E115" i="3"/>
  <c r="E220" i="3"/>
  <c r="E80" i="3"/>
  <c r="E223" i="3"/>
  <c r="E486" i="3"/>
  <c r="AH6" i="3"/>
  <c r="E25" i="3"/>
  <c r="E372" i="3"/>
  <c r="E455" i="3"/>
  <c r="E234" i="3"/>
  <c r="E112" i="3"/>
  <c r="E50" i="3"/>
  <c r="E265" i="3"/>
  <c r="E552" i="3"/>
  <c r="E155" i="3"/>
  <c r="E386" i="3"/>
  <c r="E312" i="3"/>
  <c r="E57" i="3"/>
  <c r="E354" i="3"/>
  <c r="E464" i="3"/>
  <c r="E47" i="3"/>
  <c r="E542" i="3"/>
  <c r="E66" i="3"/>
  <c r="E488" i="3"/>
  <c r="E413" i="3"/>
  <c r="E82" i="3"/>
  <c r="E306" i="3"/>
  <c r="E529" i="3"/>
  <c r="E471" i="3"/>
  <c r="E257" i="3"/>
  <c r="E196" i="3"/>
  <c r="E548" i="3"/>
  <c r="E546" i="3"/>
  <c r="E291" i="3"/>
  <c r="E501" i="3"/>
  <c r="E574" i="3"/>
  <c r="S6" i="3"/>
  <c r="E298" i="3"/>
  <c r="E213" i="3"/>
  <c r="E159" i="3"/>
  <c r="AA6" i="3"/>
  <c r="E262" i="3"/>
  <c r="E437" i="3"/>
  <c r="E496" i="3"/>
  <c r="E274" i="3"/>
  <c r="E236" i="3"/>
  <c r="P6" i="3"/>
  <c r="E404" i="3"/>
  <c r="E316" i="3"/>
  <c r="E553" i="3"/>
  <c r="E569" i="3"/>
  <c r="E559" i="3"/>
  <c r="E230" i="3"/>
  <c r="E260" i="3"/>
  <c r="E245" i="3"/>
  <c r="E583" i="3"/>
  <c r="E511" i="3"/>
  <c r="E573" i="3"/>
  <c r="E562" i="3"/>
  <c r="E72" i="3"/>
  <c r="E351" i="3"/>
  <c r="E549" i="3"/>
  <c r="E585" i="3"/>
  <c r="E477" i="3"/>
  <c r="E447" i="3"/>
  <c r="E210" i="3"/>
  <c r="E441" i="3"/>
  <c r="E305" i="3"/>
  <c r="E410" i="3"/>
  <c r="E533" i="3"/>
  <c r="E439" i="3"/>
  <c r="E185" i="3"/>
  <c r="E361" i="3"/>
  <c r="E134" i="3"/>
  <c r="E495" i="3"/>
  <c r="E77" i="3"/>
  <c r="AK6" i="3"/>
  <c r="K6" i="3"/>
  <c r="H6" i="3" s="1"/>
  <c r="E465" i="3"/>
  <c r="E492" i="3"/>
  <c r="AL6" i="3"/>
  <c r="E522" i="3"/>
  <c r="E140" i="3"/>
  <c r="E408" i="3"/>
  <c r="E470" i="3"/>
  <c r="E356" i="3"/>
  <c r="E342" i="3"/>
  <c r="E158" i="3"/>
  <c r="E105" i="3"/>
  <c r="E507" i="3"/>
  <c r="E498" i="3"/>
  <c r="E202" i="3"/>
  <c r="L6" i="3"/>
  <c r="E79" i="3"/>
  <c r="E325" i="3"/>
  <c r="E147" i="3"/>
  <c r="E20" i="3"/>
  <c r="E524" i="3"/>
  <c r="E398" i="3"/>
  <c r="E348" i="3"/>
  <c r="E250" i="3"/>
  <c r="E421" i="3"/>
  <c r="E110" i="3"/>
  <c r="E284" i="3"/>
  <c r="E582" i="3"/>
  <c r="E266" i="3"/>
  <c r="E39" i="3"/>
  <c r="Y6" i="3"/>
  <c r="E195" i="3"/>
  <c r="E504" i="3"/>
  <c r="E122" i="3"/>
  <c r="E157" i="3"/>
  <c r="E438" i="3"/>
  <c r="E475" i="3"/>
  <c r="E357" i="3"/>
  <c r="E145" i="3"/>
  <c r="E432" i="3"/>
  <c r="E71" i="3"/>
  <c r="AM6" i="3"/>
  <c r="E153" i="3"/>
  <c r="E359" i="3"/>
  <c r="E506" i="3"/>
  <c r="E169" i="3"/>
  <c r="E17" i="3"/>
  <c r="E402" i="3"/>
  <c r="E156" i="3"/>
  <c r="E120" i="3"/>
  <c r="E424" i="3"/>
  <c r="E55" i="3"/>
  <c r="E394" i="3"/>
  <c r="E164" i="3"/>
  <c r="E443" i="3"/>
  <c r="E88" i="3"/>
  <c r="E30" i="3"/>
  <c r="E282" i="3"/>
  <c r="E396" i="3"/>
  <c r="V6" i="3"/>
  <c r="E130" i="3"/>
  <c r="E550" i="3"/>
  <c r="E578" i="3"/>
  <c r="E253" i="3"/>
  <c r="E99"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33" i="3"/>
  <c r="E75" i="3"/>
  <c r="E251" i="3"/>
  <c r="E173" i="3"/>
  <c r="E360" i="3"/>
  <c r="E104" i="3"/>
  <c r="E428" i="3"/>
  <c r="E35" i="3"/>
  <c r="E329" i="3"/>
  <c r="E493" i="3"/>
  <c r="E422" i="3"/>
  <c r="E401" i="3"/>
  <c r="E226" i="3"/>
  <c r="E43" i="3"/>
  <c r="E137" i="3"/>
  <c r="E392" i="3"/>
  <c r="E289" i="3"/>
  <c r="E176" i="3"/>
  <c r="E101" i="3"/>
  <c r="E566" i="3"/>
  <c r="E521" i="3"/>
  <c r="E51" i="3"/>
  <c r="E416" i="3"/>
  <c r="E138" i="3"/>
  <c r="E19" i="3"/>
  <c r="E436" i="3"/>
  <c r="E341" i="3"/>
  <c r="E259" i="3"/>
  <c r="E179" i="3"/>
  <c r="E154" i="3"/>
  <c r="E98" i="3"/>
  <c r="E461" i="3"/>
  <c r="E313" i="3"/>
  <c r="E288" i="3"/>
  <c r="E54" i="3"/>
  <c r="E93" i="3"/>
  <c r="E379" i="3"/>
  <c r="E367" i="3"/>
  <c r="E131" i="3"/>
  <c r="E487" i="3"/>
  <c r="E132" i="3"/>
  <c r="X6" i="3"/>
  <c r="E191" i="3"/>
  <c r="E172" i="3"/>
  <c r="E215" i="3"/>
  <c r="E514" i="3"/>
  <c r="E579" i="3"/>
  <c r="E526" i="3"/>
  <c r="E211" i="3"/>
  <c r="E531" i="3"/>
  <c r="AO6" i="3"/>
  <c r="E227" i="3"/>
  <c r="E171" i="3"/>
  <c r="E577" i="3"/>
  <c r="E277" i="3"/>
  <c r="E399" i="3"/>
  <c r="E180" i="3"/>
  <c r="E231" i="3"/>
  <c r="E143" i="3"/>
  <c r="E530" i="3"/>
  <c r="E162" i="3"/>
  <c r="E478" i="3"/>
  <c r="E31" i="3"/>
  <c r="E450" i="3"/>
  <c r="E193" i="3"/>
  <c r="E518" i="3"/>
  <c r="E114" i="3"/>
  <c r="E151" i="3"/>
  <c r="E480" i="3"/>
  <c r="E558" i="3"/>
  <c r="E32" i="3"/>
  <c r="E344" i="3"/>
  <c r="E238" i="3"/>
  <c r="E221" i="3"/>
  <c r="E418" i="3"/>
  <c r="E426" i="3"/>
  <c r="E126" i="3"/>
  <c r="E208" i="3"/>
  <c r="E307" i="3"/>
  <c r="E373" i="3"/>
  <c r="E520" i="3"/>
  <c r="E165" i="3"/>
  <c r="E194" i="3"/>
  <c r="E376" i="3"/>
  <c r="E78" i="3"/>
  <c r="E102" i="3"/>
  <c r="M14" i="1"/>
  <c r="O14" i="1" s="1"/>
  <c r="O16" i="1" s="1"/>
  <c r="E248" i="3"/>
  <c r="E240" i="3"/>
  <c r="E483" i="3"/>
  <c r="E119" i="3"/>
  <c r="E385" i="3"/>
  <c r="E135" i="3"/>
  <c r="E563" i="3"/>
  <c r="E387" i="3"/>
  <c r="E311" i="3"/>
  <c r="E509" i="3"/>
  <c r="E109" i="3"/>
  <c r="E182" i="3"/>
  <c r="E557" i="3"/>
  <c r="E327" i="3"/>
  <c r="E74" i="3"/>
  <c r="E146" i="3"/>
  <c r="E406" i="3"/>
  <c r="E545" i="3"/>
  <c r="E586" i="3"/>
  <c r="E183" i="3"/>
  <c r="E538" i="3"/>
  <c r="E555" i="3"/>
  <c r="E44" i="3"/>
  <c r="E476" i="3"/>
  <c r="E107" i="3"/>
  <c r="E279" i="3"/>
  <c r="E457" i="3"/>
  <c r="E314" i="3"/>
  <c r="E61" i="3"/>
  <c r="E320" i="3"/>
  <c r="E516" i="3"/>
  <c r="E295" i="3"/>
  <c r="AG6" i="3"/>
  <c r="E256" i="3"/>
  <c r="Q6" i="3"/>
  <c r="E353" i="3"/>
  <c r="E565" i="3"/>
  <c r="E390" i="3"/>
  <c r="E53" i="3"/>
  <c r="E403" i="3"/>
  <c r="W6" i="3"/>
  <c r="E167" i="3"/>
  <c r="E375" i="3"/>
  <c r="E222" i="3"/>
  <c r="E218" i="3"/>
  <c r="E473" i="3"/>
  <c r="E564" i="3"/>
  <c r="E41" i="3"/>
  <c r="E129" i="3"/>
  <c r="E242" i="3"/>
  <c r="E200" i="3"/>
  <c r="AI6" i="3"/>
  <c r="E161" i="3"/>
  <c r="E69" i="3"/>
  <c r="AB6" i="3"/>
  <c r="E201" i="3"/>
  <c r="E322" i="3"/>
  <c r="E572" i="3"/>
  <c r="E70" i="3"/>
  <c r="E400" i="3"/>
  <c r="E204" i="3"/>
  <c r="E362" i="3"/>
  <c r="E454" i="3"/>
  <c r="E472" i="3"/>
  <c r="E181" i="3"/>
  <c r="E350" i="3"/>
  <c r="E528" i="3"/>
  <c r="E561" i="3"/>
  <c r="E388" i="3"/>
  <c r="E384" i="3"/>
  <c r="AS6" i="3"/>
  <c r="E271" i="3"/>
  <c r="E150" i="3"/>
  <c r="E527" i="3"/>
  <c r="E453" i="3"/>
  <c r="E290" i="3"/>
  <c r="E407" i="3"/>
  <c r="N6" i="3"/>
  <c r="E166" i="3"/>
  <c r="E576" i="3"/>
  <c r="E73" i="3"/>
  <c r="E330" i="3"/>
  <c r="AN6" i="3"/>
  <c r="E237" i="3"/>
  <c r="E97" i="3"/>
  <c r="E29" i="3"/>
  <c r="U6" i="3"/>
  <c r="E532" i="3"/>
  <c r="E459" i="3"/>
  <c r="E323" i="3"/>
  <c r="E65" i="3"/>
  <c r="E364" i="3"/>
  <c r="E276" i="3"/>
  <c r="E16" i="3"/>
  <c r="E497" i="3"/>
  <c r="E283" i="3"/>
  <c r="Q52" i="15"/>
  <c r="Q73" i="15"/>
  <c r="F1" i="15"/>
  <c r="E512" i="3"/>
  <c r="T6" i="3"/>
  <c r="E197" i="3"/>
  <c r="E308" i="3"/>
  <c r="AF6" i="3"/>
  <c r="E86" i="3"/>
  <c r="E174" i="3"/>
  <c r="E482" i="3"/>
  <c r="E391" i="3"/>
  <c r="E494" i="3"/>
  <c r="E264" i="3"/>
  <c r="E184" i="3"/>
  <c r="E249" i="3"/>
  <c r="E479"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68" i="3"/>
  <c r="E84" i="3"/>
  <c r="E409" i="3"/>
  <c r="E499" i="3"/>
  <c r="E309" i="3"/>
  <c r="E63" i="3"/>
  <c r="E233" i="3"/>
  <c r="E67" i="3"/>
  <c r="E310" i="3"/>
  <c r="E267" i="3"/>
  <c r="E64" i="3"/>
  <c r="E59" i="3"/>
  <c r="E241" i="3"/>
  <c r="E417" i="3"/>
  <c r="E449" i="3"/>
  <c r="E575" i="3"/>
  <c r="E371" i="3"/>
  <c r="E160" i="3"/>
  <c r="E467" i="3"/>
  <c r="E544" i="3"/>
  <c r="E152" i="3"/>
  <c r="E517" i="3"/>
  <c r="E466" i="3"/>
  <c r="E212" i="3"/>
  <c r="E3" i="6"/>
  <c r="E381" i="3"/>
  <c r="E144" i="3"/>
  <c r="E23" i="3"/>
  <c r="E300" i="3"/>
  <c r="E103" i="3"/>
  <c r="E484" i="3"/>
  <c r="E389" i="3"/>
  <c r="E95" i="3"/>
  <c r="E554" i="3"/>
  <c r="E442" i="3"/>
  <c r="E536" i="3"/>
  <c r="J10" i="39"/>
  <c r="W10" i="39" s="1"/>
  <c r="AA10" i="39"/>
  <c r="H10" i="39"/>
  <c r="U10" i="39" s="1"/>
  <c r="H10" i="40"/>
  <c r="AB10" i="40" s="1"/>
  <c r="J10" i="40"/>
  <c r="AC10" i="40" s="1"/>
  <c r="W7" i="37"/>
  <c r="F67" i="39"/>
  <c r="J5" i="15"/>
  <c r="J24" i="15" s="1"/>
  <c r="E349" i="3"/>
  <c r="E258" i="3"/>
  <c r="E37" i="3"/>
  <c r="E491" i="3"/>
  <c r="AP6" i="3"/>
  <c r="E430" i="3"/>
  <c r="E502" i="3"/>
  <c r="E286" i="3"/>
  <c r="E539" i="3"/>
  <c r="C26" i="71"/>
  <c r="D26" i="71" s="1"/>
  <c r="D27" i="71"/>
  <c r="D36" i="71"/>
  <c r="T36" i="71"/>
  <c r="D56" i="71"/>
  <c r="T56" i="71"/>
  <c r="E425" i="3"/>
  <c r="E76" i="3"/>
  <c r="E363" i="3"/>
  <c r="E192" i="3"/>
  <c r="E56" i="3"/>
  <c r="E435" i="3"/>
  <c r="I3" i="6"/>
  <c r="E541" i="3"/>
  <c r="R6" i="3"/>
  <c r="E199" i="3"/>
  <c r="T40" i="71"/>
  <c r="D40" i="71"/>
  <c r="U7" i="36"/>
  <c r="D44" i="71"/>
  <c r="T4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41" i="15"/>
  <c r="M27" i="67"/>
  <c r="M27" i="15"/>
  <c r="AC10" i="39" l="1"/>
  <c r="V2" i="43"/>
  <c r="C6" i="69"/>
  <c r="C7" i="69" s="1"/>
  <c r="C48" i="15"/>
  <c r="C66" i="15" s="1"/>
  <c r="AB10" i="39"/>
  <c r="AC6" i="3"/>
  <c r="E6" i="3" s="1"/>
  <c r="F25" i="12"/>
  <c r="C26" i="12" s="1"/>
  <c r="D25" i="12" s="1"/>
  <c r="D116" i="43"/>
  <c r="U10" i="40"/>
  <c r="W10" i="40"/>
  <c r="F22" i="68"/>
  <c r="C44" i="68" s="1"/>
  <c r="D41" i="68" s="1"/>
  <c r="F22" i="11"/>
  <c r="C23" i="11" s="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E54" i="34" l="1"/>
  <c r="F54" i="34" s="1"/>
  <c r="C26" i="68"/>
  <c r="D22" i="68" s="1"/>
  <c r="H22" i="6"/>
  <c r="H25" i="6"/>
  <c r="C26" i="11"/>
  <c r="D22" i="11" s="1"/>
  <c r="C44" i="11"/>
  <c r="D41" i="11" s="1"/>
  <c r="F41" i="68"/>
  <c r="C25" i="11"/>
  <c r="C24" i="11"/>
  <c r="C44" i="69"/>
  <c r="D41" i="69" s="1"/>
  <c r="C26" i="69"/>
  <c r="D22" i="69" s="1"/>
  <c r="C16" i="71"/>
  <c r="D17" i="7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5" i="69" l="1"/>
  <c r="C23" i="69" s="1"/>
  <c r="B29" i="1"/>
  <c r="E2" i="70"/>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27" i="12" s="1"/>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15"/>
  <c r="M21" i="67"/>
  <c r="C30" i="12" l="1"/>
  <c r="C28"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I42" i="35" l="1"/>
  <c r="J42" i="35" s="1"/>
  <c r="B3" i="6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4"/>
  <c r="D2" i="35"/>
  <c r="L51" i="15"/>
  <c r="D2" i="37"/>
  <c r="D19" i="9"/>
  <c r="D2" i="36"/>
  <c r="C102" i="9" l="1"/>
  <c r="C21" i="9"/>
  <c r="B3" i="33"/>
  <c r="D102" i="9"/>
  <c r="D21" i="9"/>
  <c r="D22" i="9"/>
  <c r="G19"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C20" i="9"/>
  <c r="AO11" i="1"/>
  <c r="D20" i="9"/>
  <c r="AO9" i="1"/>
  <c r="AO6" i="1"/>
  <c r="AO8" i="1"/>
  <c r="AO10" i="1"/>
  <c r="AO7" i="1"/>
  <c r="G21" i="9" l="1"/>
  <c r="D14" i="74"/>
  <c r="G14" i="74" s="1"/>
  <c r="C103" i="9"/>
  <c r="D103" i="9"/>
  <c r="G20" i="9"/>
  <c r="I19"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J20" i="9" l="1"/>
  <c r="I20" i="9"/>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l="1"/>
  <c r="D4" i="52" s="1"/>
  <c r="B47" i="72" s="1"/>
  <c r="F118" i="9"/>
  <c r="F119" i="9" s="1"/>
  <c r="F5" i="52" s="1"/>
  <c r="B53" i="72" s="1"/>
  <c r="H118" i="9"/>
  <c r="C104" i="9" s="1"/>
  <c r="F4" i="52" l="1"/>
  <c r="B51" i="72" s="1"/>
  <c r="G118" i="9"/>
  <c r="G4" i="52" s="1"/>
  <c r="B52" i="72" s="1"/>
  <c r="H4" i="52"/>
  <c r="D119" i="9"/>
  <c r="D5" i="52" s="1"/>
  <c r="B49" i="72" s="1"/>
  <c r="H101" i="9"/>
  <c r="H119" i="9"/>
  <c r="H5" i="52" s="1"/>
  <c r="I118" i="9"/>
  <c r="D45" i="9" l="1"/>
  <c r="D5" i="53"/>
  <c r="M48" i="9"/>
  <c r="H107" i="9"/>
  <c r="I4" i="52"/>
  <c r="C105" i="9"/>
  <c r="E118" i="9"/>
  <c r="E4" i="52" s="1"/>
  <c r="B48" i="72" s="1"/>
  <c r="H102" i="9"/>
  <c r="D13" i="53" l="1"/>
  <c r="D122" i="9"/>
  <c r="M49" i="9"/>
  <c r="H108" i="9"/>
  <c r="D7" i="53"/>
  <c r="B21" i="72" s="1"/>
  <c r="C5" i="74"/>
  <c r="D6" i="53"/>
  <c r="B22" i="72" s="1"/>
  <c r="B20" i="72"/>
  <c r="D52" i="9"/>
  <c r="C78" i="9"/>
  <c r="C73" i="9" s="1"/>
  <c r="C93" i="9"/>
  <c r="C86" i="9" s="1"/>
  <c r="D53" i="9"/>
  <c r="D55" i="9"/>
  <c r="M53" i="9" s="1"/>
  <c r="C72" i="9"/>
  <c r="C85" i="9"/>
  <c r="C64" i="9"/>
  <c r="C63" i="9" s="1"/>
  <c r="C67" i="9" s="1"/>
  <c r="C95" i="9" l="1"/>
  <c r="C96" i="9" s="1"/>
  <c r="E96" i="9" s="1"/>
  <c r="E97" i="9" s="1"/>
  <c r="C79" i="9"/>
  <c r="C80" i="9" s="1"/>
  <c r="E80" i="9" s="1"/>
  <c r="E81" i="9" s="1"/>
  <c r="D59" i="9"/>
  <c r="M55" i="9" s="1"/>
  <c r="C68" i="9"/>
  <c r="D54" i="9" s="1"/>
  <c r="C6" i="74"/>
  <c r="D15" i="53"/>
  <c r="B31" i="72" s="1"/>
  <c r="L64" i="9"/>
  <c r="M64" i="9" s="1"/>
  <c r="L66" i="9"/>
  <c r="M66" i="9" s="1"/>
  <c r="L63" i="9"/>
  <c r="M63" i="9" s="1"/>
  <c r="L65" i="9"/>
  <c r="M65" i="9" s="1"/>
  <c r="L68" i="9"/>
  <c r="M68" i="9" s="1"/>
  <c r="L67" i="9"/>
  <c r="M67" i="9" s="1"/>
  <c r="D8" i="52"/>
  <c r="D123" i="9"/>
  <c r="D9" i="52" s="1"/>
  <c r="D14" i="53"/>
  <c r="B32" i="72" s="1"/>
  <c r="B30" i="72"/>
  <c r="C81" i="9" l="1"/>
  <c r="M69" i="9"/>
  <c r="N69" i="9" s="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<sst xmlns="http://schemas.openxmlformats.org/spreadsheetml/2006/main" count="7996" uniqueCount="3477">
  <si>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</si>
  <si>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</si>
  <si>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</si>
  <si>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</si>
  <si>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</si>
  <si>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</si>
  <si>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</si>
  <si>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</si>
  <si>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</si>
  <si>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</si>
  <si>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</si>
  <si>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</si>
  <si>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</si>
  <si>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</si>
  <si>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</si>
  <si>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</si>
  <si>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</si>
  <si>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</si>
  <si>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</si>
  <si>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</si>
  <si>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</si>
  <si>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</si>
  <si>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</si>
  <si>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</si>
  <si>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</si>
  <si>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</si>
  <si>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</si>
  <si>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</si>
  <si>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</si>
  <si>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</si>
  <si>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</si>
  <si>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</si>
  <si>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</si>
  <si>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</si>
  <si>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</si>
  <si>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</si>
  <si>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</si>
  <si>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</si>
  <si>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</si>
  <si>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</si>
  <si>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</si>
  <si>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</si>
  <si>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</si>
  <si>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</si>
  <si>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</si>
  <si>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</si>
  <si>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</si>
  <si>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</si>
  <si>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</si>
  <si>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</si>
  <si>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</si>
  <si>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</si>
  <si>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</si>
  <si>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</si>
  <si>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</si>
  <si>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</si>
  <si>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</si>
  <si>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</si>
  <si>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</si>
  <si>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</si>
  <si>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</si>
  <si>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</si>
  <si>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</si>
  <si>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</si>
  <si>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</si>
  <si>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</si>
  <si>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</si>
  <si>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</si>
  <si>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</si>
  <si>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</si>
  <si>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</si>
  <si>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</si>
  <si>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</si>
  <si>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</si>
  <si>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</si>
  <si>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</si>
  <si>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</si>
  <si>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</si>
  <si>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</si>
  <si>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</si>
  <si>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</si>
  <si>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</si>
  <si>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</si>
  <si>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</si>
  <si>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</si>
  <si>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</si>
  <si>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</si>
  <si>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</si>
  <si>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</si>
  <si>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</si>
  <si>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</si>
  <si>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</si>
  <si>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</si>
  <si>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</si>
  <si>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</si>
  <si>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</si>
  <si>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</si>
  <si>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</si>
  <si>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</si>
  <si>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</si>
  <si>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</si>
  <si>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</si>
  <si>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</si>
  <si>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</si>
  <si>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</si>
  <si>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</si>
  <si>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</si>
  <si>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</si>
  <si>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</si>
  <si>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</si>
  <si>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</si>
  <si>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</si>
  <si>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</si>
  <si>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</si>
  <si>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</si>
  <si>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</si>
  <si>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</si>
  <si>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</si>
  <si>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</si>
  <si>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</si>
  <si>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</si>
  <si>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</si>
  <si>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</si>
  <si>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</si>
  <si>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</si>
  <si>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</si>
  <si>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</si>
  <si>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</si>
  <si>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</si>
  <si>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</si>
  <si>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</si>
  <si>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</si>
  <si>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</si>
  <si>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</si>
  <si>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</si>
  <si>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</si>
  <si>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</si>
  <si>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</si>
  <si>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</si>
  <si>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</si>
  <si>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</si>
  <si>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</si>
  <si>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</si>
  <si>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</si>
  <si>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</si>
  <si>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</si>
  <si>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</si>
  <si>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</si>
  <si>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</si>
  <si>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</si>
  <si>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</si>
  <si>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</si>
  <si>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</si>
  <si>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</si>
  <si>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</si>
  <si>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</si>
  <si>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</si>
  <si>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</si>
  <si>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</si>
  <si>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</si>
  <si>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</si>
  <si>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</si>
  <si>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</si>
  <si>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</si>
  <si>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</si>
  <si>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</si>
  <si>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</si>
  <si>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</si>
  <si>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</si>
  <si>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</si>
  <si>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</si>
  <si>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</si>
  <si>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</si>
  <si>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</si>
  <si>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</si>
  <si>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</si>
  <si>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</si>
  <si>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</si>
  <si>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</si>
  <si>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</si>
  <si>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</si>
  <si>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</si>
  <si>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</si>
  <si>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</si>
  <si>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</si>
  <si>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</si>
  <si>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</si>
  <si>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</si>
  <si>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</si>
  <si>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</si>
  <si>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</si>
  <si>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</si>
  <si>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</si>
  <si>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</si>
  <si>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</si>
  <si>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</si>
  <si>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</si>
  <si>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</si>
  <si>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</si>
  <si>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</si>
  <si>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</si>
  <si>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</si>
  <si>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</si>
  <si>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</si>
  <si>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</si>
  <si>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</si>
  <si>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</si>
  <si>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</si>
  <si>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</si>
  <si>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</si>
  <si>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</si>
  <si>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</si>
  <si>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</si>
  <si>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</si>
  <si>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</si>
  <si>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</si>
  <si>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</si>
  <si>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</si>
  <si>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</si>
  <si>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</si>
  <si>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</si>
  <si>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</si>
  <si>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</si>
  <si>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</si>
  <si>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</si>
  <si>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</si>
  <si>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</si>
  <si>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</si>
  <si>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</si>
  <si>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</si>
  <si>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</si>
  <si>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</si>
  <si>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</si>
  <si>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</si>
  <si>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</si>
  <si>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</si>
  <si>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</si>
  <si>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</si>
  <si>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</si>
  <si>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</si>
  <si>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</si>
  <si>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</si>
  <si>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</si>
  <si>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</si>
  <si>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</si>
  <si>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</si>
  <si>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</si>
  <si>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</si>
  <si>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</si>
  <si>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</si>
  <si>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</si>
  <si>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</si>
  <si>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</si>
  <si>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</si>
  <si>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</si>
  <si>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</si>
  <si>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</si>
  <si>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</si>
  <si>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</si>
  <si>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</si>
  <si>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</si>
  <si>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</si>
  <si>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</si>
  <si>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</si>
  <si>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</si>
  <si>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</si>
  <si>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</si>
  <si>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</si>
  <si>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</si>
  <si>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</si>
  <si>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</si>
  <si>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</si>
  <si>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</si>
  <si>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</si>
  <si>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</si>
  <si>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</si>
  <si>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</si>
  <si>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</si>
  <si>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</si>
  <si>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</si>
  <si>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</si>
  <si>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</si>
  <si>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</si>
  <si>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</si>
  <si>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</si>
  <si>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</si>
  <si>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</si>
  <si>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</si>
  <si>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</si>
  <si>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</si>
  <si>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</si>
  <si>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</si>
  <si>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</si>
  <si>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</si>
  <si>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</si>
  <si>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</si>
  <si>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</si>
  <si>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</si>
  <si>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</si>
  <si>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</si>
  <si>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</si>
  <si>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</si>
  <si>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</si>
  <si>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</si>
  <si>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</si>
  <si>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</si>
  <si>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</si>
  <si>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</si>
  <si>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</si>
  <si>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</si>
  <si>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</si>
  <si>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</si>
  <si>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</si>
  <si>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</si>
  <si>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</si>
  <si>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</si>
  <si>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</si>
  <si>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</si>
  <si>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</si>
  <si>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</si>
  <si>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</si>
  <si>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</si>
  <si>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</si>
  <si>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</si>
  <si>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</si>
  <si>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</si>
  <si>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</si>
  <si>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</si>
  <si>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</si>
  <si>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</si>
  <si>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</si>
  <si>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</si>
  <si>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</si>
  <si>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</si>
  <si>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</si>
  <si>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</si>
  <si>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</si>
  <si>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</si>
  <si>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</si>
  <si>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</si>
  <si>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</si>
  <si>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</si>
  <si>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</si>
  <si>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</si>
  <si>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</si>
  <si>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</si>
  <si>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</si>
  <si>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</si>
  <si>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</si>
  <si>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</si>
  <si>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</si>
  <si>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</si>
  <si>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</si>
  <si>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</si>
  <si>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</si>
  <si>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</si>
  <si>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</si>
  <si>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</si>
  <si>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</si>
  <si>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</si>
  <si>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</si>
  <si>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</si>
  <si>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</si>
  <si>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</si>
  <si>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</si>
  <si>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</si>
  <si>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</si>
  <si>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</si>
  <si>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</si>
  <si>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</si>
  <si>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</si>
  <si>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</si>
  <si>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</si>
  <si>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</si>
  <si>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</si>
  <si>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</si>
  <si>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</si>
  <si>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</si>
  <si>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</si>
  <si>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</si>
  <si>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</si>
  <si>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</si>
  <si>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</si>
  <si>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</si>
  <si>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</si>
  <si>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</si>
  <si>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</si>
  <si>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</si>
  <si>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</si>
  <si>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</si>
  <si>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</si>
  <si>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</si>
  <si>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</si>
  <si>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</si>
  <si>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</si>
  <si>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</si>
  <si>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</si>
  <si>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</si>
  <si>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</si>
  <si>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</si>
  <si>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</si>
  <si>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</si>
  <si>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</si>
  <si>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</si>
  <si>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</si>
  <si>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</si>
  <si>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</si>
  <si>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</si>
  <si>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</si>
  <si>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</si>
  <si>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</si>
  <si>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</si>
  <si>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</si>
  <si>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</si>
  <si>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</si>
  <si>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</si>
  <si>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</si>
  <si>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</si>
  <si>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</si>
  <si>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</si>
  <si>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</si>
  <si>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</si>
  <si>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</si>
  <si>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</si>
  <si>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</si>
  <si>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</si>
  <si>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</si>
  <si>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</si>
  <si>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</si>
  <si>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</si>
  <si>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</si>
  <si>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</si>
  <si>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</si>
  <si>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</si>
  <si>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</si>
  <si>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</si>
  <si>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</si>
  <si>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</si>
  <si>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</si>
  <si>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</si>
  <si>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</si>
  <si>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</si>
  <si>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</si>
  <si>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</si>
  <si>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</si>
  <si>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</si>
  <si>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</si>
  <si>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</si>
  <si>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</si>
  <si>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</si>
  <si>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</si>
  <si>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</si>
  <si>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</si>
  <si>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</si>
  <si>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</si>
  <si>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</si>
  <si>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</si>
  <si>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</si>
  <si>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</si>
  <si>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</si>
  <si>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</si>
  <si>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</si>
  <si>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</si>
  <si>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</si>
  <si>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</si>
  <si>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</si>
  <si>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</si>
  <si>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</si>
  <si>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</si>
  <si>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</si>
  <si>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</si>
  <si>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</si>
  <si>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</si>
  <si>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</si>
  <si>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</si>
  <si>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</si>
  <si>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</si>
  <si>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</si>
  <si>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</si>
  <si>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</si>
  <si>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</si>
  <si>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</si>
  <si>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</si>
  <si>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</si>
  <si>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</si>
  <si>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</si>
  <si>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</si>
  <si>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</si>
  <si>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</si>
  <si>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</si>
  <si>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</si>
  <si>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</si>
  <si>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</si>
  <si>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</si>
  <si>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</si>
  <si>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</si>
  <si>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</si>
  <si>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</si>
  <si>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</si>
  <si>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</si>
  <si>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</si>
  <si>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</si>
  <si>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</si>
  <si>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</si>
  <si>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</si>
  <si>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</si>
  <si>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</si>
  <si>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</si>
  <si>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</si>
  <si>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</si>
  <si>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</si>
  <si>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</si>
  <si>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</si>
  <si>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</si>
  <si>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</si>
  <si>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</si>
  <si>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</si>
  <si>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</si>
  <si>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</si>
  <si>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</si>
  <si>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</si>
  <si>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</si>
  <si>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</si>
  <si>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</si>
  <si>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</si>
  <si>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</si>
  <si>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</si>
  <si>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</si>
  <si>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</si>
  <si>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</si>
  <si>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</si>
  <si>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</si>
  <si>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</si>
  <si>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</si>
  <si>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</si>
  <si>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</si>
  <si>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</si>
  <si>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</si>
  <si>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</si>
  <si>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</si>
  <si>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</si>
  <si>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</si>
  <si>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</si>
  <si>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</si>
  <si>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</si>
  <si>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</si>
  <si>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</si>
  <si>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</si>
  <si>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</si>
  <si>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</si>
  <si>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</si>
  <si>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</si>
  <si>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</si>
  <si>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</si>
  <si>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</si>
  <si>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</si>
  <si>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</si>
  <si>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</si>
  <si>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</si>
  <si>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</si>
  <si>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</si>
  <si>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</si>
  <si>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</si>
  <si>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</si>
  <si>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</si>
  <si>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</si>
  <si>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</si>
  <si>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</si>
  <si>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</si>
  <si>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</si>
  <si>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</si>
  <si>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</si>
  <si>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</si>
  <si>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</si>
  <si>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</si>
  <si>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</si>
  <si>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</si>
  <si>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</si>
  <si>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</si>
  <si>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</si>
  <si>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</si>
  <si>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</si>
  <si>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</si>
  <si>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</si>
  <si>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</si>
  <si>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</si>
  <si>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</si>
  <si>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</si>
  <si>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</si>
  <si>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</si>
  <si>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</si>
  <si>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</si>
  <si>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</si>
  <si>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</si>
  <si>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</si>
  <si>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</si>
  <si>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</si>
  <si>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</si>
  <si>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</si>
  <si>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</si>
  <si>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</si>
  <si>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</si>
  <si>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</si>
  <si>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</si>
  <si>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</si>
  <si>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</si>
  <si>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</si>
  <si>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</si>
  <si>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</si>
  <si>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</si>
  <si>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</si>
  <si>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</si>
  <si>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</si>
  <si>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</si>
  <si>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</si>
  <si>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</si>
  <si>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</si>
  <si>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</si>
  <si>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</si>
  <si>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</si>
  <si>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</si>
  <si>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</si>
  <si>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</si>
  <si>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</si>
  <si>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</si>
  <si>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</si>
  <si>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</si>
  <si>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</si>
  <si>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</si>
  <si>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</si>
  <si>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</si>
  <si>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</si>
  <si>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</si>
  <si>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</si>
  <si>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</si>
  <si>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</si>
  <si>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</si>
  <si>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</si>
  <si>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</si>
  <si>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</si>
  <si>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</si>
  <si>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</si>
  <si>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</si>
  <si>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</si>
  <si>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</si>
  <si>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</si>
  <si>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</si>
  <si>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</si>
  <si>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</si>
  <si>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</si>
  <si>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</si>
  <si>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</si>
  <si>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</si>
  <si>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</si>
  <si>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</si>
  <si>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</si>
  <si>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</si>
  <si>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</si>
  <si>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</si>
  <si>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</si>
  <si>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</si>
  <si>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</si>
  <si>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</si>
  <si>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</si>
  <si>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</si>
  <si>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</si>
  <si>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</si>
  <si>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</si>
  <si>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</si>
  <si>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</si>
  <si>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</si>
  <si>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</si>
  <si>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</si>
  <si>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</si>
  <si>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</si>
  <si>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</si>
  <si>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</si>
  <si>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</si>
  <si>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</si>
  <si>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</si>
  <si>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</si>
  <si>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</si>
  <si>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</si>
  <si>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</si>
  <si>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</si>
  <si>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</si>
  <si>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</si>
  <si>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</si>
  <si>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</si>
  <si>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</si>
  <si>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</si>
  <si>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</si>
  <si>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</si>
  <si>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</si>
  <si>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</si>
  <si>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</si>
  <si>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</si>
  <si>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</si>
  <si>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</si>
  <si>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</si>
  <si>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</si>
  <si>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</si>
  <si>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</si>
  <si>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</si>
  <si>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</si>
  <si>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</si>
  <si>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</si>
  <si>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</si>
  <si>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</si>
  <si>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</si>
  <si>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</si>
  <si>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</si>
  <si>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</si>
  <si>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</si>
  <si>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</si>
  <si>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</si>
  <si>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</si>
  <si>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</si>
  <si>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</si>
  <si>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</si>
  <si>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</si>
  <si>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</si>
  <si>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</si>
  <si>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</si>
  <si>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</si>
  <si>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</si>
  <si>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</si>
  <si>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</si>
  <si>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</si>
  <si>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</si>
  <si>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</si>
  <si>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</si>
  <si>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</si>
  <si>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</si>
  <si>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</si>
  <si>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</si>
  <si>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</si>
  <si>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</si>
  <si>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</si>
  <si>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</si>
  <si>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</si>
  <si>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</si>
  <si>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</si>
  <si>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</si>
  <si>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</si>
  <si>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</si>
  <si>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</si>
  <si>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</si>
  <si>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</si>
  <si>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</si>
  <si>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</si>
  <si>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</si>
  <si>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</si>
  <si>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</si>
  <si>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</si>
  <si>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</si>
  <si>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</si>
  <si>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</si>
  <si>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</si>
  <si>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</si>
  <si>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</si>
  <si>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</si>
  <si>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</si>
  <si>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</si>
  <si>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</si>
  <si>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</si>
  <si>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</si>
  <si>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</si>
  <si>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</si>
  <si>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</si>
  <si>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</si>
  <si>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</si>
  <si>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</si>
  <si>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</si>
  <si>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</si>
  <si>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</si>
  <si>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</si>
  <si>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</si>
  <si>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</si>
  <si>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</si>
  <si>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</si>
  <si>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</si>
  <si>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</si>
  <si>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</si>
  <si>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</si>
  <si>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</si>
  <si>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</si>
  <si>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</si>
  <si>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</si>
  <si>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</si>
  <si>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</si>
  <si>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</si>
  <si>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</si>
  <si>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</si>
  <si>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</si>
  <si>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</si>
  <si>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</si>
  <si>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</si>
  <si>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</si>
  <si>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</si>
  <si>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</si>
  <si>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</si>
  <si>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</si>
  <si>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</si>
  <si>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</si>
  <si>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</si>
  <si>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</si>
  <si>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</si>
  <si>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</si>
  <si>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</si>
  <si>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</si>
  <si>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</si>
  <si>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</si>
  <si>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</si>
  <si>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</si>
  <si>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</si>
  <si>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</si>
  <si>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</si>
  <si>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</si>
  <si>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</si>
  <si>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</si>
  <si>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</si>
  <si>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</si>
  <si>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</si>
  <si>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</si>
  <si>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</si>
  <si>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</si>
  <si>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</si>
  <si>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</si>
  <si>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</si>
  <si>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</si>
  <si>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</si>
  <si>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</si>
  <si>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</si>
  <si>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</si>
  <si>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</si>
  <si>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</si>
  <si>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</si>
  <si>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</si>
  <si>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</si>
  <si>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</si>
  <si>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</si>
  <si>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</si>
  <si>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</si>
  <si>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</si>
  <si>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</si>
  <si>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</si>
  <si>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</si>
  <si>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</si>
  <si>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</si>
  <si>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</si>
  <si>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</si>
  <si>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</si>
  <si>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</si>
  <si>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</si>
  <si>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</si>
  <si>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</si>
  <si>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</si>
  <si>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</si>
  <si>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</si>
  <si>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</si>
  <si>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</si>
  <si>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</si>
  <si>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</si>
  <si>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</si>
  <si>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</si>
  <si>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</si>
  <si>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</si>
  <si>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</si>
  <si>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</si>
  <si>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</si>
  <si>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</si>
  <si>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</si>
  <si>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</si>
  <si>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</si>
  <si>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</si>
  <si>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</si>
  <si>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</si>
  <si>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</si>
  <si>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</si>
  <si>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</si>
  <si>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</si>
  <si>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</si>
  <si>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</si>
  <si>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</si>
  <si>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</si>
  <si>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</si>
  <si>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</si>
  <si>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</si>
  <si>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</si>
  <si>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</si>
  <si>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</si>
  <si>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</si>
  <si>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</si>
  <si>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</si>
  <si>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</si>
  <si>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</si>
  <si>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</si>
  <si>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</si>
  <si>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</si>
  <si>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</si>
  <si>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</si>
  <si>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</si>
  <si>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</si>
  <si>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</si>
  <si>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</si>
  <si>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</si>
  <si>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</si>
  <si>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</si>
  <si>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</si>
  <si>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</si>
  <si>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</si>
  <si>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</si>
  <si>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</si>
  <si>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</si>
  <si>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</si>
  <si>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</si>
  <si>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</si>
  <si>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</si>
  <si>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</si>
  <si>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</si>
  <si>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</si>
  <si>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</si>
  <si>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</si>
  <si>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</si>
  <si>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</si>
  <si>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</si>
  <si>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</si>
  <si>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</si>
  <si>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</si>
  <si>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</si>
  <si>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</si>
  <si>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</si>
  <si>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</si>
  <si>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</si>
  <si>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</si>
  <si>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</si>
  <si>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</si>
  <si>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</si>
  <si>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</si>
  <si>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</si>
  <si>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</si>
  <si>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</si>
  <si>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</si>
  <si>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</si>
  <si>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</si>
  <si>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</si>
  <si>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</si>
  <si>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</si>
  <si>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</si>
  <si>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</si>
  <si>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</si>
  <si>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</si>
  <si>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</si>
  <si>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</si>
  <si>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</si>
  <si>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</si>
  <si>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</si>
  <si>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</si>
  <si>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</si>
  <si>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</si>
  <si>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</si>
  <si>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</si>
  <si>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</si>
  <si>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</si>
  <si>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</si>
  <si>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</si>
  <si>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</si>
  <si>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</si>
  <si>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</si>
  <si>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</si>
  <si>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</si>
  <si>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</si>
  <si>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</si>
  <si>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</si>
  <si>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</si>
  <si>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</si>
  <si>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</si>
  <si>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</si>
  <si>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</si>
  <si>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</si>
  <si>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</si>
  <si>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</si>
  <si>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</si>
  <si>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</si>
  <si>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</si>
  <si>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</si>
  <si>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</si>
  <si>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</si>
  <si>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</si>
  <si>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</si>
  <si>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</si>
  <si>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</si>
  <si>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</si>
  <si>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</si>
  <si>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</si>
  <si>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</si>
  <si>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</si>
  <si>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</si>
  <si>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</si>
  <si>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</si>
  <si>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</si>
  <si>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</si>
  <si>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</si>
  <si>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</si>
  <si>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</si>
  <si>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</si>
  <si>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</si>
  <si>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</si>
  <si>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</si>
  <si>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</si>
  <si>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</si>
  <si>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</si>
  <si>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</si>
  <si>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</si>
  <si>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</si>
  <si>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</si>
  <si>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</si>
  <si>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</si>
  <si>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</si>
  <si>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</si>
  <si>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</si>
  <si>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</si>
  <si>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</si>
  <si>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</si>
  <si>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</si>
  <si>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</si>
  <si>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</si>
  <si>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</si>
  <si>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</si>
  <si>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</si>
  <si>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</si>
  <si>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</si>
  <si>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</si>
  <si>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</si>
  <si>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</si>
  <si>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</si>
  <si>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</si>
  <si>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</si>
  <si>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</si>
  <si>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</si>
  <si>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</si>
  <si>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</si>
  <si>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</si>
  <si>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</si>
  <si>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</si>
  <si>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</si>
  <si>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</si>
  <si>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</si>
  <si>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</si>
  <si>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</si>
  <si>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</si>
  <si>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</si>
  <si>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</si>
  <si>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</si>
  <si>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</si>
  <si>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</si>
  <si>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</si>
  <si>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</si>
  <si>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</si>
  <si>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</si>
  <si>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</si>
  <si>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</si>
  <si>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</si>
  <si>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</si>
  <si>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</si>
  <si>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</si>
  <si>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</si>
  <si>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</si>
  <si>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</si>
  <si>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</si>
  <si>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</si>
  <si>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</si>
  <si>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</si>
  <si>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</si>
  <si>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</si>
  <si>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</si>
  <si>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</si>
  <si>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</si>
  <si>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</si>
  <si>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</si>
  <si>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</si>
  <si>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</si>
  <si>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</si>
  <si>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</si>
  <si>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</si>
  <si>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</si>
  <si>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</si>
  <si>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</si>
  <si>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</si>
  <si>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</si>
  <si>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</si>
  <si>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</si>
  <si>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</si>
  <si>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</si>
  <si>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</si>
  <si>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</si>
  <si>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</si>
  <si>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</si>
  <si>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</si>
  <si>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</si>
  <si>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</si>
  <si>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</si>
  <si>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</si>
  <si>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</si>
  <si>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</si>
  <si>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</si>
  <si>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</si>
  <si>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</si>
  <si>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</si>
  <si>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</si>
  <si>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</si>
  <si>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</si>
  <si>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</si>
  <si>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</si>
  <si>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</si>
  <si>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</si>
  <si>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</si>
  <si>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</si>
  <si>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</si>
  <si>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</si>
  <si>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</si>
  <si>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</si>
  <si>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</si>
  <si>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</si>
  <si>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</si>
  <si>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</si>
  <si>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</si>
  <si>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</si>
  <si>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</si>
  <si>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</si>
  <si>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</si>
  <si>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</si>
  <si>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</si>
  <si>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</si>
  <si>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</si>
  <si>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</si>
  <si>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</si>
  <si>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</si>
  <si>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</si>
  <si>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</si>
  <si>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</si>
  <si>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</si>
  <si>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</si>
  <si>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</si>
  <si>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</si>
  <si>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</si>
  <si>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</si>
  <si>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</si>
  <si>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</si>
  <si>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</si>
  <si>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</si>
  <si>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</si>
  <si>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</si>
  <si>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</si>
  <si>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</si>
  <si>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</si>
  <si>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</si>
  <si>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</si>
  <si>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</si>
  <si>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</si>
  <si>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</si>
  <si>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</si>
  <si>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</si>
  <si>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</si>
  <si>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</si>
  <si>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</si>
  <si>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</si>
  <si>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</si>
  <si>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</si>
  <si>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</si>
  <si>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</si>
  <si>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</si>
  <si>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</si>
  <si>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</si>
  <si>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</si>
  <si>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</si>
  <si>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</si>
  <si>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</si>
  <si>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</si>
  <si>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</si>
  <si>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</si>
  <si>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</si>
  <si>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</si>
  <si>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</si>
  <si>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</si>
  <si>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</si>
  <si>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</si>
  <si>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</si>
  <si>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</si>
  <si>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</si>
  <si>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</si>
  <si>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</si>
  <si>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</si>
  <si>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</si>
  <si>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</si>
  <si>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</si>
  <si>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</si>
  <si>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</si>
  <si>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</si>
  <si>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</si>
  <si>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</si>
  <si>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</si>
  <si>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</si>
  <si>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</si>
  <si>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</si>
  <si>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</si>
  <si>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</si>
  <si>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</si>
  <si>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</si>
  <si>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</si>
  <si>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</si>
  <si>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</si>
  <si>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</si>
  <si>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</si>
  <si>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</si>
  <si>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</si>
  <si>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</si>
  <si>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</si>
  <si>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</si>
  <si>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</si>
  <si>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</si>
  <si>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</si>
  <si>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</si>
  <si>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</si>
  <si>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</si>
  <si>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</si>
  <si>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</si>
  <si>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</si>
  <si>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</si>
  <si>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</si>
  <si>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</si>
  <si>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</si>
  <si>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</si>
  <si>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</si>
  <si>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</si>
  <si>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</si>
  <si>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</si>
  <si>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</si>
  <si>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</si>
  <si>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</si>
  <si>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</si>
  <si>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</si>
  <si>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</si>
  <si>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</si>
  <si>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</si>
  <si>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</si>
  <si>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</si>
  <si>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</si>
  <si>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</si>
  <si>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</si>
  <si>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</si>
  <si>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</si>
  <si>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</si>
  <si>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</si>
  <si>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</si>
  <si>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</si>
  <si>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</si>
  <si>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</si>
  <si>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</si>
  <si>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</si>
  <si>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</si>
  <si>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</si>
  <si>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</si>
  <si>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</si>
  <si>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</si>
  <si>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</si>
  <si>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</si>
  <si>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</si>
  <si>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</si>
  <si>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</si>
  <si>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</si>
  <si>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</si>
  <si>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</si>
  <si>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</si>
  <si>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</si>
  <si>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</si>
  <si>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</si>
  <si>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</si>
  <si>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</si>
  <si>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</si>
  <si>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</si>
  <si>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</si>
  <si>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</si>
  <si>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</si>
  <si>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</si>
  <si>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</si>
  <si>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</si>
  <si>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</si>
  <si>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</si>
  <si>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</si>
  <si>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</si>
  <si>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</si>
  <si>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</si>
  <si>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</si>
  <si>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</si>
  <si>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</si>
  <si>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</si>
  <si>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</si>
  <si>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</si>
  <si>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</si>
  <si>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</si>
  <si>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</si>
  <si>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</si>
  <si>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</si>
  <si>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</si>
  <si>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</si>
  <si>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</si>
  <si>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</si>
  <si>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</si>
  <si>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</si>
  <si>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</si>
  <si>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</si>
  <si>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</si>
  <si>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</si>
  <si>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</si>
  <si>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</si>
  <si>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</si>
  <si>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</si>
  <si>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</si>
  <si>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</si>
  <si>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</si>
  <si>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</si>
  <si>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</si>
  <si>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</si>
  <si>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</si>
  <si>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</si>
  <si>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</si>
  <si>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</si>
  <si>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</si>
  <si>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</si>
  <si>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</si>
  <si>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</si>
  <si>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</si>
  <si>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</si>
  <si>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</si>
  <si>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</si>
  <si>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</si>
  <si>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</si>
  <si>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</si>
  <si>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</si>
  <si>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</si>
  <si>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</si>
  <si>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</si>
  <si>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</si>
  <si>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</si>
  <si>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</si>
  <si>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</si>
  <si>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</si>
  <si>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</si>
  <si>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</si>
  <si>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</si>
  <si>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</si>
  <si>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</si>
  <si>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</si>
  <si>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</si>
  <si>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</si>
  <si>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</si>
  <si>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</si>
  <si>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</si>
  <si>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</si>
  <si>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</si>
  <si>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</si>
  <si>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</si>
  <si>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</si>
  <si>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</si>
  <si>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</si>
  <si>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</si>
  <si>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</si>
  <si>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</si>
  <si>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</si>
  <si>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</si>
  <si>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</si>
  <si>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</si>
  <si>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</si>
  <si>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</si>
  <si>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</si>
  <si>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</si>
  <si>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</si>
  <si>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</si>
  <si>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</si>
  <si>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</si>
  <si>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</si>
  <si>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</si>
  <si>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</si>
  <si>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</si>
  <si>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</si>
  <si>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</si>
  <si>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</si>
  <si>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</si>
  <si>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</si>
  <si>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</si>
  <si>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</si>
  <si>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</si>
  <si>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</si>
  <si>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</si>
  <si>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</si>
  <si>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</si>
  <si>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</si>
  <si>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</si>
  <si>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</si>
  <si>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</si>
  <si>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</si>
  <si>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</si>
  <si>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</si>
  <si>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</si>
  <si>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</si>
  <si>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</si>
  <si>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</si>
  <si>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</si>
  <si>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</si>
  <si>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</si>
  <si>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</si>
  <si>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</si>
  <si>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</si>
  <si>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</si>
  <si>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</si>
  <si>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</si>
  <si>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</si>
  <si>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</si>
  <si>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</si>
  <si>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</si>
  <si>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</si>
  <si>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</si>
  <si>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</si>
  <si>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</si>
  <si>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</si>
  <si>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</si>
  <si>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</si>
  <si>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</si>
  <si>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</si>
  <si>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</si>
  <si>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</si>
  <si>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</si>
  <si>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</si>
  <si>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</si>
  <si>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</si>
  <si>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</si>
  <si>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</si>
  <si>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</si>
  <si>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</si>
  <si>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</si>
  <si>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</si>
  <si>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</si>
  <si>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</si>
  <si>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</si>
  <si>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</si>
  <si>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</si>
  <si>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</si>
  <si>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</si>
  <si>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</si>
  <si>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</si>
  <si>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</si>
  <si>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</si>
  <si>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</si>
  <si>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</si>
  <si>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</si>
  <si>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</si>
  <si>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</si>
  <si>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</si>
  <si>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</si>
  <si>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</si>
  <si>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</si>
  <si>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</si>
  <si>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</si>
  <si>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</si>
  <si>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</si>
  <si>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</si>
  <si>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</si>
  <si>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</si>
  <si>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</si>
  <si>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</si>
  <si>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</si>
  <si>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</si>
  <si>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</si>
  <si>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</si>
  <si>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</si>
  <si>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</si>
  <si>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</si>
  <si>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</si>
  <si>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</si>
  <si>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</si>
  <si>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</si>
  <si>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</si>
  <si>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</si>
  <si>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</si>
  <si>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</si>
  <si>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</si>
  <si>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</si>
  <si>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</si>
  <si>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</si>
  <si>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</si>
  <si>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</si>
  <si>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</si>
  <si>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</si>
  <si>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</si>
  <si>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</si>
  <si>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</si>
  <si>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</si>
  <si>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</si>
  <si>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</si>
  <si>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</si>
  <si>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</si>
  <si>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</si>
  <si>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</si>
  <si>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</si>
  <si>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</si>
  <si>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</si>
  <si>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</si>
  <si>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</si>
  <si>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</si>
  <si>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</si>
  <si>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</si>
  <si>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</si>
  <si>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</si>
  <si>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</si>
  <si>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</si>
  <si>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</si>
  <si>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</si>
  <si>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</si>
  <si>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</si>
  <si>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</si>
  <si>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</si>
  <si>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</si>
  <si>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</si>
  <si>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</si>
  <si>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</si>
  <si>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</si>
  <si>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</si>
  <si>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</si>
  <si>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</si>
  <si>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</si>
  <si>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</si>
  <si>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</si>
  <si>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</si>
  <si>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</si>
  <si>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</si>
  <si>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</si>
  <si>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</si>
  <si>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</si>
  <si>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</si>
  <si>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</si>
  <si>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</si>
  <si>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</si>
  <si>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</si>
  <si>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</si>
  <si>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</si>
  <si>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</si>
  <si>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</si>
  <si>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</si>
  <si>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</si>
  <si>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</si>
  <si>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</si>
  <si>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</si>
  <si>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</si>
  <si>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</si>
  <si>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</si>
  <si>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</si>
  <si>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</si>
  <si>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</si>
  <si>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</si>
  <si>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</si>
  <si>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</si>
  <si>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</si>
  <si>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</si>
  <si>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</si>
  <si>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</si>
  <si>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</si>
  <si>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</si>
  <si>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</si>
  <si>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</si>
  <si>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</si>
  <si>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</si>
  <si>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</si>
  <si>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</si>
  <si>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</si>
  <si>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</si>
  <si>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</si>
  <si>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</si>
  <si>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</si>
  <si>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</si>
  <si>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</si>
  <si>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</si>
  <si>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</si>
  <si>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</si>
  <si>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</si>
  <si>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</si>
  <si>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</si>
  <si>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</si>
  <si>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</si>
  <si>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</si>
  <si>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</si>
  <si>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</si>
  <si>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</si>
  <si>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</si>
  <si>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</si>
  <si>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</si>
  <si>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</si>
  <si>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</si>
  <si>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</si>
  <si>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</si>
  <si>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</si>
  <si>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</si>
  <si>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</si>
  <si>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</si>
  <si>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</si>
  <si>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</si>
  <si>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</si>
  <si>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</si>
  <si>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</si>
  <si>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</si>
  <si>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</si>
  <si>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</si>
  <si>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</si>
  <si>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</si>
  <si>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</si>
  <si>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</si>
  <si>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</si>
  <si>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</si>
  <si>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</si>
  <si>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</si>
  <si>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</si>
  <si>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</si>
  <si>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</si>
  <si>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</si>
  <si>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</si>
  <si>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</si>
  <si>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</si>
  <si>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</si>
  <si>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</si>
  <si>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</si>
  <si>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</si>
  <si>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</si>
  <si>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</si>
  <si>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</si>
  <si>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</si>
  <si>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</si>
  <si>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</si>
  <si>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</si>
  <si>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</si>
  <si>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</si>
  <si>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</si>
  <si>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</si>
  <si>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</si>
  <si>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</si>
  <si>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</si>
  <si>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</si>
  <si>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</si>
  <si>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</si>
  <si>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</si>
  <si>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</si>
  <si>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</si>
  <si>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</si>
  <si>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</si>
  <si>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</si>
  <si>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</si>
  <si>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</si>
  <si>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</si>
  <si>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</si>
  <si>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</si>
  <si>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</si>
  <si>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</si>
  <si>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</si>
  <si>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</si>
  <si>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</si>
  <si>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</si>
  <si>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</si>
  <si>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</si>
  <si>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</si>
  <si>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</si>
  <si>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</si>
  <si>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</si>
  <si>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</si>
  <si>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</si>
  <si>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</si>
  <si>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</si>
  <si>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</si>
  <si>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</si>
  <si>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</si>
  <si>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</si>
  <si>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</si>
  <si>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</si>
  <si>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</si>
  <si>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</si>
  <si>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</si>
  <si>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</si>
  <si>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</si>
  <si>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</si>
  <si>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</si>
  <si>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</si>
  <si>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</si>
  <si>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</si>
  <si>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</si>
  <si>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</si>
  <si>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</si>
  <si>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</si>
  <si>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</si>
  <si>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</si>
  <si>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</si>
  <si>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</si>
  <si>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</si>
  <si>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</si>
  <si>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</si>
  <si>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</si>
  <si>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</si>
  <si>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</si>
  <si>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</si>
  <si>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</si>
  <si>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</si>
  <si>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</si>
  <si>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</si>
  <si>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</si>
  <si>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</si>
  <si>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</si>
  <si>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</si>
  <si>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</si>
  <si>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</si>
  <si>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</si>
  <si>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</si>
  <si>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</si>
  <si>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</si>
  <si>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</si>
  <si>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</si>
  <si>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</si>
  <si>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</si>
  <si>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</si>
  <si>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</si>
  <si>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</si>
  <si>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</si>
  <si>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</si>
  <si>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</si>
  <si>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</si>
  <si>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</si>
  <si>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</si>
  <si>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</si>
  <si>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</si>
  <si>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</si>
  <si>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</si>
  <si>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</si>
  <si>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</si>
  <si>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</si>
  <si>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</si>
  <si>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</si>
  <si>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</si>
  <si>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</si>
  <si>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</si>
  <si>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</si>
  <si>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</si>
  <si>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</si>
  <si>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</si>
  <si>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</si>
  <si>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</si>
  <si>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</si>
  <si>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</si>
  <si>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</si>
  <si>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</si>
  <si>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</si>
  <si>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</si>
  <si>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</si>
  <si>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</si>
  <si>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</si>
  <si>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</si>
  <si>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</si>
  <si>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</si>
  <si>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</si>
  <si>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</si>
  <si>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</si>
  <si>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</si>
  <si>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</si>
  <si>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</si>
  <si>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</si>
  <si>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</si>
  <si>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</si>
  <si>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</si>
  <si>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</si>
  <si>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</si>
  <si>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</si>
  <si>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</si>
  <si>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</si>
  <si>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</si>
  <si>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</si>
  <si>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</si>
  <si>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</si>
  <si>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</si>
  <si>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</si>
  <si>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</si>
  <si>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</si>
  <si>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</si>
  <si>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</si>
  <si>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</si>
  <si>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</si>
  <si>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</si>
  <si>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</si>
  <si>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</si>
  <si>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</si>
  <si>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</si>
  <si>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</si>
  <si>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</si>
  <si>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</si>
  <si>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</si>
  <si>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</si>
  <si>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</si>
  <si>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</si>
  <si>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</si>
  <si>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</si>
  <si>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</si>
  <si>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</si>
  <si>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</si>
  <si>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</si>
  <si>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</si>
  <si>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</si>
  <si>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</si>
  <si>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</si>
  <si>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</si>
  <si>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</si>
  <si>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</si>
  <si>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</si>
  <si>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</si>
  <si>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</si>
  <si>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</si>
  <si>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</si>
  <si>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</si>
  <si>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</si>
  <si>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</si>
  <si>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</si>
  <si>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</si>
  <si>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</si>
  <si>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</si>
  <si>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</si>
  <si>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</si>
  <si>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</si>
  <si>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</si>
  <si>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</si>
  <si>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</si>
  <si>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</si>
  <si>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</si>
  <si>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</si>
  <si>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</si>
  <si>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</si>
  <si>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</si>
  <si>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</si>
  <si>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</si>
  <si>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</si>
  <si>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</si>
  <si>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</si>
  <si>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</si>
  <si>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</si>
  <si>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</si>
  <si>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</si>
  <si>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</si>
  <si>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</si>
  <si>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</si>
  <si>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</si>
  <si>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</si>
  <si>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</si>
  <si>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</si>
  <si>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</si>
  <si>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</si>
  <si>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</si>
  <si>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</si>
  <si>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</si>
  <si>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</si>
  <si>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</si>
  <si>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</si>
  <si>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</si>
  <si>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</si>
  <si>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</si>
  <si>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</si>
  <si>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</si>
  <si>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</si>
  <si>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</si>
  <si>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</si>
  <si>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</si>
  <si>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</si>
  <si>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</si>
  <si>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</si>
  <si>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</si>
  <si>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</si>
  <si>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</si>
  <si>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</si>
  <si>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</si>
  <si>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</si>
  <si>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</si>
  <si>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</si>
  <si>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</si>
  <si>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</si>
  <si>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</si>
  <si>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</si>
  <si>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</si>
  <si>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</si>
  <si>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</si>
  <si>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</si>
  <si>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</si>
  <si>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</si>
  <si>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</si>
  <si>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</si>
  <si>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</si>
  <si>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</si>
  <si>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</si>
  <si>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</si>
  <si>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</si>
  <si>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</si>
  <si>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</si>
  <si>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</si>
  <si>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</si>
  <si>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</si>
  <si>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</si>
  <si>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</si>
  <si>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</si>
  <si>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</si>
  <si>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</si>
  <si>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</si>
  <si>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</si>
  <si>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</si>
  <si>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</si>
  <si>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</si>
  <si>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</si>
  <si>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</si>
  <si>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</si>
  <si>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</si>
  <si>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</si>
  <si>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</si>
  <si>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</si>
  <si>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</si>
  <si>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</si>
  <si>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</si>
  <si>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</si>
  <si>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</si>
  <si>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</si>
  <si>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</si>
  <si>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</si>
  <si>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</si>
  <si>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</si>
  <si>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</si>
  <si>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</si>
  <si>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</si>
  <si>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</si>
  <si>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</si>
  <si>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</si>
  <si>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</si>
  <si>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</si>
  <si>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</si>
  <si>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</si>
  <si>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</si>
  <si>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</si>
  <si>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</si>
  <si>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</si>
  <si>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</si>
  <si>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</si>
  <si>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</si>
  <si>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</si>
  <si>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</si>
  <si>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</si>
  <si>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</si>
  <si>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</si>
  <si>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</si>
  <si>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</si>
  <si>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</si>
  <si>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</si>
  <si>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</si>
  <si>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</si>
  <si>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</si>
  <si>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</si>
  <si>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</si>
  <si>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</si>
  <si>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</si>
  <si>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</si>
  <si>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</si>
  <si>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</si>
  <si>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</si>
  <si>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</si>
  <si>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</si>
  <si>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</si>
  <si>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</si>
  <si>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</si>
  <si>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</si>
  <si>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</si>
  <si>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</si>
  <si>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</si>
  <si>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</si>
  <si>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</si>
  <si>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</si>
  <si>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</si>
  <si>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</si>
  <si>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</si>
  <si>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</si>
  <si>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</si>
  <si>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</si>
  <si>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</si>
  <si>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</si>
  <si>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</si>
  <si>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</si>
  <si>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</si>
  <si>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</si>
  <si>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</si>
  <si>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</si>
  <si>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</si>
  <si>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</si>
  <si>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</si>
  <si>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</si>
  <si>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</si>
  <si>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</si>
  <si>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</si>
  <si>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</si>
  <si>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</si>
  <si>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</si>
  <si>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</si>
  <si>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</si>
  <si>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</si>
  <si>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</si>
  <si>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</si>
  <si>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</si>
  <si>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</si>
  <si>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</si>
  <si>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</si>
  <si>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</si>
  <si>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</si>
  <si>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</si>
  <si>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</si>
  <si>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</si>
  <si>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</si>
  <si>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</si>
  <si>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</si>
  <si>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</si>
  <si>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</si>
  <si>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</si>
  <si>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</si>
  <si>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</si>
  <si>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</si>
  <si>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</si>
  <si>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</si>
  <si>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</si>
  <si>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</si>
  <si>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</si>
  <si>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</si>
  <si>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</si>
  <si>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</si>
  <si>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</si>
  <si>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</si>
  <si>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</si>
  <si>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</si>
  <si>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</si>
  <si>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</si>
  <si>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</si>
  <si>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</si>
  <si>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</si>
  <si>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</si>
  <si>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</si>
  <si>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</si>
  <si>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</si>
  <si>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</si>
  <si>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</si>
  <si>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</si>
  <si>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</si>
  <si>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</si>
  <si>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</si>
  <si>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</si>
  <si>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</si>
  <si>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</si>
  <si>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</si>
  <si>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</si>
  <si>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</si>
  <si>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</si>
  <si>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</si>
  <si>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</si>
  <si>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</si>
  <si>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</si>
  <si>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</si>
  <si>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</si>
  <si>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</si>
  <si>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</si>
  <si>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</si>
  <si>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</si>
  <si>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</si>
  <si>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</si>
  <si>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</si>
  <si>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</si>
  <si>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</si>
  <si>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</si>
  <si>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</si>
  <si>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</si>
  <si>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</si>
  <si>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</si>
  <si>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</si>
  <si>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</si>
  <si>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</si>
  <si>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</si>
  <si>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</si>
  <si>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</si>
  <si>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</si>
  <si>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</si>
  <si>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</si>
  <si>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</si>
  <si>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</si>
  <si>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</si>
  <si>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</si>
  <si>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</si>
  <si>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</si>
  <si>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</si>
  <si>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</si>
  <si>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</si>
  <si>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</si>
  <si>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</si>
  <si>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</si>
  <si>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</si>
  <si>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</si>
  <si>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</si>
  <si>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</si>
  <si>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</si>
  <si>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</si>
  <si>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</si>
  <si>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</si>
  <si>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</si>
  <si>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</si>
  <si>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</si>
  <si>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</si>
  <si>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</si>
  <si>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</si>
  <si>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</si>
  <si>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</si>
  <si>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</si>
  <si>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</si>
  <si>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</si>
  <si>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</si>
  <si>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</si>
  <si>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</si>
  <si>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</si>
  <si>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</si>
  <si>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</si>
  <si>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</si>
  <si>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</si>
  <si>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</si>
  <si>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</si>
  <si>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</si>
  <si>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</si>
  <si>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</si>
  <si>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</si>
  <si>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</si>
  <si>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</si>
  <si>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</si>
  <si>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</si>
  <si>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</si>
  <si>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</si>
  <si>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</si>
  <si>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</si>
  <si>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</si>
  <si>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</si>
  <si>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</si>
  <si>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</si>
  <si>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</si>
  <si>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</si>
  <si>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</si>
  <si>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</si>
  <si>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</si>
  <si>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</si>
  <si>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</si>
  <si>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</si>
  <si>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</si>
  <si>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</si>
  <si>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</si>
  <si>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</si>
  <si>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</si>
  <si>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</si>
  <si>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</si>
  <si>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</si>
  <si>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</si>
  <si>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</si>
  <si>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</si>
  <si>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</si>
  <si>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</si>
  <si>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</si>
  <si>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</si>
  <si>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</si>
  <si>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</si>
  <si>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</si>
  <si>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</si>
  <si>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</si>
  <si>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</si>
  <si>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</si>
  <si>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</si>
  <si>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</si>
  <si>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</si>
  <si>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</si>
  <si>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</si>
  <si>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</si>
  <si>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</si>
  <si>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</si>
  <si>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</si>
  <si>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</si>
  <si>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</si>
  <si>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</si>
  <si>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</si>
  <si>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</si>
  <si>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</si>
  <si>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</si>
  <si>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</si>
  <si>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</si>
  <si>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</si>
  <si>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</si>
  <si>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</si>
  <si>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</si>
  <si>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</si>
  <si>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</si>
  <si>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</si>
  <si>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</si>
  <si>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</si>
  <si>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</si>
  <si>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</si>
  <si>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</si>
  <si>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</si>
  <si>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</si>
  <si>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</si>
  <si>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</si>
  <si>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</si>
  <si>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</si>
  <si>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</si>
  <si>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</si>
  <si>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</si>
  <si>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</si>
  <si>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</si>
  <si>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</si>
  <si>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</si>
  <si>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</si>
  <si>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</si>
  <si>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</si>
  <si>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</si>
  <si>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</si>
  <si>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</si>
  <si>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</si>
  <si>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</si>
  <si>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</si>
  <si>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</si>
  <si>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</si>
  <si>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</si>
  <si>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</si>
  <si>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</si>
  <si>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</si>
  <si>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</si>
  <si>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</si>
  <si>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</si>
  <si>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</si>
  <si>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</si>
  <si>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</si>
  <si>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</si>
  <si>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</si>
  <si>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</si>
  <si>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</si>
  <si>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</si>
  <si>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</si>
  <si>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</si>
  <si>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</si>
  <si>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</si>
  <si>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</si>
  <si>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</si>
  <si>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</si>
  <si>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</si>
  <si>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</si>
  <si>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</si>
  <si>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</si>
  <si>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</si>
  <si>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</si>
  <si>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</si>
  <si>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</si>
  <si>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</si>
  <si>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</si>
  <si>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</si>
  <si>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</si>
  <si>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</si>
  <si>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</si>
  <si>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</si>
  <si>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</si>
  <si>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</si>
  <si>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</si>
  <si>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</si>
  <si>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</si>
  <si>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</si>
  <si>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</si>
  <si>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</si>
  <si>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</si>
  <si>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</si>
  <si>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</si>
  <si>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</si>
  <si>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</si>
  <si>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</si>
  <si>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</si>
  <si>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</si>
  <si>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</si>
  <si>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</si>
  <si>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</si>
  <si>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</si>
  <si>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</si>
  <si>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</si>
  <si>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</si>
  <si>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</si>
  <si>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</si>
  <si>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</si>
  <si>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</si>
  <si>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</si>
  <si>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</si>
  <si>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</si>
  <si>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</si>
  <si>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</si>
  <si>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</si>
  <si>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</si>
  <si>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</si>
  <si>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</si>
  <si>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</si>
  <si>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</si>
  <si>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</si>
  <si>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</si>
  <si>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</si>
  <si>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</si>
  <si>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</si>
  <si>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</si>
  <si>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</si>
  <si>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</si>
  <si>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</si>
  <si>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</si>
  <si>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</si>
  <si>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</si>
  <si>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</si>
  <si>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</si>
  <si>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</si>
  <si>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</si>
  <si>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</si>
  <si>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</si>
  <si>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</si>
  <si>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</si>
  <si>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</si>
  <si>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</si>
  <si>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</si>
  <si>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</si>
  <si>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</si>
  <si>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</si>
  <si>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</si>
  <si>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</si>
  <si>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</si>
  <si>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</si>
  <si>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</si>
  <si>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</si>
  <si>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</si>
  <si>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</si>
  <si>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</si>
  <si>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</si>
  <si>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</si>
  <si>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</si>
  <si>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</si>
  <si>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</si>
  <si>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</si>
  <si>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</si>
  <si>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</si>
  <si>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</si>
  <si>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</si>
  <si>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</si>
  <si>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</si>
  <si>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</si>
  <si>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</si>
  <si>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</si>
  <si>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</si>
  <si>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</si>
  <si>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</si>
  <si>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</si>
  <si>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</si>
  <si>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</si>
  <si>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</si>
  <si>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</si>
  <si>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</si>
  <si>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</si>
  <si>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</si>
  <si>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</si>
  <si>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</si>
  <si>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</si>
  <si>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</si>
  <si>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</si>
  <si>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</si>
  <si>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</si>
  <si>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</si>
  <si>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</si>
  <si>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</si>
  <si>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</si>
  <si>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</si>
  <si>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</si>
  <si>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</si>
  <si>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</si>
  <si>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</si>
  <si>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</si>
  <si>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</si>
  <si>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</si>
  <si>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</si>
  <si>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</si>
  <si>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</si>
  <si>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</si>
  <si>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</si>
  <si>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</si>
  <si>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</si>
  <si>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</si>
  <si>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</si>
  <si>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</si>
  <si>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</si>
  <si>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</si>
  <si>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</si>
  <si>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</si>
  <si>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</si>
  <si>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</si>
  <si>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</si>
  <si>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</si>
  <si>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</si>
  <si>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</si>
  <si>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</si>
  <si>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</si>
  <si>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</si>
  <si>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</si>
  <si>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</si>
  <si>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</si>
  <si>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</si>
  <si>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</si>
  <si>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</si>
  <si>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</si>
  <si>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</si>
  <si>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</si>
  <si>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</si>
  <si>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</si>
  <si>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</si>
  <si>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</si>
  <si>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</si>
  <si>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</si>
  <si>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</si>
  <si>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</si>
  <si>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</si>
  <si>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</si>
  <si>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</si>
  <si>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</si>
  <si>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</si>
  <si>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</si>
  <si>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</si>
  <si>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</si>
  <si>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</si>
  <si>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</si>
  <si>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</si>
  <si>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</si>
  <si>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</si>
  <si>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</si>
  <si>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</si>
  <si>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</si>
  <si>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</si>
  <si>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</si>
  <si>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</si>
  <si>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</si>
  <si>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</si>
  <si>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</si>
  <si>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</si>
  <si>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</si>
  <si>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</si>
  <si>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</si>
  <si>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</si>
  <si>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</si>
  <si>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</si>
  <si>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</si>
  <si>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</si>
  <si>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</si>
  <si>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</si>
  <si>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</si>
  <si>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</si>
  <si>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</si>
  <si>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</si>
  <si>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</si>
  <si>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</si>
  <si>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</si>
  <si>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</si>
  <si>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</si>
  <si>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</si>
  <si>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</si>
  <si>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</si>
  <si>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</si>
  <si>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</si>
  <si>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</si>
  <si>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</si>
  <si>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</si>
  <si>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</si>
  <si>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</si>
  <si>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</si>
  <si>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</si>
  <si>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</si>
  <si>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</si>
  <si>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</si>
  <si>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</si>
  <si>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</si>
  <si>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</si>
  <si>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</si>
  <si>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</si>
  <si>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</si>
  <si>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</si>
  <si>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</si>
  <si>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</si>
  <si>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</si>
  <si>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</si>
  <si>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</si>
  <si>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</si>
  <si>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</si>
  <si>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</si>
  <si>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</si>
  <si>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</si>
  <si>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</si>
  <si>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</si>
  <si>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</si>
  <si>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</si>
  <si>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</si>
  <si>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</si>
  <si>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</si>
  <si>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</si>
  <si>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</si>
  <si>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</si>
  <si>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</si>
  <si>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</si>
  <si>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</si>
  <si>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</si>
  <si>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</si>
  <si>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</si>
  <si>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</si>
  <si>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</si>
  <si>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</si>
  <si>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</si>
  <si>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</si>
  <si>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</si>
  <si>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</si>
  <si>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</si>
  <si>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</si>
  <si>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</si>
  <si>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</si>
  <si>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</si>
  <si>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</si>
  <si>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</si>
  <si>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</si>
  <si>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</si>
  <si>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</si>
  <si>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</si>
  <si>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</si>
  <si>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</si>
  <si>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</si>
  <si>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</si>
  <si>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</si>
  <si>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</si>
  <si>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</si>
  <si>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</si>
  <si>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</si>
  <si>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</si>
  <si>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</si>
  <si>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</si>
  <si>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</si>
  <si>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</si>
  <si>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</si>
  <si>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</si>
  <si>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</si>
  <si>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</si>
  <si>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</si>
  <si>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</si>
  <si>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</si>
  <si>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</si>
  <si>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</si>
  <si>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</si>
  <si>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</si>
  <si>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</si>
  <si>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</si>
  <si>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</si>
  <si>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</si>
  <si>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</si>
  <si>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</si>
  <si>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</si>
  <si>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</si>
  <si>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</si>
  <si>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</si>
  <si>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</si>
  <si>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</si>
  <si>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</si>
  <si>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</si>
  <si>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</si>
  <si>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</si>
  <si>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</si>
  <si>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</si>
  <si>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</si>
  <si>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</si>
  <si>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</si>
  <si>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</si>
  <si>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</si>
  <si>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</si>
  <si>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</si>
  <si>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</si>
  <si>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</si>
  <si>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</si>
  <si>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</si>
  <si>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</si>
  <si>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</si>
  <si>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</si>
  <si>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</si>
  <si>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</si>
  <si>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</si>
  <si>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</si>
  <si>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</si>
  <si>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</si>
  <si>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</si>
  <si>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</si>
  <si>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</si>
  <si>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</si>
  <si>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</si>
  <si>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</si>
  <si>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</si>
  <si>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</si>
  <si>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</si>
  <si>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</si>
  <si>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</si>
  <si>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</si>
  <si>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</si>
  <si>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</si>
  <si>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</si>
  <si>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</si>
  <si>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</si>
  <si>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</si>
  <si>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</si>
  <si>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</si>
  <si>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</si>
  <si>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</si>
  <si>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</si>
  <si>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</si>
  <si>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</si>
  <si>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</si>
  <si>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</si>
  <si>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</si>
  <si>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</si>
  <si>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</si>
  <si>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</si>
  <si>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</si>
  <si>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</si>
  <si>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</si>
  <si>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</si>
  <si>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</si>
  <si>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</si>
  <si>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</si>
  <si>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</si>
  <si>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</si>
  <si>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</si>
  <si>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</si>
  <si>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</si>
  <si>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</si>
  <si>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</si>
  <si>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</si>
  <si>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</si>
  <si>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</si>
  <si>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</si>
  <si>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</si>
  <si>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</si>
  <si>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</si>
  <si>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</si>
  <si>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</si>
  <si>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</si>
  <si>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</si>
  <si>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</si>
  <si>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</si>
  <si>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</si>
  <si>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</si>
  <si>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</si>
  <si>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</si>
  <si>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</si>
  <si>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</si>
  <si>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</si>
  <si>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</si>
  <si>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</si>
  <si>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</si>
  <si>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</si>
  <si>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</si>
  <si>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</si>
  <si>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</si>
  <si>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</si>
  <si>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</si>
  <si>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</si>
  <si>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</si>
  <si>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</si>
  <si>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</si>
  <si>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</si>
  <si>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</si>
  <si>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</si>
  <si>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</si>
  <si>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</si>
  <si>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</si>
  <si>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</si>
  <si>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</si>
  <si>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</si>
  <si>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</si>
  <si>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</si>
  <si>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</si>
  <si>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</si>
  <si>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</si>
  <si>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</si>
  <si>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</si>
  <si>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</si>
  <si>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</si>
  <si>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</si>
  <si>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</si>
  <si>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</si>
  <si>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</si>
  <si>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</si>
  <si>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</si>
  <si>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</si>
  <si>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</si>
  <si>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</si>
  <si>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</si>
  <si>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</si>
  <si>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</si>
  <si>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</si>
  <si>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</si>
  <si>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</si>
  <si>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</si>
  <si>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</si>
  <si>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</si>
  <si>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</si>
  <si>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</si>
  <si>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</si>
  <si>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</si>
  <si>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</si>
  <si>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</si>
  <si>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</si>
  <si>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</si>
  <si>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</si>
  <si>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</si>
  <si>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</si>
  <si>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</si>
  <si>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</si>
  <si>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</si>
  <si>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</si>
  <si>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</si>
  <si>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</si>
  <si>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</si>
  <si>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</si>
  <si>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</si>
  <si>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</si>
  <si>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</si>
  <si>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</si>
  <si>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</si>
  <si>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</si>
  <si>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</si>
  <si>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</si>
  <si>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</si>
  <si>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</si>
  <si>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</si>
  <si>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</si>
  <si>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</si>
  <si>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</si>
  <si>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</si>
  <si>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</si>
  <si>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</si>
  <si>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</si>
  <si>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</si>
  <si>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</si>
  <si>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</si>
  <si>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</si>
  <si>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</si>
  <si>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</si>
  <si>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</si>
  <si>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</si>
  <si>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</si>
  <si>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</si>
  <si>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</si>
  <si>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</si>
  <si>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</si>
  <si>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</si>
  <si>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</si>
  <si>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</si>
  <si>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</si>
  <si>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</si>
  <si>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</si>
  <si>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</si>
  <si>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</si>
  <si>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</si>
  <si>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</si>
  <si>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</si>
  <si>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</si>
  <si>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</si>
  <si>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</si>
  <si>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</si>
  <si>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</si>
  <si>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</si>
  <si>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</si>
  <si>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</si>
  <si>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</si>
  <si>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</si>
  <si>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</si>
  <si>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</si>
  <si>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</si>
  <si>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</si>
  <si>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</si>
  <si>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</si>
  <si>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</si>
  <si>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</si>
  <si>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</si>
  <si>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</si>
  <si>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</si>
  <si>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</si>
  <si>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</si>
  <si>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</si>
  <si>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</si>
  <si>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</si>
  <si>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</si>
  <si>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</si>
  <si>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</si>
  <si>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</si>
  <si>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</si>
  <si>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</si>
  <si>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</si>
  <si>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</si>
  <si>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</si>
  <si>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</si>
  <si>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</si>
  <si>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</si>
  <si>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</si>
  <si>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</si>
  <si>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</si>
  <si>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</si>
  <si>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</si>
  <si>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</si>
  <si>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</si>
  <si>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</si>
  <si>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</si>
  <si>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</si>
  <si>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</si>
  <si>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</si>
  <si>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</si>
  <si>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</si>
  <si>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</si>
  <si>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</si>
  <si>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</si>
  <si>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</si>
  <si>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</si>
  <si>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</si>
  <si>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</si>
  <si>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</si>
  <si>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</si>
  <si>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</si>
  <si>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</si>
  <si>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</si>
  <si>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</si>
  <si>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</si>
  <si>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</si>
  <si>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</si>
  <si>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</si>
  <si>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</si>
  <si>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</si>
  <si>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</si>
  <si>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</si>
  <si>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</si>
  <si>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</si>
  <si>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</si>
  <si>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</si>
  <si>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</si>
  <si>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</si>
  <si>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</si>
  <si>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</si>
  <si>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</si>
  <si>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</si>
  <si>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</si>
  <si>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</si>
  <si>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</si>
  <si>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</si>
  <si>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</si>
  <si>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</si>
  <si>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</si>
  <si>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</si>
  <si>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</si>
  <si>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</si>
  <si>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</si>
  <si>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</si>
  <si>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</si>
  <si>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</si>
  <si>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</si>
  <si>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</si>
  <si>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</si>
  <si>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</si>
  <si>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</si>
  <si>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</si>
  <si>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</si>
  <si>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</si>
  <si>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</si>
  <si>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</si>
  <si>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</si>
  <si>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</si>
  <si>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</si>
  <si>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</si>
  <si>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</si>
  <si>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</si>
  <si>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</si>
  <si>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</si>
  <si>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</si>
  <si>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</si>
  <si>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</si>
  <si>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</si>
  <si>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</si>
  <si>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</si>
  <si>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</si>
  <si>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</si>
  <si>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</si>
  <si>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</si>
  <si>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</si>
  <si>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</si>
  <si>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</si>
  <si>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</si>
  <si>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</si>
  <si>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</si>
  <si>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</si>
  <si>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</si>
  <si>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</si>
  <si>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</si>
  <si>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</si>
  <si>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</si>
  <si>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</si>
  <si>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</si>
  <si>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</si>
  <si>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</si>
  <si>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</si>
  <si>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</si>
  <si>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</si>
  <si>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</si>
  <si>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</si>
  <si>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</si>
  <si>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</si>
  <si>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</si>
  <si>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</si>
  <si>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</si>
  <si>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</si>
  <si>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</si>
  <si>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</si>
  <si>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</si>
  <si>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</si>
  <si>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</si>
  <si>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</si>
  <si>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</si>
  <si>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</si>
  <si>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</si>
  <si>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</si>
  <si>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</si>
  <si>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</si>
  <si>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</si>
  <si>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</si>
  <si>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</si>
  <si>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</si>
  <si>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</si>
  <si>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</si>
  <si>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</si>
  <si>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</si>
  <si>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</si>
  <si>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</si>
  <si>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</si>
  <si>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</si>
  <si>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</si>
  <si>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</si>
  <si>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</si>
  <si>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</si>
  <si>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</si>
  <si>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</si>
  <si>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</si>
  <si>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</si>
  <si>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</si>
  <si>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</si>
  <si>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</si>
  <si>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</si>
  <si>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</si>
  <si>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</si>
  <si>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</si>
  <si>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</si>
  <si>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</si>
  <si>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</si>
  <si>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</si>
  <si>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</si>
  <si>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</si>
  <si>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</si>
  <si>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</si>
  <si>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</si>
  <si>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</si>
  <si>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</si>
  <si>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</si>
  <si>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</si>
  <si>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</si>
  <si>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</si>
  <si>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</si>
  <si>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</si>
  <si>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</si>
  <si>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</si>
  <si>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</si>
  <si>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</si>
  <si>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</si>
  <si>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</si>
  <si>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</si>
  <si>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</si>
  <si>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</si>
  <si>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</si>
  <si>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</si>
  <si>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</si>
  <si>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</si>
  <si>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</si>
  <si>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</si>
  <si>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</si>
  <si>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</si>
  <si>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</si>
  <si>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</si>
  <si>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</si>
  <si>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</si>
  <si>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</si>
  <si>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</si>
  <si>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</si>
  <si>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</si>
  <si>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</si>
  <si>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</si>
  <si>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</si>
  <si>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</si>
  <si>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</si>
  <si>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</si>
  <si>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</si>
  <si>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</si>
  <si>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</si>
  <si>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</si>
  <si>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</si>
  <si>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</si>
  <si>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</si>
  <si>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</si>
  <si>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</si>
  <si>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</si>
  <si>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</si>
  <si>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</si>
  <si>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</si>
  <si>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</si>
  <si>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</si>
  <si>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</si>
  <si>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</si>
  <si>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</si>
  <si>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</si>
  <si>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</si>
  <si>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</si>
  <si>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</si>
  <si>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</si>
  <si>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</si>
  <si>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</si>
  <si>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</si>
  <si>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</si>
  <si>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</si>
  <si>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</si>
  <si>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</si>
  <si>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</si>
  <si>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</si>
  <si>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</si>
  <si>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</si>
  <si>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</si>
  <si>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</si>
  <si>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</si>
  <si>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</si>
  <si>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</si>
  <si>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</si>
  <si>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</si>
  <si>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</si>
  <si>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</si>
  <si>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</si>
  <si>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</si>
  <si>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</si>
  <si>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</si>
  <si>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</si>
  <si>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</si>
  <si>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</si>
  <si>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</si>
  <si>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</si>
  <si>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</si>
  <si>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</si>
  <si>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</si>
  <si>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</si>
  <si>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</si>
  <si>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</si>
  <si>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</si>
  <si>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</si>
  <si>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</si>
  <si>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</si>
  <si>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</si>
  <si>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</si>
  <si>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</si>
  <si>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</si>
  <si>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</si>
  <si>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</si>
  <si>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</si>
  <si>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</si>
  <si>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</si>
  <si>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</si>
  <si>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</si>
  <si>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</si>
  <si>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</si>
  <si>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</si>
  <si>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</si>
  <si>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</si>
  <si>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</si>
  <si>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</si>
  <si>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</si>
  <si>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</si>
  <si>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</si>
  <si>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</si>
  <si>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</si>
  <si>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</si>
  <si>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</si>
  <si>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</si>
  <si>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</si>
  <si>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</si>
  <si>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</si>
  <si>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</si>
  <si>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</si>
  <si>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</si>
  <si>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</si>
  <si>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</si>
  <si>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</si>
  <si>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</si>
  <si>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</si>
  <si>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</si>
  <si>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</si>
  <si>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</si>
  <si>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</si>
  <si>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</si>
  <si>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</si>
  <si>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</si>
  <si>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</si>
  <si>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</si>
  <si>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</si>
  <si>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</si>
  <si>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</si>
  <si>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</si>
  <si>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</si>
  <si>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</si>
  <si>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</si>
  <si>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</si>
  <si>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</si>
  <si>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</si>
  <si>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</si>
  <si>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</si>
  <si>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</si>
  <si>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</si>
  <si>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</si>
  <si>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</si>
  <si>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</si>
  <si>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</si>
  <si>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</si>
  <si>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</si>
  <si>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</si>
  <si>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</si>
  <si>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</si>
  <si>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</si>
  <si>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</si>
  <si>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</si>
  <si>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</si>
  <si>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</si>
  <si>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</si>
  <si>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</si>
  <si>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</si>
  <si>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</si>
  <si>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</si>
  <si>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</si>
  <si>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</si>
  <si>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</si>
  <si>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</si>
  <si>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</si>
  <si>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</si>
  <si>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</si>
  <si>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</si>
  <si>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</si>
  <si>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</si>
  <si>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</si>
  <si>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</si>
  <si>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</si>
  <si>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</si>
  <si>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</si>
  <si>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</si>
  <si>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</si>
  <si>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</si>
  <si>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</si>
  <si>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</si>
  <si>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</si>
  <si>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</si>
  <si>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</si>
  <si>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</si>
  <si>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</si>
  <si>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</si>
  <si>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</si>
  <si>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</si>
  <si>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</si>
  <si>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</si>
  <si>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</si>
  <si>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</si>
  <si>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</si>
  <si>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</si>
  <si>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</si>
  <si>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</si>
  <si>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</si>
  <si>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</si>
  <si>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</si>
  <si>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</si>
  <si>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</si>
  <si>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</si>
  <si>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</si>
  <si>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</si>
  <si>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</si>
  <si>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</si>
  <si>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</si>
  <si>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</si>
  <si>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</si>
  <si>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</si>
  <si>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</si>
  <si>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</si>
  <si>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</si>
  <si>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</si>
  <si>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</si>
  <si>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</si>
  <si>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</si>
  <si>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</si>
  <si>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</si>
  <si>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</si>
  <si>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</si>
  <si>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</si>
  <si>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</si>
  <si>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</si>
  <si>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</si>
  <si>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</si>
  <si>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</si>
  <si>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</si>
  <si>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</si>
  <si>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</si>
  <si>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</si>
  <si>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</si>
  <si>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</si>
  <si>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</si>
  <si>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</si>
  <si>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</si>
  <si>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</si>
  <si>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</si>
  <si>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</si>
  <si>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</si>
  <si>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</si>
  <si>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</si>
  <si>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</si>
  <si>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</si>
  <si>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</si>
  <si>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</si>
  <si>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</si>
  <si>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</si>
  <si>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</si>
  <si>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</si>
  <si>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</si>
  <si>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</si>
  <si>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</si>
  <si>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</si>
  <si>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</si>
  <si>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</si>
  <si>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</si>
  <si>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</si>
  <si>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</si>
  <si>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</si>
  <si>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</si>
  <si>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</si>
  <si>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</si>
  <si>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</si>
  <si>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</si>
  <si>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</si>
  <si>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</si>
  <si>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</si>
  <si>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</si>
  <si>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</si>
  <si>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</si>
  <si>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</si>
  <si>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</si>
  <si>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</si>
  <si>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</si>
  <si>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</si>
  <si>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</si>
  <si>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</si>
  <si>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</si>
  <si>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</si>
  <si>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</si>
  <si>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</si>
  <si>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</si>
  <si>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</si>
  <si>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</si>
  <si>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</si>
  <si>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</si>
  <si>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</si>
  <si>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</si>
  <si>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</si>
  <si>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</si>
  <si>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</si>
  <si>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</si>
  <si>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</si>
  <si>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</si>
  <si>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</si>
  <si>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</si>
  <si>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</si>
  <si>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</si>
  <si>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</si>
  <si>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</si>
  <si>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</si>
  <si>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</si>
  <si>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</si>
  <si>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</si>
  <si>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</si>
  <si>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</si>
  <si>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</si>
  <si>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</si>
  <si>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</si>
  <si>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</si>
  <si>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</si>
  <si>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</si>
  <si>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</si>
  <si>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</si>
  <si>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</si>
  <si>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</si>
  <si>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</si>
  <si>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</si>
  <si>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</si>
  <si>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</si>
  <si>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</si>
  <si>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</si>
  <si>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</si>
  <si>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</si>
  <si>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</si>
  <si>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</si>
  <si>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</si>
  <si>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</si>
  <si>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</si>
  <si>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</si>
  <si>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</si>
  <si>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</si>
  <si>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</si>
  <si>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</si>
  <si>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</si>
  <si>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</si>
  <si>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</si>
  <si>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</si>
  <si>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</si>
  <si>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</si>
  <si>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</si>
  <si>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</si>
  <si>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</si>
  <si>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</si>
  <si>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</si>
  <si>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</si>
  <si>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</si>
  <si>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</si>
  <si>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</si>
  <si>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</si>
  <si>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</si>
  <si>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</si>
  <si>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</si>
  <si>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</si>
  <si>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</si>
  <si>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</si>
  <si>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</si>
  <si>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</si>
  <si>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</si>
  <si>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</si>
  <si>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</si>
  <si>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</si>
  <si>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</si>
  <si>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</si>
  <si>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</si>
  <si>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</si>
  <si>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</si>
  <si>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</si>
  <si>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</si>
  <si>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</si>
  <si>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</si>
  <si>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</si>
  <si>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</si>
  <si>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</si>
  <si>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</si>
  <si>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</si>
  <si>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</si>
  <si>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</si>
  <si>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</si>
  <si>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</si>
  <si>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</si>
  <si>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</si>
  <si>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</si>
  <si>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</si>
  <si>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</si>
  <si>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</si>
  <si>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</si>
  <si>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</si>
  <si>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</si>
  <si>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</si>
  <si>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</si>
  <si>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</si>
  <si>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</si>
  <si>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</si>
  <si>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</si>
  <si>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</si>
  <si>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</si>
  <si>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</si>
  <si>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</si>
  <si>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</si>
  <si>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</si>
  <si>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</si>
  <si>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</si>
  <si>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</si>
  <si>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</si>
  <si>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</si>
  <si>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</si>
  <si>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</si>
  <si>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</si>
  <si>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</si>
  <si>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</si>
  <si>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</si>
  <si>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Ⅷ-平1</t>
  </si>
  <si>
    <t>抵押</t>
  </si>
  <si>
    <t>房地产抵押价值</t>
  </si>
  <si>
    <t>北京市</t>
  </si>
  <si>
    <t>自然人</t>
  </si>
  <si>
    <t>商业</t>
    <phoneticPr fontId="3" type="noConversion"/>
  </si>
  <si>
    <t>否</t>
  </si>
  <si>
    <t>是</t>
  </si>
  <si>
    <t>地上</t>
  </si>
  <si>
    <t>成新度</t>
  </si>
  <si>
    <t>楼层</t>
    <phoneticPr fontId="3" type="noConversion"/>
  </si>
  <si>
    <t>系数</t>
    <phoneticPr fontId="3" type="noConversion"/>
  </si>
  <si>
    <t>租金</t>
    <phoneticPr fontId="3" type="noConversion"/>
  </si>
  <si>
    <t>收益法 (元)</t>
  </si>
  <si>
    <t>押一</t>
  </si>
  <si>
    <t>砖混</t>
  </si>
  <si>
    <t>钢混</t>
  </si>
  <si>
    <t>非生产用房</t>
  </si>
  <si>
    <t>基准地价</t>
  </si>
  <si>
    <t>自定义容积率</t>
  </si>
  <si>
    <t>不临65条商业街</t>
  </si>
  <si>
    <t>与级别开发程度一致</t>
  </si>
  <si>
    <t>楼层修正</t>
  </si>
  <si>
    <t>按公示增长率计算</t>
  </si>
  <si>
    <t>中心城区以外</t>
  </si>
  <si>
    <t>较好</t>
  </si>
  <si>
    <t>一般</t>
  </si>
  <si>
    <t>未包含在土地购买价格中</t>
  </si>
  <si>
    <t>已包含在土地取得成本中</t>
  </si>
  <si>
    <t>成本法 (元)</t>
  </si>
  <si>
    <t>总价</t>
  </si>
  <si>
    <t>成本比率</t>
  </si>
  <si>
    <t>挂牌</t>
  </si>
  <si>
    <t>20-30</t>
  </si>
  <si>
    <t>七通</t>
  </si>
  <si>
    <t>单面临街</t>
  </si>
  <si>
    <t>较大</t>
  </si>
  <si>
    <t>配套商业</t>
  </si>
  <si>
    <t>可餐饮</t>
  </si>
  <si>
    <t>标准层高</t>
  </si>
  <si>
    <t>普通装修</t>
  </si>
  <si>
    <t>不可餐饮</t>
  </si>
  <si>
    <t>国泰百货</t>
  </si>
  <si>
    <t>大兴庄镇商业</t>
  </si>
  <si>
    <t>新平北路商业</t>
  </si>
  <si>
    <t>单套模式</t>
  </si>
  <si>
    <t>售价</t>
  </si>
  <si>
    <t>正常</t>
  </si>
  <si>
    <t>挂牌</t>
    <phoneticPr fontId="30" type="noConversion"/>
  </si>
  <si>
    <t>10-20</t>
  </si>
  <si>
    <t>30-40</t>
  </si>
  <si>
    <t>大</t>
  </si>
  <si>
    <t>较小</t>
  </si>
  <si>
    <t>小</t>
  </si>
  <si>
    <t>1-2层</t>
  </si>
  <si>
    <t>1层</t>
  </si>
  <si>
    <r>
      <rPr>
        <sz val="11"/>
        <color indexed="53"/>
        <rFont val="Arial"/>
        <family val="2"/>
      </rPr>
      <t>1</t>
    </r>
    <r>
      <rPr>
        <sz val="11"/>
        <color indexed="53"/>
        <rFont val="宋体"/>
        <family val="3"/>
        <charset val="134"/>
      </rPr>
      <t>层</t>
    </r>
  </si>
  <si>
    <r>
      <rPr>
        <sz val="11"/>
        <rFont val="Arial"/>
        <family val="2"/>
      </rPr>
      <t>2</t>
    </r>
    <r>
      <rPr>
        <sz val="11"/>
        <rFont val="宋体"/>
        <family val="3"/>
        <charset val="134"/>
      </rPr>
      <t>层</t>
    </r>
  </si>
  <si>
    <r>
      <rPr>
        <sz val="11"/>
        <color indexed="53"/>
        <rFont val="Arial"/>
        <family val="2"/>
      </rPr>
      <t>3</t>
    </r>
    <r>
      <rPr>
        <sz val="11"/>
        <color indexed="53"/>
        <rFont val="宋体"/>
        <family val="3"/>
        <charset val="134"/>
      </rPr>
      <t>层</t>
    </r>
  </si>
  <si>
    <r>
      <rPr>
        <sz val="11"/>
        <rFont val="Arial"/>
        <family val="2"/>
      </rPr>
      <t>1-3</t>
    </r>
    <r>
      <rPr>
        <sz val="11"/>
        <rFont val="宋体"/>
        <family val="3"/>
        <charset val="134"/>
      </rPr>
      <t>层</t>
    </r>
  </si>
  <si>
    <r>
      <rPr>
        <sz val="11"/>
        <color indexed="53"/>
        <rFont val="Arial"/>
        <family val="2"/>
      </rPr>
      <t>1-2</t>
    </r>
    <r>
      <rPr>
        <sz val="11"/>
        <color indexed="53"/>
        <rFont val="宋体"/>
        <family val="3"/>
        <charset val="134"/>
      </rPr>
      <t>层</t>
    </r>
  </si>
  <si>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</si>
  <si>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</si>
  <si>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商业街</t>
  </si>
  <si>
    <t>六通</t>
  </si>
  <si>
    <t>五通</t>
  </si>
  <si>
    <t>精装修</t>
  </si>
  <si>
    <t>简单装修</t>
  </si>
  <si>
    <t>毛坯</t>
  </si>
  <si>
    <t>比较法-商业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</si>
</sst>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0" borderId="1"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0" fontId="77" fillId="12" borderId="0" xfId="0" applyFont="1" applyFill="1" applyProtection="1">
      <alignment vertical="center"/>
      <protection locked="0"/>
    </xf>
    <xf numFmtId="0" fontId="95" fillId="0" borderId="0" xfId="10">
      <alignment vertical="center"/>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06" fillId="6" borderId="54" xfId="0" applyFont="1" applyFill="1" applyBorder="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28314</xdr:colOff>
      <xdr:row>15</xdr:row>
      <xdr:rowOff>123488</xdr:rowOff>
    </xdr:to>
    <xdr:pic>
      <xdr:nvPicPr>
        <xdr:cNvPr id="2" name="图片 1">
          <a:extLst>
            <a:ext uri="{FF2B5EF4-FFF2-40B4-BE49-F238E27FC236}">
              <a16:creationId xmlns:a16="http://schemas.microsoft.com/office/drawing/2014/main" id="{56468EBD-DBDD-DA66-256F-0E9A3A5B1458}"/>
            </a:ext>
          </a:extLst>
        </xdr:cNvPr>
        <xdr:cNvPicPr>
          <a:picLocks noChangeAspect="1"/>
        </xdr:cNvPicPr>
      </xdr:nvPicPr>
      <xdr:blipFill>
        <a:blip xmlns:r="http://schemas.openxmlformats.org/officeDocument/2006/relationships" r:embed="rId1"/>
        <a:stretch>
          <a:fillRect/>
        </a:stretch>
      </xdr:blipFill>
      <xdr:spPr>
        <a:xfrm>
          <a:off x="0" y="0"/>
          <a:ext cx="2085714" cy="2695238"/>
        </a:xfrm>
        <a:prstGeom prst="rect">
          <a:avLst/>
        </a:prstGeom>
      </xdr:spPr>
    </xdr:pic>
    <xdr:clientData/>
  </xdr:twoCellAnchor>
  <xdr:twoCellAnchor editAs="oneCell">
    <xdr:from>
      <xdr:col>3</xdr:col>
      <xdr:colOff>66675</xdr:colOff>
      <xdr:row>0</xdr:row>
      <xdr:rowOff>0</xdr:rowOff>
    </xdr:from>
    <xdr:to>
      <xdr:col>10</xdr:col>
      <xdr:colOff>466075</xdr:colOff>
      <xdr:row>45</xdr:row>
      <xdr:rowOff>94274</xdr:rowOff>
    </xdr:to>
    <xdr:pic>
      <xdr:nvPicPr>
        <xdr:cNvPr id="3" name="图片 2">
          <a:extLst>
            <a:ext uri="{FF2B5EF4-FFF2-40B4-BE49-F238E27FC236}">
              <a16:creationId xmlns:a16="http://schemas.microsoft.com/office/drawing/2014/main" id="{F90CDAD6-29A4-73CC-EA6D-D34390E5860C}"/>
            </a:ext>
          </a:extLst>
        </xdr:cNvPr>
        <xdr:cNvPicPr>
          <a:picLocks noChangeAspect="1"/>
        </xdr:cNvPicPr>
      </xdr:nvPicPr>
      <xdr:blipFill>
        <a:blip xmlns:r="http://schemas.openxmlformats.org/officeDocument/2006/relationships" r:embed="rId2"/>
        <a:stretch>
          <a:fillRect/>
        </a:stretch>
      </xdr:blipFill>
      <xdr:spPr>
        <a:xfrm>
          <a:off x="2124075" y="0"/>
          <a:ext cx="5200000" cy="78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2008</xdr:colOff>
      <xdr:row>26</xdr:row>
      <xdr:rowOff>132370</xdr:rowOff>
    </xdr:to>
    <xdr:pic>
      <xdr:nvPicPr>
        <xdr:cNvPr id="2" name="图片 1">
          <a:extLst>
            <a:ext uri="{FF2B5EF4-FFF2-40B4-BE49-F238E27FC236}">
              <a16:creationId xmlns:a16="http://schemas.microsoft.com/office/drawing/2014/main" id="{3071555E-98AE-4317-9E90-150A0A5BF8B1}"/>
            </a:ext>
          </a:extLst>
        </xdr:cNvPr>
        <xdr:cNvPicPr>
          <a:picLocks noChangeAspect="1"/>
        </xdr:cNvPicPr>
      </xdr:nvPicPr>
      <xdr:blipFill>
        <a:blip xmlns:r="http://schemas.openxmlformats.org/officeDocument/2006/relationships" r:embed="rId1"/>
        <a:stretch>
          <a:fillRect/>
        </a:stretch>
      </xdr:blipFill>
      <xdr:spPr>
        <a:xfrm>
          <a:off x="0" y="0"/>
          <a:ext cx="6860008" cy="4590070"/>
        </a:xfrm>
        <a:prstGeom prst="rect">
          <a:avLst/>
        </a:prstGeom>
      </xdr:spPr>
    </xdr:pic>
    <xdr:clientData/>
  </xdr:twoCellAnchor>
  <xdr:twoCellAnchor editAs="oneCell">
    <xdr:from>
      <xdr:col>0</xdr:col>
      <xdr:colOff>0</xdr:colOff>
      <xdr:row>28</xdr:row>
      <xdr:rowOff>76200</xdr:rowOff>
    </xdr:from>
    <xdr:to>
      <xdr:col>10</xdr:col>
      <xdr:colOff>587911</xdr:colOff>
      <xdr:row>60</xdr:row>
      <xdr:rowOff>104775</xdr:rowOff>
    </xdr:to>
    <xdr:pic>
      <xdr:nvPicPr>
        <xdr:cNvPr id="3" name="图片 2">
          <a:extLst>
            <a:ext uri="{FF2B5EF4-FFF2-40B4-BE49-F238E27FC236}">
              <a16:creationId xmlns:a16="http://schemas.microsoft.com/office/drawing/2014/main" id="{7FE70D53-8173-47FD-8062-2E92A03343E1}"/>
            </a:ext>
          </a:extLst>
        </xdr:cNvPr>
        <xdr:cNvPicPr>
          <a:picLocks noChangeAspect="1"/>
        </xdr:cNvPicPr>
      </xdr:nvPicPr>
      <xdr:blipFill>
        <a:blip xmlns:r="http://schemas.openxmlformats.org/officeDocument/2006/relationships" r:embed="rId2"/>
        <a:stretch>
          <a:fillRect/>
        </a:stretch>
      </xdr:blipFill>
      <xdr:spPr>
        <a:xfrm>
          <a:off x="0" y="4876800"/>
          <a:ext cx="7445911" cy="5514975"/>
        </a:xfrm>
        <a:prstGeom prst="rect">
          <a:avLst/>
        </a:prstGeom>
      </xdr:spPr>
    </xdr:pic>
    <xdr:clientData/>
  </xdr:twoCellAnchor>
  <xdr:twoCellAnchor editAs="oneCell">
    <xdr:from>
      <xdr:col>0</xdr:col>
      <xdr:colOff>0</xdr:colOff>
      <xdr:row>83</xdr:row>
      <xdr:rowOff>0</xdr:rowOff>
    </xdr:from>
    <xdr:to>
      <xdr:col>14</xdr:col>
      <xdr:colOff>313086</xdr:colOff>
      <xdr:row>91</xdr:row>
      <xdr:rowOff>171257</xdr:rowOff>
    </xdr:to>
    <xdr:pic>
      <xdr:nvPicPr>
        <xdr:cNvPr id="4" name="图片 3">
          <a:extLst>
            <a:ext uri="{FF2B5EF4-FFF2-40B4-BE49-F238E27FC236}">
              <a16:creationId xmlns:a16="http://schemas.microsoft.com/office/drawing/2014/main" id="{C183F3FD-8FF7-43AB-BE1F-8D83041E7C29}"/>
            </a:ext>
          </a:extLst>
        </xdr:cNvPr>
        <xdr:cNvPicPr>
          <a:picLocks noChangeAspect="1"/>
        </xdr:cNvPicPr>
      </xdr:nvPicPr>
      <xdr:blipFill>
        <a:blip xmlns:r="http://schemas.openxmlformats.org/officeDocument/2006/relationships" r:embed="rId3"/>
        <a:stretch>
          <a:fillRect/>
        </a:stretch>
      </xdr:blipFill>
      <xdr:spPr>
        <a:xfrm>
          <a:off x="0" y="14230350"/>
          <a:ext cx="9914286" cy="1542857"/>
        </a:xfrm>
        <a:prstGeom prst="rect">
          <a:avLst/>
        </a:prstGeom>
      </xdr:spPr>
    </xdr:pic>
    <xdr:clientData/>
  </xdr:twoCellAnchor>
  <xdr:twoCellAnchor editAs="oneCell">
    <xdr:from>
      <xdr:col>0</xdr:col>
      <xdr:colOff>0</xdr:colOff>
      <xdr:row>91</xdr:row>
      <xdr:rowOff>133350</xdr:rowOff>
    </xdr:from>
    <xdr:to>
      <xdr:col>13</xdr:col>
      <xdr:colOff>646505</xdr:colOff>
      <xdr:row>101</xdr:row>
      <xdr:rowOff>75993</xdr:rowOff>
    </xdr:to>
    <xdr:pic>
      <xdr:nvPicPr>
        <xdr:cNvPr id="5" name="图片 4">
          <a:extLst>
            <a:ext uri="{FF2B5EF4-FFF2-40B4-BE49-F238E27FC236}">
              <a16:creationId xmlns:a16="http://schemas.microsoft.com/office/drawing/2014/main" id="{FB219817-57E5-469C-9331-9F377AA25F84}"/>
            </a:ext>
          </a:extLst>
        </xdr:cNvPr>
        <xdr:cNvPicPr>
          <a:picLocks noChangeAspect="1"/>
        </xdr:cNvPicPr>
      </xdr:nvPicPr>
      <xdr:blipFill>
        <a:blip xmlns:r="http://schemas.openxmlformats.org/officeDocument/2006/relationships" r:embed="rId4"/>
        <a:stretch>
          <a:fillRect/>
        </a:stretch>
      </xdr:blipFill>
      <xdr:spPr>
        <a:xfrm>
          <a:off x="0" y="15735300"/>
          <a:ext cx="9561905" cy="1657143"/>
        </a:xfrm>
        <a:prstGeom prst="rect">
          <a:avLst/>
        </a:prstGeom>
      </xdr:spPr>
    </xdr:pic>
    <xdr:clientData/>
  </xdr:twoCellAnchor>
  <xdr:twoCellAnchor editAs="oneCell">
    <xdr:from>
      <xdr:col>14</xdr:col>
      <xdr:colOff>601876</xdr:colOff>
      <xdr:row>83</xdr:row>
      <xdr:rowOff>152399</xdr:rowOff>
    </xdr:from>
    <xdr:to>
      <xdr:col>23</xdr:col>
      <xdr:colOff>351093</xdr:colOff>
      <xdr:row>110</xdr:row>
      <xdr:rowOff>84698</xdr:rowOff>
    </xdr:to>
    <xdr:pic>
      <xdr:nvPicPr>
        <xdr:cNvPr id="6" name="图片 5">
          <a:extLst>
            <a:ext uri="{FF2B5EF4-FFF2-40B4-BE49-F238E27FC236}">
              <a16:creationId xmlns:a16="http://schemas.microsoft.com/office/drawing/2014/main" id="{D0652D44-F676-4DF2-8929-8920DB19559E}"/>
            </a:ext>
          </a:extLst>
        </xdr:cNvPr>
        <xdr:cNvPicPr>
          <a:picLocks noChangeAspect="1"/>
        </xdr:cNvPicPr>
      </xdr:nvPicPr>
      <xdr:blipFill>
        <a:blip xmlns:r="http://schemas.openxmlformats.org/officeDocument/2006/relationships" r:embed="rId5"/>
        <a:stretch>
          <a:fillRect/>
        </a:stretch>
      </xdr:blipFill>
      <xdr:spPr>
        <a:xfrm>
          <a:off x="10203076" y="14382749"/>
          <a:ext cx="5921417" cy="4561449"/>
        </a:xfrm>
        <a:prstGeom prst="rect">
          <a:avLst/>
        </a:prstGeom>
      </xdr:spPr>
    </xdr:pic>
    <xdr:clientData/>
  </xdr:twoCellAnchor>
  <xdr:twoCellAnchor editAs="oneCell">
    <xdr:from>
      <xdr:col>10</xdr:col>
      <xdr:colOff>228600</xdr:colOff>
      <xdr:row>0</xdr:row>
      <xdr:rowOff>0</xdr:rowOff>
    </xdr:from>
    <xdr:to>
      <xdr:col>22</xdr:col>
      <xdr:colOff>322294</xdr:colOff>
      <xdr:row>23</xdr:row>
      <xdr:rowOff>100484</xdr:rowOff>
    </xdr:to>
    <xdr:pic>
      <xdr:nvPicPr>
        <xdr:cNvPr id="7" name="图片 6">
          <a:extLst>
            <a:ext uri="{FF2B5EF4-FFF2-40B4-BE49-F238E27FC236}">
              <a16:creationId xmlns:a16="http://schemas.microsoft.com/office/drawing/2014/main" id="{DA689B57-4712-4CF4-B5A7-4D014FFDBA8A}"/>
            </a:ext>
          </a:extLst>
        </xdr:cNvPr>
        <xdr:cNvPicPr>
          <a:picLocks noChangeAspect="1"/>
        </xdr:cNvPicPr>
      </xdr:nvPicPr>
      <xdr:blipFill>
        <a:blip xmlns:r="http://schemas.openxmlformats.org/officeDocument/2006/relationships" r:embed="rId6"/>
        <a:stretch>
          <a:fillRect/>
        </a:stretch>
      </xdr:blipFill>
      <xdr:spPr>
        <a:xfrm>
          <a:off x="7086600" y="0"/>
          <a:ext cx="8323294" cy="4043834"/>
        </a:xfrm>
        <a:prstGeom prst="rect">
          <a:avLst/>
        </a:prstGeom>
      </xdr:spPr>
    </xdr:pic>
    <xdr:clientData/>
  </xdr:twoCellAnchor>
  <xdr:twoCellAnchor editAs="oneCell">
    <xdr:from>
      <xdr:col>11</xdr:col>
      <xdr:colOff>180975</xdr:colOff>
      <xdr:row>24</xdr:row>
      <xdr:rowOff>57151</xdr:rowOff>
    </xdr:from>
    <xdr:to>
      <xdr:col>22</xdr:col>
      <xdr:colOff>646549</xdr:colOff>
      <xdr:row>47</xdr:row>
      <xdr:rowOff>72933</xdr:rowOff>
    </xdr:to>
    <xdr:pic>
      <xdr:nvPicPr>
        <xdr:cNvPr id="8" name="图片 7">
          <a:extLst>
            <a:ext uri="{FF2B5EF4-FFF2-40B4-BE49-F238E27FC236}">
              <a16:creationId xmlns:a16="http://schemas.microsoft.com/office/drawing/2014/main" id="{08B0D0B0-008A-4820-A1B4-E9F9EB0373AC}"/>
            </a:ext>
          </a:extLst>
        </xdr:cNvPr>
        <xdr:cNvPicPr>
          <a:picLocks noChangeAspect="1"/>
        </xdr:cNvPicPr>
      </xdr:nvPicPr>
      <xdr:blipFill>
        <a:blip xmlns:r="http://schemas.openxmlformats.org/officeDocument/2006/relationships" r:embed="rId7"/>
        <a:stretch>
          <a:fillRect/>
        </a:stretch>
      </xdr:blipFill>
      <xdr:spPr>
        <a:xfrm>
          <a:off x="7724775" y="4171951"/>
          <a:ext cx="8009374" cy="3959132"/>
        </a:xfrm>
        <a:prstGeom prst="rect">
          <a:avLst/>
        </a:prstGeom>
      </xdr:spPr>
    </xdr:pic>
    <xdr:clientData/>
  </xdr:twoCellAnchor>
  <xdr:twoCellAnchor editAs="oneCell">
    <xdr:from>
      <xdr:col>11</xdr:col>
      <xdr:colOff>571500</xdr:colOff>
      <xdr:row>47</xdr:row>
      <xdr:rowOff>85725</xdr:rowOff>
    </xdr:from>
    <xdr:to>
      <xdr:col>21</xdr:col>
      <xdr:colOff>646833</xdr:colOff>
      <xdr:row>65</xdr:row>
      <xdr:rowOff>85339</xdr:rowOff>
    </xdr:to>
    <xdr:pic>
      <xdr:nvPicPr>
        <xdr:cNvPr id="9" name="图片 8">
          <a:extLst>
            <a:ext uri="{FF2B5EF4-FFF2-40B4-BE49-F238E27FC236}">
              <a16:creationId xmlns:a16="http://schemas.microsoft.com/office/drawing/2014/main" id="{F8855179-89B0-4694-A20F-CAA9E81772EB}"/>
            </a:ext>
          </a:extLst>
        </xdr:cNvPr>
        <xdr:cNvPicPr>
          <a:picLocks noChangeAspect="1"/>
        </xdr:cNvPicPr>
      </xdr:nvPicPr>
      <xdr:blipFill>
        <a:blip xmlns:r="http://schemas.openxmlformats.org/officeDocument/2006/relationships" r:embed="rId8"/>
        <a:stretch>
          <a:fillRect/>
        </a:stretch>
      </xdr:blipFill>
      <xdr:spPr>
        <a:xfrm>
          <a:off x="8115300" y="8143875"/>
          <a:ext cx="6933333" cy="3085714"/>
        </a:xfrm>
        <a:prstGeom prst="rect">
          <a:avLst/>
        </a:prstGeom>
      </xdr:spPr>
    </xdr:pic>
    <xdr:clientData/>
  </xdr:twoCellAnchor>
  <xdr:twoCellAnchor editAs="oneCell">
    <xdr:from>
      <xdr:col>23</xdr:col>
      <xdr:colOff>0</xdr:colOff>
      <xdr:row>25</xdr:row>
      <xdr:rowOff>0</xdr:rowOff>
    </xdr:from>
    <xdr:to>
      <xdr:col>31</xdr:col>
      <xdr:colOff>523124</xdr:colOff>
      <xdr:row>40</xdr:row>
      <xdr:rowOff>123488</xdr:rowOff>
    </xdr:to>
    <xdr:pic>
      <xdr:nvPicPr>
        <xdr:cNvPr id="10" name="图片 9">
          <a:extLst>
            <a:ext uri="{FF2B5EF4-FFF2-40B4-BE49-F238E27FC236}">
              <a16:creationId xmlns:a16="http://schemas.microsoft.com/office/drawing/2014/main" id="{27081329-1B69-4EC2-9055-8B8BD3562BC1}"/>
            </a:ext>
          </a:extLst>
        </xdr:cNvPr>
        <xdr:cNvPicPr>
          <a:picLocks noChangeAspect="1"/>
        </xdr:cNvPicPr>
      </xdr:nvPicPr>
      <xdr:blipFill>
        <a:blip xmlns:r="http://schemas.openxmlformats.org/officeDocument/2006/relationships" r:embed="rId9"/>
        <a:stretch>
          <a:fillRect/>
        </a:stretch>
      </xdr:blipFill>
      <xdr:spPr>
        <a:xfrm>
          <a:off x="15773400" y="4286250"/>
          <a:ext cx="6009524" cy="2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37;&#20316;/2025-1-E000308&#24179;&#35895;&#21306;&#24179;&#35895;&#38215;&#25991;&#21270;&#21271;&#34903;4&#21495;4-1&#21830;&#19994;/&#35745;&#31639;&#34920;-&#24314;&#35774;&#35199;&#34903;20-15-&#19968;&#23457;-&#29579;&#32043;&#29020;20250520-1715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估价对象为北京市房地产，为所有。根据《国有土地使用证》[]，估价对象（分摊）出让国有建设用地使用权面积为0平方米，建筑面积为188.85平方米。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估价对象为北京市房地产,属开发建设的，该项目尚在开发建设中。根据《国有土地使用证》[]，估价对象（分摊）出让国有建设用地使用权面积为0平方米，规划建筑面积为188.85平方米。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2025年9月17日（评估专业人员实地查勘之日）</v>
      </c>
    </row>
    <row r="13" spans="1:2">
      <c r="A13" s="1119" t="s">
        <v>529</v>
      </c>
      <c r="B13" s="1120" t="str">
        <f>'预评函-1'!A18</f>
        <v>本次估价的“房地产价值”是指在正常市场情况下，在价值时点2025年9月17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296</v>
      </c>
    </row>
    <row r="21" spans="1:2">
      <c r="A21" s="1119" t="s">
        <v>537</v>
      </c>
      <c r="B21" s="1120">
        <f ca="1">'预评函-2'!D7</f>
        <v>15674</v>
      </c>
    </row>
    <row r="22" spans="1:2">
      <c r="A22" s="1119" t="s">
        <v>538</v>
      </c>
      <c r="B22" s="1120" t="str">
        <f ca="1">'预评函-2'!D6</f>
        <v>贰佰玖拾陆万元整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296</v>
      </c>
    </row>
    <row r="31" spans="1:2">
      <c r="A31" s="1119" t="s">
        <v>576</v>
      </c>
      <c r="B31" s="1120">
        <f ca="1">'预评函-2'!D15</f>
        <v>15674</v>
      </c>
    </row>
    <row r="32" spans="1:2">
      <c r="A32" s="1119" t="s">
        <v>543</v>
      </c>
      <c r="B32" s="1120" t="str">
        <f ca="1">'预评函-2'!D14</f>
        <v>贰佰玖拾陆万元整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188.85</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203</v>
      </c>
    </row>
    <row r="48" spans="1:2">
      <c r="A48" s="1119" t="s">
        <v>549</v>
      </c>
      <c r="B48" s="1120">
        <f ca="1">'预评函-3'!E4</f>
        <v>10749</v>
      </c>
    </row>
    <row r="49" spans="1:2">
      <c r="A49" s="1119" t="s">
        <v>550</v>
      </c>
      <c r="B49" s="1120" t="str">
        <f ca="1">'预评函-3'!D5</f>
        <v>贰佰零叁万元整</v>
      </c>
    </row>
    <row r="50" spans="1:2">
      <c r="A50" s="1119" t="s">
        <v>574</v>
      </c>
      <c r="B50" s="1120" t="str">
        <f>'预评函-3'!F2</f>
        <v>在建建筑物价值</v>
      </c>
    </row>
    <row r="51" spans="1:2">
      <c r="A51" s="1119" t="s">
        <v>551</v>
      </c>
      <c r="B51" s="1120">
        <f ca="1">'预评函-3'!F4</f>
        <v>93</v>
      </c>
    </row>
    <row r="52" spans="1:2">
      <c r="A52" s="1119" t="s">
        <v>552</v>
      </c>
      <c r="B52" s="1120">
        <f ca="1">'预评函-3'!G4</f>
        <v>4925</v>
      </c>
    </row>
    <row r="53" spans="1:2">
      <c r="A53" s="1119" t="s">
        <v>580</v>
      </c>
      <c r="B53" s="1120" t="str">
        <f ca="1">'预评函-3'!F5</f>
        <v>玖拾叁万元整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3339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3395</v>
      </c>
      <c r="AA1" s="1438" t="s">
        <v>3394</v>
      </c>
      <c r="AB1" s="1438" t="s">
        <v>3</v>
      </c>
    </row>
    <row r="2" spans="1:28">
      <c r="A2" s="1441" t="s">
        <v>19</v>
      </c>
      <c r="B2" s="1441" t="s">
        <v>993</v>
      </c>
      <c r="C2" s="1442" t="s">
        <v>315</v>
      </c>
      <c r="D2" s="1443" t="s">
        <v>994</v>
      </c>
      <c r="E2" s="1443" t="s">
        <v>995</v>
      </c>
      <c r="F2" s="1443" t="s">
        <v>996</v>
      </c>
      <c r="G2" s="1443">
        <v>20</v>
      </c>
      <c r="H2" s="1443" t="s">
        <v>996</v>
      </c>
      <c r="I2" s="1443" t="s">
        <v>3325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2430</v>
      </c>
      <c r="Y2" s="1445" t="s">
        <v>3402</v>
      </c>
      <c r="Z2" s="1445" t="s">
        <v>2443</v>
      </c>
      <c r="AA2" s="1445" t="s">
        <v>3403</v>
      </c>
      <c r="AB2" s="1445" t="s">
        <v>2470</v>
      </c>
    </row>
    <row r="3" spans="1:28">
      <c r="A3" s="1441" t="s">
        <v>1001</v>
      </c>
      <c r="B3" s="1444" t="s">
        <v>448</v>
      </c>
      <c r="C3" s="1442" t="s">
        <v>316</v>
      </c>
      <c r="D3" s="1443" t="s">
        <v>1002</v>
      </c>
      <c r="E3" s="1443" t="s">
        <v>13</v>
      </c>
      <c r="F3" s="1443" t="s">
        <v>1003</v>
      </c>
      <c r="G3" s="1443">
        <v>40</v>
      </c>
      <c r="H3" s="1443" t="s">
        <v>1003</v>
      </c>
      <c r="I3" s="1443" t="s">
        <v>3326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2432</v>
      </c>
      <c r="Z3" s="1445" t="s">
        <v>2445</v>
      </c>
      <c r="AB3" s="1445" t="s">
        <v>2472</v>
      </c>
    </row>
    <row r="4" spans="1:28">
      <c r="A4" s="1441" t="s">
        <v>1008</v>
      </c>
      <c r="B4" s="1441" t="s">
        <v>1009</v>
      </c>
      <c r="C4" s="1442" t="s">
        <v>317</v>
      </c>
      <c r="D4" s="1443" t="s">
        <v>389</v>
      </c>
      <c r="E4" s="1443" t="s">
        <v>1010</v>
      </c>
      <c r="F4" s="1443" t="s">
        <v>1011</v>
      </c>
      <c r="G4" s="1443">
        <v>50</v>
      </c>
      <c r="H4" s="1443" t="s">
        <v>1011</v>
      </c>
      <c r="I4" s="1443" t="s">
        <v>3327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2434</v>
      </c>
      <c r="Z4" s="1445" t="s">
        <v>2447</v>
      </c>
      <c r="AB4" s="1445" t="s">
        <v>2474</v>
      </c>
    </row>
    <row r="5" spans="1:28">
      <c r="A5" s="1441" t="s">
        <v>1014</v>
      </c>
      <c r="B5" s="1441" t="s">
        <v>1015</v>
      </c>
      <c r="C5" s="1442" t="s">
        <v>318</v>
      </c>
      <c r="F5" s="1443" t="s">
        <v>1016</v>
      </c>
      <c r="G5" s="1443">
        <v>70</v>
      </c>
      <c r="H5" s="1443" t="s">
        <v>1017</v>
      </c>
      <c r="I5" s="1443" t="s">
        <v>3328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2436</v>
      </c>
      <c r="Z5" s="1445" t="s">
        <v>2449</v>
      </c>
      <c r="AB5" s="1445" t="s">
        <v>3404</v>
      </c>
    </row>
    <row r="6" spans="1:28">
      <c r="A6" s="1441" t="s">
        <v>1020</v>
      </c>
      <c r="B6" s="1444" t="s">
        <v>449</v>
      </c>
      <c r="C6" s="1446" t="s">
        <v>24</v>
      </c>
      <c r="F6" s="1443" t="s">
        <v>1017</v>
      </c>
      <c r="H6" s="1443" t="s">
        <v>1021</v>
      </c>
      <c r="I6" s="1443" t="s">
        <v>3329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2438</v>
      </c>
      <c r="Z6" s="1445" t="s">
        <v>2451</v>
      </c>
      <c r="AB6" s="1445" t="s">
        <v>2477</v>
      </c>
    </row>
    <row r="7" spans="1:28">
      <c r="A7" s="1441" t="s">
        <v>1023</v>
      </c>
      <c r="B7" s="1444" t="s">
        <v>450</v>
      </c>
      <c r="C7" s="1442" t="s">
        <v>25</v>
      </c>
      <c r="F7" s="1443" t="s">
        <v>1024</v>
      </c>
      <c r="H7" s="1443" t="s">
        <v>1025</v>
      </c>
      <c r="I7" s="1443" t="s">
        <v>3330</v>
      </c>
      <c r="X7" s="1445" t="s">
        <v>2440</v>
      </c>
      <c r="Z7" s="1445" t="s">
        <v>2453</v>
      </c>
      <c r="AB7" s="1445" t="s">
        <v>2479</v>
      </c>
    </row>
    <row r="8" spans="1:28">
      <c r="A8" s="1441" t="s">
        <v>1026</v>
      </c>
      <c r="B8" s="1441" t="s">
        <v>1027</v>
      </c>
      <c r="C8" s="1442" t="s">
        <v>319</v>
      </c>
      <c r="F8" s="1443" t="s">
        <v>1028</v>
      </c>
      <c r="H8" s="1443" t="s">
        <v>2568</v>
      </c>
      <c r="I8" s="1443" t="s">
        <v>3331</v>
      </c>
      <c r="X8" s="1445" t="s">
        <v>3405</v>
      </c>
      <c r="Z8" s="1445" t="s">
        <v>2455</v>
      </c>
      <c r="AB8" s="1445" t="s">
        <v>2481</v>
      </c>
    </row>
    <row r="9" spans="1:28">
      <c r="A9" s="1441" t="s">
        <v>1029</v>
      </c>
      <c r="B9" s="1441" t="s">
        <v>1030</v>
      </c>
      <c r="C9" s="1442" t="s">
        <v>320</v>
      </c>
      <c r="F9" s="1443" t="s">
        <v>1031</v>
      </c>
      <c r="H9" s="1443"/>
      <c r="I9" s="1445" t="s">
        <v>3332</v>
      </c>
      <c r="X9" s="1445" t="s">
        <v>3406</v>
      </c>
      <c r="Z9" s="1445" t="s">
        <v>2457</v>
      </c>
      <c r="AB9" s="1445" t="s">
        <v>2483</v>
      </c>
    </row>
    <row r="10" spans="1:28">
      <c r="A10" s="1441" t="s">
        <v>1032</v>
      </c>
      <c r="B10" s="1441" t="s">
        <v>1033</v>
      </c>
      <c r="C10" s="1442" t="s">
        <v>321</v>
      </c>
      <c r="F10" s="1443" t="s">
        <v>2569</v>
      </c>
      <c r="I10" s="1445" t="s">
        <v>3333</v>
      </c>
      <c r="Z10" s="1445" t="s">
        <v>2459</v>
      </c>
      <c r="AB10" s="1445" t="s">
        <v>2485</v>
      </c>
    </row>
    <row r="11" spans="1:28">
      <c r="A11" s="1441" t="s">
        <v>1034</v>
      </c>
      <c r="B11" s="1441" t="s">
        <v>1035</v>
      </c>
      <c r="C11" s="1442" t="s">
        <v>322</v>
      </c>
      <c r="F11" s="1443" t="s">
        <v>13</v>
      </c>
      <c r="I11" s="1445" t="s">
        <v>3334</v>
      </c>
      <c r="Z11" s="1445" t="s">
        <v>2461</v>
      </c>
      <c r="AB11" s="1445" t="s">
        <v>2487</v>
      </c>
    </row>
    <row r="12" spans="1:28">
      <c r="A12" s="1441" t="s">
        <v>1036</v>
      </c>
      <c r="B12" s="1441" t="s">
        <v>1037</v>
      </c>
      <c r="C12" s="1442" t="s">
        <v>323</v>
      </c>
      <c r="I12" s="1445" t="s">
        <v>3335</v>
      </c>
      <c r="Z12" s="1445" t="s">
        <v>2463</v>
      </c>
      <c r="AB12" s="1445" t="s">
        <v>2489</v>
      </c>
    </row>
    <row r="13" spans="1:28">
      <c r="A13" s="1441" t="s">
        <v>1038</v>
      </c>
      <c r="B13" s="1441" t="s">
        <v>1039</v>
      </c>
      <c r="C13" s="1442" t="s">
        <v>324</v>
      </c>
      <c r="I13" s="1445" t="s">
        <v>3336</v>
      </c>
      <c r="Z13" s="1445" t="s">
        <v>2465</v>
      </c>
    </row>
    <row r="14" spans="1:28">
      <c r="A14" s="1441" t="s">
        <v>1040</v>
      </c>
      <c r="B14" s="1441" t="s">
        <v>1041</v>
      </c>
      <c r="C14" s="1443" t="s">
        <v>13</v>
      </c>
      <c r="I14" s="1445" t="s">
        <v>3337</v>
      </c>
      <c r="Z14" s="1445" t="s">
        <v>2467</v>
      </c>
    </row>
    <row r="15" spans="1:28">
      <c r="A15" s="1441" t="s">
        <v>1042</v>
      </c>
      <c r="B15" s="1441" t="s">
        <v>1043</v>
      </c>
      <c r="C15" s="1442"/>
      <c r="I15" s="1445" t="s">
        <v>3338</v>
      </c>
    </row>
    <row r="16" spans="1:28">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19" t="s">
        <v>2571</v>
      </c>
      <c r="J2" s="3219"/>
      <c r="K2" s="3219"/>
      <c r="L2" s="3219"/>
      <c r="M2" s="3219"/>
      <c r="N2" s="3219"/>
      <c r="O2" s="3219"/>
      <c r="P2" s="3219"/>
      <c r="Q2" s="3219"/>
      <c r="R2" s="3219"/>
    </row>
    <row r="3" spans="1:18">
      <c r="A3" s="2763" t="s">
        <v>2492</v>
      </c>
      <c r="B3" s="2764">
        <f>项目基本情况!D3</f>
        <v>45917</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1.25</v>
      </c>
      <c r="D5" s="2768">
        <f>IF(ISERROR(ROUND(POWER(1+E5,A5-C5)*(POWER(1+E5,C5)-1)/(POWER(1+E5,A5)-1),3)),0,ROUND(POWER(1+E5,A5-C5)*(POWER(1+E5,C5)-1)/(POWER(1+E5,A5)-1),4))</f>
        <v>6.0400000000000002E-2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11.26</v>
      </c>
      <c r="D6" s="2768">
        <f>IF(ISERROR(ROUND(POWER(1+E6,A6-C6)*(POWER(1+E6,C6)-1)/(POWER(1+E6,A6)-1),3)),0,ROUND(POWER(1+E6,A6-C6)*(POWER(1+E6,C6)-1)/(POWER(1+E6,A6)-1),4))</f>
        <v>0.41549999999999998</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31.27</v>
      </c>
      <c r="D7" s="2768">
        <f>IF(ISERROR(ROUND(POWER(1+E7,A7-C7)*(POWER(1+E7,C7)-1)/(POWER(1+E7,A7)-1),3)),0,ROUND(POWER(1+E7,A7-C7)*(POWER(1+E7,C7)-1)/(POWER(1+E7,A7)-1),4))</f>
        <v>0.75519999999999998</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3375</v>
      </c>
    </row>
    <row r="50" spans="1:4">
      <c r="A50" s="3145" t="s">
        <v>3376</v>
      </c>
      <c r="B50" s="3145" t="s">
        <v>3377</v>
      </c>
      <c r="C50" s="3145" t="s">
        <v>3378</v>
      </c>
      <c r="D50" s="3145" t="s">
        <v>3379</v>
      </c>
    </row>
    <row r="51" spans="1:4">
      <c r="A51" s="3145" t="s">
        <v>3380</v>
      </c>
      <c r="B51" s="2765">
        <f>B52+B53</f>
        <v>15000</v>
      </c>
      <c r="C51" s="3146">
        <f>D51/B51</f>
        <v>2666.6666666666665</v>
      </c>
      <c r="D51" s="2765">
        <f>D52+D53</f>
        <v>40000000</v>
      </c>
    </row>
    <row r="52" spans="1:4">
      <c r="A52" s="3147" t="s">
        <v>3381</v>
      </c>
      <c r="B52" s="3148">
        <v>10000</v>
      </c>
      <c r="C52" s="3148">
        <v>1500</v>
      </c>
      <c r="D52" s="3149">
        <f>C52*B52</f>
        <v>15000000</v>
      </c>
    </row>
    <row r="53" spans="1:4">
      <c r="A53" s="3147" t="s">
        <v>3382</v>
      </c>
      <c r="B53" s="3148">
        <v>5000</v>
      </c>
      <c r="C53" s="3148">
        <v>5000</v>
      </c>
      <c r="D53" s="3149">
        <f>C53*B53</f>
        <v>25000000</v>
      </c>
    </row>
    <row r="54" spans="1:4">
      <c r="A54" s="3145" t="s">
        <v>3383</v>
      </c>
      <c r="B54" s="2765">
        <f>B51</f>
        <v>15000</v>
      </c>
      <c r="C54" s="2771">
        <v>700</v>
      </c>
      <c r="D54" s="2765">
        <f t="shared" ref="D54:D55" si="5">C54*B54</f>
        <v>10500000</v>
      </c>
    </row>
    <row r="55" spans="1:4">
      <c r="A55" s="3145" t="s">
        <v>3384</v>
      </c>
      <c r="B55" s="2765">
        <f>B51</f>
        <v>15000</v>
      </c>
      <c r="C55" s="2771">
        <v>1500</v>
      </c>
      <c r="D55" s="2765">
        <f t="shared" si="5"/>
        <v>22500000</v>
      </c>
    </row>
    <row r="56" spans="1:4">
      <c r="A56" s="3145" t="s">
        <v>3385</v>
      </c>
      <c r="B56" s="2765">
        <f>B51</f>
        <v>15000</v>
      </c>
      <c r="C56" s="3150">
        <f>C51+C54+C55</f>
        <v>4866.6666666666661</v>
      </c>
      <c r="D56" s="2765">
        <f>D51+D54+D55</f>
        <v>73000000</v>
      </c>
    </row>
    <row r="58" spans="1:4">
      <c r="A58" s="3145" t="s">
        <v>3386</v>
      </c>
      <c r="B58" s="3151">
        <v>0.05</v>
      </c>
      <c r="C58" s="2765">
        <f>C56*(1+B58)</f>
        <v>5110</v>
      </c>
      <c r="D58" s="2765">
        <f>D56*B58</f>
        <v>3650000</v>
      </c>
    </row>
    <row r="60" spans="1:4">
      <c r="A60" s="3145" t="s">
        <v>3387</v>
      </c>
      <c r="B60" s="2771">
        <v>3500</v>
      </c>
      <c r="C60" s="2771">
        <f>C53</f>
        <v>5000</v>
      </c>
      <c r="D60" s="2765">
        <f>C60*B60</f>
        <v>17500000</v>
      </c>
    </row>
    <row r="62" spans="1:4">
      <c r="A62" s="3145" t="s">
        <v>3388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B2" zoomScaleNormal="100" zoomScaleSheetLayoutView="100" workbookViewId="0">
      <selection activeCell="T21" sqref="T21"/>
    </sheetView>
  </sheetViews>
  <sheetFormatPr defaultColWidth="10" defaultRowHeight="12.75"/>
  <cols>
    <col min="1" max="1" width="16.875" style="1618" customWidth="1"/>
    <col min="2" max="2" width="10" style="1618" customWidth="1"/>
    <col min="3" max="3" width="11.5" style="1618" customWidth="1"/>
    <col min="4" max="4" width="11.125"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0" t="str">
        <f>IF(B10="北京市","北京市",C10)&amp;F10&amp;IF(结果表!G1="在建","出让国有建设用地使用权及在建建筑物",IF(结果表!G1="土地","出让国有建设用地使用权",))&amp;B9&amp;"预评估"</f>
        <v>北京市房地产抵押价值预评估</v>
      </c>
      <c r="C1" s="3221"/>
      <c r="D1" s="3221"/>
      <c r="E1" s="3221"/>
      <c r="F1" s="3221"/>
      <c r="G1" s="3221"/>
      <c r="H1" s="3221"/>
      <c r="I1" s="32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45917</v>
      </c>
      <c r="C3" s="2186" t="s">
        <v>2171</v>
      </c>
      <c r="D3" s="2185">
        <v>45917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3408</v>
      </c>
      <c r="C8" s="2201"/>
      <c r="D8" s="3223" t="s">
        <v>2177</v>
      </c>
      <c r="E8" s="2202" t="s">
        <v>3409</v>
      </c>
      <c r="F8" s="2203"/>
      <c r="G8" s="2442"/>
      <c r="H8" s="2442"/>
      <c r="I8" s="2442"/>
      <c r="J8" s="2245"/>
      <c r="K8" s="2400"/>
      <c r="L8" s="2399"/>
      <c r="M8" s="2399"/>
      <c r="N8" s="2245"/>
      <c r="O8" s="1670"/>
      <c r="P8" s="2245"/>
      <c r="Q8" s="2245"/>
      <c r="R8" s="2245"/>
    </row>
    <row r="9" spans="1:30" ht="13.5" thickBot="1">
      <c r="A9" s="2204" t="s">
        <v>2178</v>
      </c>
      <c r="B9" s="2205" t="s">
        <v>3409</v>
      </c>
      <c r="C9" s="2206"/>
      <c r="D9" s="3224"/>
      <c r="E9" s="2205" t="s">
        <v>43</v>
      </c>
      <c r="F9" s="2207"/>
      <c r="G9" s="2443"/>
      <c r="H9" s="2443"/>
      <c r="I9" s="2443"/>
      <c r="J9" s="2245"/>
      <c r="K9" s="2402"/>
      <c r="L9" s="2399"/>
      <c r="M9" s="2399"/>
      <c r="N9" s="2245"/>
      <c r="O9" s="1670"/>
      <c r="P9" s="2245"/>
      <c r="Q9" s="2245"/>
      <c r="R9" s="2245"/>
    </row>
    <row r="10" spans="1:30" ht="13.5" thickTop="1">
      <c r="A10" s="2208" t="s">
        <v>2179</v>
      </c>
      <c r="B10" s="2209" t="s">
        <v>3410</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3411</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3321</v>
      </c>
      <c r="B13" s="2218" t="s">
        <v>2190</v>
      </c>
      <c r="C13" s="803"/>
      <c r="D13" s="803">
        <v>50663</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13</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30"/>
      <c r="C16" s="3231"/>
      <c r="D16" s="3232"/>
      <c r="E16" s="2222" t="s">
        <v>2194</v>
      </c>
      <c r="F16" s="3233"/>
      <c r="G16" s="3234"/>
      <c r="H16" s="3234"/>
      <c r="I16" s="3235"/>
      <c r="J16" s="2245"/>
      <c r="K16" s="2403"/>
      <c r="L16" s="1670"/>
      <c r="M16" s="1670"/>
      <c r="N16" s="2245"/>
      <c r="O16" s="1670"/>
      <c r="P16" s="2245"/>
      <c r="Q16" s="2245"/>
      <c r="R16" s="2245"/>
    </row>
    <row r="17" spans="1:28">
      <c r="A17" s="305" t="s">
        <v>2195</v>
      </c>
      <c r="B17" s="294" t="s">
        <v>2196</v>
      </c>
      <c r="C17" s="8">
        <f>'数据-汇总表'!E3</f>
        <v>188.85</v>
      </c>
      <c r="D17" s="1256" t="s">
        <v>2197</v>
      </c>
      <c r="E17" s="3236" t="s">
        <v>2198</v>
      </c>
      <c r="F17" s="3237"/>
      <c r="G17" s="3237"/>
      <c r="H17" s="3237"/>
      <c r="I17" s="3238"/>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39" t="s">
        <v>2202</v>
      </c>
      <c r="F18" s="3240"/>
      <c r="G18" s="3240"/>
      <c r="H18" s="3240"/>
      <c r="I18" s="3241"/>
      <c r="J18" s="2245"/>
      <c r="K18" s="2404"/>
      <c r="L18" s="1670"/>
      <c r="M18" s="1670"/>
      <c r="N18" s="2245"/>
      <c r="O18" s="1670"/>
      <c r="P18" s="2245"/>
      <c r="Q18" s="2245"/>
      <c r="R18" s="2245"/>
      <c r="S18" s="2245"/>
      <c r="T18" s="2245"/>
      <c r="U18" s="2245"/>
      <c r="V18" s="2245"/>
    </row>
    <row r="19" spans="1:28" ht="25.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6" t="s">
        <v>2206</v>
      </c>
      <c r="C20" s="3227"/>
      <c r="D20" s="3228" t="s">
        <v>2207</v>
      </c>
      <c r="E20" s="3229"/>
      <c r="F20" s="2430" t="s">
        <v>1056</v>
      </c>
      <c r="G20" s="2442"/>
      <c r="H20" s="2442"/>
      <c r="I20" s="2442"/>
      <c r="J20" s="2245"/>
      <c r="K20" s="32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4"/>
      <c r="B30" s="294" t="s">
        <v>2218</v>
      </c>
      <c r="C30" s="3245"/>
      <c r="D30" s="3246"/>
      <c r="E30" s="2442"/>
      <c r="F30" s="2442"/>
      <c r="G30" s="2442"/>
      <c r="H30" s="2442"/>
      <c r="I30" s="2442"/>
      <c r="J30" s="2245"/>
      <c r="K30" s="2402"/>
      <c r="L30" s="2399"/>
      <c r="M30" s="2399"/>
      <c r="N30" s="2245"/>
      <c r="O30" s="1670"/>
      <c r="P30" s="2245"/>
      <c r="Q30" s="2245"/>
      <c r="R30" s="2245"/>
      <c r="S30" s="2245"/>
      <c r="T30" s="2245"/>
      <c r="U30" s="2245"/>
      <c r="V30" s="2245"/>
    </row>
    <row r="31" spans="1:28">
      <c r="A31" s="3247"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2" t="s">
        <v>2228</v>
      </c>
      <c r="T34" s="315" t="str">
        <f>NUMBERSTRING(7-K34,1)&amp;"通"</f>
        <v>七通</v>
      </c>
      <c r="U34" s="2245"/>
      <c r="V34" s="2245"/>
    </row>
    <row r="35" spans="1:30">
      <c r="A35" s="2236"/>
      <c r="B35" s="3242" t="s">
        <v>2229</v>
      </c>
      <c r="C35" s="3242"/>
      <c r="D35" s="3242"/>
      <c r="E35" s="324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2"/>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305</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3407</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188.85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188.85</v>
      </c>
      <c r="H5" s="13">
        <f t="shared" ref="H5:AT5" si="0">SUM(H13:H656)</f>
        <v>188.85</v>
      </c>
      <c r="I5" s="13">
        <f t="shared" si="0"/>
        <v>188.85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188.85</v>
      </c>
      <c r="BA5" s="15">
        <f t="shared" si="1"/>
        <v>188.85</v>
      </c>
      <c r="BB5" s="15">
        <f t="shared" si="1"/>
        <v>188.85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70" t="s">
        <v>3412</v>
      </c>
      <c r="D13" s="1513" t="s">
        <v>3414</v>
      </c>
      <c r="E13" s="13">
        <f>IF($C$3="是",ROUND($A$3*G13/$B$3,2),ROUND($A$3*(G13-AT13)/$B$3,2))</f>
        <v>0</v>
      </c>
      <c r="F13" s="29"/>
      <c r="G13" s="30">
        <f>H13+AC13+AT13</f>
        <v>188.85</v>
      </c>
      <c r="H13" s="17">
        <f>SUMIF(I$12:AB$12,"总值",I13:AB13)</f>
        <v>188.85</v>
      </c>
      <c r="I13" s="1514">
        <v>188.85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0</v>
      </c>
      <c r="AZ13" s="13">
        <f>BA13+BL13</f>
        <v>188.85</v>
      </c>
      <c r="BA13" s="13">
        <f>SUM(BB13:BK13)</f>
        <v>188.85</v>
      </c>
      <c r="BB13" s="13">
        <f>IF($D13="是",I13-J13,0)</f>
        <v>188.85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A44EE-14DE-43D8-B4E9-AD8F1EEBF75A}">
  <dimension ref="A1"/>
  <sheetViews>
    <sheetView topLeftCell="A13" workbookViewId="0">
      <selection activeCell="N17" sqref="N17"/>
    </sheetView>
  </sheetViews>
  <sheetFormatPr defaultRowHeight="13.5"/>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K11" sqref="K11"/>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58" t="s">
        <v>1131</v>
      </c>
      <c r="B2" s="3258"/>
      <c r="C2" s="3258"/>
      <c r="D2" s="748" t="s">
        <v>1107</v>
      </c>
      <c r="E2" s="1523" t="s">
        <v>1108</v>
      </c>
      <c r="F2" s="2439"/>
      <c r="G2" s="2432"/>
      <c r="H2" s="2433"/>
      <c r="I2" s="2146" t="s">
        <v>1132</v>
      </c>
      <c r="J2" s="2439"/>
      <c r="K2" s="2439"/>
      <c r="L2" s="2439"/>
      <c r="M2" s="2439"/>
      <c r="N2" s="2440"/>
      <c r="O2" s="2439"/>
      <c r="P2" s="2439"/>
    </row>
    <row r="3" spans="1:16" ht="15.75" thickBot="1">
      <c r="A3" s="3259" t="s">
        <v>1105</v>
      </c>
      <c r="B3" s="3259"/>
      <c r="C3" s="3259"/>
      <c r="D3" s="41">
        <f>'数据-基础表'!AY6</f>
        <v>0</v>
      </c>
      <c r="E3" s="41">
        <f>'数据-基础表'!AZ5</f>
        <v>188.85</v>
      </c>
      <c r="F3" s="2439"/>
      <c r="G3" s="42"/>
      <c r="H3" s="43" t="s">
        <v>1106</v>
      </c>
      <c r="I3" s="802" t="e">
        <f>ROUND('数据-基础表'!B3/'数据-基础表'!A3,2)</f>
        <v>#DIV/0!</v>
      </c>
      <c r="J3" s="2439"/>
      <c r="K3" s="2439"/>
      <c r="L3" s="2439"/>
      <c r="M3" s="2439"/>
      <c r="N3" s="2440"/>
      <c r="O3" s="2439"/>
      <c r="P3" s="2439"/>
    </row>
    <row r="4" spans="1:16" ht="15">
      <c r="A4" s="3260"/>
      <c r="B4" s="3261"/>
      <c r="C4" s="326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3" t="s">
        <v>1110</v>
      </c>
      <c r="C5" s="326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3" t="s">
        <v>1111</v>
      </c>
      <c r="C6" s="3263"/>
      <c r="D6" s="43">
        <f>ROUND($D$3*E6/$E$3,2)</f>
        <v>0</v>
      </c>
      <c r="E6" s="44">
        <f>E3-E5</f>
        <v>188.85</v>
      </c>
      <c r="F6" s="2439"/>
      <c r="G6" s="1529" t="s">
        <v>1112</v>
      </c>
      <c r="H6" s="45" t="s">
        <v>1113</v>
      </c>
      <c r="I6" s="2435" t="e">
        <f>ROUND(F31/D31,2)</f>
        <v>#DIV/0!</v>
      </c>
      <c r="J6" s="2439"/>
      <c r="K6" s="2439"/>
      <c r="L6" s="2439"/>
      <c r="M6" s="2439"/>
      <c r="N6" s="2439"/>
      <c r="O6" s="2439"/>
      <c r="P6" s="2439"/>
    </row>
    <row r="7" spans="1:16" ht="15.75" thickBot="1">
      <c r="A7" s="3255"/>
      <c r="B7" s="3256"/>
      <c r="C7" s="3257"/>
      <c r="D7" s="1524" t="s">
        <v>1107</v>
      </c>
      <c r="E7" s="1528" t="s">
        <v>1114</v>
      </c>
      <c r="F7" s="2439"/>
      <c r="G7" s="2436" t="s">
        <v>1115</v>
      </c>
      <c r="H7" s="95"/>
      <c r="I7" s="2437">
        <v>2</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188.85</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188.85</v>
      </c>
      <c r="F16" s="2439"/>
      <c r="G16" s="2439"/>
      <c r="H16" s="1531" t="s">
        <v>1135</v>
      </c>
      <c r="I16" s="1532"/>
      <c r="J16" s="1071"/>
      <c r="K16" s="3252" t="s">
        <v>1135</v>
      </c>
      <c r="L16" s="3253"/>
      <c r="M16" s="3253"/>
      <c r="N16" s="3253"/>
      <c r="O16" s="3253"/>
      <c r="P16" s="3254"/>
    </row>
    <row r="17" spans="1:19" ht="15">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tr">
        <f>'数据-基础表'!C13</f>
        <v>商业</v>
      </c>
      <c r="D19" s="43">
        <f>ROUND($D$3*E19/$E$3,2)</f>
        <v>0</v>
      </c>
      <c r="E19" s="51">
        <f t="shared" ref="E19:E26" si="1">SUM(F19:G19)</f>
        <v>188.85</v>
      </c>
      <c r="F19" s="2558">
        <f>'数据-基础表'!I13</f>
        <v>188.85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188.85</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188.85</v>
      </c>
      <c r="F27" s="1072">
        <f>IF(SUM(F19:F26)=E8,SUM(F19:F26),"地上面积有误")</f>
        <v>188.85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188.85</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188.85</v>
      </c>
      <c r="F31" s="644">
        <f>F27+F30</f>
        <v>188.85</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J28" sqref="J2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45917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50663</v>
      </c>
      <c r="F6" s="61">
        <f>SUMIF(项目基本情况!C$12:I$12,C6,项目基本情况!C$15:I$15)</f>
        <v>13</v>
      </c>
      <c r="G6" s="62">
        <f>IF(ISERROR(ROUND(POWER(1+H6,D6-F6)*(POWER(1+H6,F6)-1)/(POWER(1+H6,D6)-1),3)),0,ROUND(POWER(1+H6,D6-F6)*(POWER(1+H6,F6)-1)/(POWER(1+H6,D6)-1),3))</f>
        <v>0.56799999999999995</v>
      </c>
      <c r="H6" s="691">
        <v>5.5E-2</v>
      </c>
      <c r="I6" s="691">
        <v>0.06</v>
      </c>
      <c r="J6" s="63">
        <v>7.0000000000000007E-2</v>
      </c>
      <c r="K6" s="970">
        <f>SUMIF('数据-汇总表'!C$19:C$33,A6,'数据-汇总表'!E$19:E$33)</f>
        <v>188.85</v>
      </c>
      <c r="L6" s="692">
        <v>3500</v>
      </c>
      <c r="M6" s="64">
        <f t="shared" ref="M6:M14" si="0">ROUND(K6*L6/10000,0)</f>
        <v>66</v>
      </c>
      <c r="N6" s="690">
        <f>N23</f>
        <v>0.71</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7">
        <v>2.8</v>
      </c>
      <c r="V6" s="67">
        <v>0.02</v>
      </c>
      <c r="W6" s="67">
        <v>0.1</v>
      </c>
      <c r="X6" s="979"/>
      <c r="Y6" s="68">
        <f>N6</f>
        <v>0.71</v>
      </c>
      <c r="Z6" s="69"/>
      <c r="AA6" s="63"/>
      <c r="AB6" s="63"/>
      <c r="AC6" s="979"/>
      <c r="AD6" s="70"/>
      <c r="AE6" s="980">
        <f ca="1">IF(AN6="",0,SUMIF(INDIRECT("'"&amp;AN6&amp;"'"&amp;"!E:E"),$AE$5,INDIRECT("'"&amp;AN6&amp;"'"&amp;"!F:F")))</f>
        <v>13</v>
      </c>
      <c r="AF6" s="74"/>
      <c r="AG6" s="130">
        <f>IF(AF6="",0,AE6-AF6)</f>
        <v>0</v>
      </c>
      <c r="AH6" s="71"/>
      <c r="AI6" s="73">
        <v>365</v>
      </c>
      <c r="AJ6" s="74"/>
      <c r="AK6" s="75">
        <v>2E-3</v>
      </c>
      <c r="AL6" s="76">
        <v>1E-3</v>
      </c>
      <c r="AM6" s="77">
        <v>0.01</v>
      </c>
      <c r="AN6" s="1589" t="s">
        <v>3420</v>
      </c>
      <c r="AO6" s="50">
        <f ca="1">SUMIF(INDIRECT("'"&amp;AN6&amp;"'"&amp;"!A:A"),"总价",INDIRECT("'"&amp;AN6&amp;"'"&amp;"!B:B"))</f>
        <v>171.12960000000001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0.56799999999999995</v>
      </c>
      <c r="H16" s="84">
        <f>ROUND(SUMPRODUCT(H6:H13,K6:K13)/SUMPRODUCT((H6:H13&gt;0)*(K6:K13)),3)</f>
        <v>5.5E-2</v>
      </c>
      <c r="I16" s="85"/>
      <c r="J16" s="85"/>
      <c r="K16" s="86">
        <f>SUM(K6:K15)</f>
        <v>188.85</v>
      </c>
      <c r="L16" s="87">
        <f>ROUND(M16*10000/SUM(K6:K14),0)</f>
        <v>3495</v>
      </c>
      <c r="M16" s="87">
        <f>SUM(M6:M14)</f>
        <v>66</v>
      </c>
      <c r="N16" s="88">
        <f>ROUND(SUMPRODUCT(M6:M14,N6:N14)/M16,3)</f>
        <v>0.71</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v>2000</v>
      </c>
      <c r="O21" s="2449"/>
      <c r="P21" s="2449"/>
      <c r="Q21" s="2449"/>
      <c r="R21" s="2449"/>
      <c r="S21" s="2449"/>
      <c r="T21" s="2449"/>
      <c r="U21" s="3172" t="s">
        <v>3417</v>
      </c>
      <c r="V21" s="3172" t="s">
        <v>3418</v>
      </c>
      <c r="W21" s="3172" t="s">
        <v>3419</v>
      </c>
      <c r="X21" s="2449"/>
      <c r="Y21" s="2449">
        <v>250000</v>
      </c>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3171">
        <f>ROUND(1-(2025-N21)/60,2)</f>
        <v>0.57999999999999996</v>
      </c>
      <c r="O22" s="3171">
        <v>0.8</v>
      </c>
      <c r="P22" s="2449"/>
      <c r="Q22" s="2449"/>
      <c r="R22" s="2449"/>
      <c r="S22" s="2449"/>
      <c r="T22" s="2449"/>
      <c r="U22" s="2449">
        <v>1</v>
      </c>
      <c r="V22" s="2449">
        <v>1</v>
      </c>
      <c r="W22" s="2449">
        <v>3</v>
      </c>
      <c r="X22" s="2449"/>
      <c r="Y22" s="2449">
        <f>Y21/K16/365</f>
        <v>3.6268546828134238</v>
      </c>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3171">
        <f>ROUND(N22*0.4+O22*0.6,2)</f>
        <v>0.71</v>
      </c>
      <c r="O23" s="2449"/>
      <c r="P23" s="2449"/>
      <c r="Q23" s="2449"/>
      <c r="R23" s="2449"/>
      <c r="S23" s="2449"/>
      <c r="T23" s="2449"/>
      <c r="U23" s="2449">
        <v>2</v>
      </c>
      <c r="V23" s="2449">
        <v>0.75</v>
      </c>
      <c r="W23" s="2449">
        <f>W22*V23</f>
        <v>2.25</v>
      </c>
      <c r="X23" s="2449"/>
      <c r="Y23" s="2449">
        <v>0.8</v>
      </c>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f>ROUND((W22+W23)/2,2)</f>
        <v>2.63</v>
      </c>
      <c r="X24" s="2449"/>
      <c r="Y24" s="2449">
        <f>Y22-Y23</f>
        <v>2.8268546828134236</v>
      </c>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80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(元)'!C8</f>
        <v>15108</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3389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3374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64" t="s">
        <v>2277</v>
      </c>
      <c r="B1" s="3265"/>
      <c r="C1" s="3265"/>
      <c r="D1" s="3265"/>
      <c r="E1" s="3265"/>
      <c r="F1" s="3265"/>
      <c r="G1" s="326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8" sqref="M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188.85</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45917</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296</v>
      </c>
      <c r="C5" s="2300">
        <f ca="1">IF(B5=D14,结果表!H102,ROUND(B5*10000/$B$1,0))</f>
        <v>15674</v>
      </c>
      <c r="D5" s="2300" t="e">
        <f ca="1">ROUND(B5*10000/$B$2,0)</f>
        <v>#DIV/0!</v>
      </c>
      <c r="E5" s="2462"/>
      <c r="F5" s="2463"/>
      <c r="G5" s="2463"/>
      <c r="H5" s="2463"/>
      <c r="I5" s="2463"/>
      <c r="J5" s="2463"/>
      <c r="K5" s="2463"/>
    </row>
    <row r="6" spans="1:11" ht="16.5">
      <c r="A6" s="2300" t="s">
        <v>656</v>
      </c>
      <c r="B6" s="2300">
        <f ca="1">SUM(G14:G23)</f>
        <v>296</v>
      </c>
      <c r="C6" s="2300">
        <f ca="1">IF(B6=G14,结果表!H108,ROUND(B6*10000/$B$1,0))</f>
        <v>15674</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3344</v>
      </c>
      <c r="D10" s="2300" t="s">
        <v>3345</v>
      </c>
      <c r="E10" s="3137"/>
      <c r="F10" s="3141" t="s">
        <v>3346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188.85</v>
      </c>
      <c r="C14" s="2306"/>
      <c r="D14" s="2306">
        <f ca="1">结果表!G19</f>
        <v>296</v>
      </c>
      <c r="E14" s="2306">
        <f ca="1">ROUND(D14*10000/B14,0)</f>
        <v>15674</v>
      </c>
      <c r="F14" s="2306" t="e">
        <f ca="1">ROUND(D14*10000/C14,0)</f>
        <v>#DIV/0!</v>
      </c>
      <c r="G14" s="2306">
        <f ca="1">D14</f>
        <v>296</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Normal="100" zoomScaleSheetLayoutView="100" zoomScalePageLayoutView="80" workbookViewId="0">
      <selection activeCell="K25" sqref="K25"/>
    </sheetView>
  </sheetViews>
  <sheetFormatPr defaultColWidth="12.625" defaultRowHeight="21.75" customHeight="1"/>
  <cols>
    <col min="1" max="2" width="12.625" style="1561"/>
    <col min="3" max="4" width="12.625" style="1561" customWidth="1"/>
    <col min="5" max="8" width="12.625" style="1561"/>
    <col min="9" max="9" width="19.875" style="1561" customWidth="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3" t="str">
        <f>项目基本情况!S2</f>
        <v>北京市房地产</v>
      </c>
      <c r="B2" s="3334"/>
      <c r="C2" s="3334"/>
      <c r="D2" s="3334"/>
      <c r="E2" s="3334"/>
      <c r="F2" s="3334"/>
      <c r="G2" s="3334"/>
      <c r="H2" s="3334"/>
      <c r="I2" s="3335"/>
    </row>
    <row r="3" spans="1:12" ht="12.75">
      <c r="A3" s="3337" t="s">
        <v>1264</v>
      </c>
      <c r="B3" s="3338"/>
      <c r="C3" s="3338"/>
      <c r="D3" s="3338"/>
      <c r="E3" s="3338"/>
      <c r="F3" s="3338"/>
      <c r="G3" s="3338"/>
      <c r="H3" s="3338"/>
      <c r="I3" s="3338"/>
    </row>
    <row r="4" spans="1:12" ht="14.25">
      <c r="A4" s="1624" t="s">
        <v>1265</v>
      </c>
      <c r="B4" s="1625" t="s">
        <v>1266</v>
      </c>
      <c r="C4" s="1626" t="s">
        <v>3476</v>
      </c>
      <c r="D4" s="1626" t="s">
        <v>3420</v>
      </c>
      <c r="E4" s="3342" t="s">
        <v>1267</v>
      </c>
      <c r="F4" s="3343"/>
      <c r="G4" s="3343"/>
      <c r="H4" s="3343"/>
      <c r="I4" s="334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1" t="s">
        <v>1268</v>
      </c>
      <c r="B5" s="3336">
        <v>25</v>
      </c>
      <c r="C5" s="3339"/>
      <c r="D5" s="3327"/>
      <c r="E5" s="123" t="s">
        <v>1269</v>
      </c>
      <c r="F5" s="1627"/>
      <c r="G5" s="1627"/>
      <c r="H5" s="1627"/>
      <c r="I5" s="1281"/>
    </row>
    <row r="6" spans="1:12" ht="12.75">
      <c r="A6" s="3281"/>
      <c r="B6" s="3336"/>
      <c r="C6" s="3341"/>
      <c r="D6" s="3327"/>
      <c r="E6" s="123" t="s">
        <v>1270</v>
      </c>
      <c r="F6" s="1627"/>
      <c r="G6" s="1627"/>
      <c r="H6" s="1627"/>
      <c r="I6" s="1281"/>
    </row>
    <row r="7" spans="1:12" ht="12.75">
      <c r="A7" s="3281"/>
      <c r="B7" s="3336"/>
      <c r="C7" s="3340"/>
      <c r="D7" s="3327"/>
      <c r="E7" s="123" t="s">
        <v>1271</v>
      </c>
      <c r="F7" s="1627"/>
      <c r="G7" s="1627"/>
      <c r="H7" s="1627"/>
      <c r="I7" s="1281"/>
    </row>
    <row r="8" spans="1:12" ht="12.75">
      <c r="A8" s="3281" t="s">
        <v>1272</v>
      </c>
      <c r="B8" s="3336">
        <v>15</v>
      </c>
      <c r="C8" s="3339"/>
      <c r="D8" s="3327"/>
      <c r="E8" s="123" t="s">
        <v>1273</v>
      </c>
      <c r="F8" s="1627"/>
      <c r="G8" s="1627"/>
      <c r="H8" s="1627"/>
      <c r="I8" s="1281"/>
    </row>
    <row r="9" spans="1:12" ht="12.75">
      <c r="A9" s="3281"/>
      <c r="B9" s="3336"/>
      <c r="C9" s="3340"/>
      <c r="D9" s="3327"/>
      <c r="E9" s="123" t="s">
        <v>1274</v>
      </c>
      <c r="F9" s="1627"/>
      <c r="G9" s="1627"/>
      <c r="H9" s="1627"/>
      <c r="I9" s="1281"/>
    </row>
    <row r="10" spans="1:12" ht="12.75">
      <c r="A10" s="3281" t="s">
        <v>1275</v>
      </c>
      <c r="B10" s="3336">
        <v>15</v>
      </c>
      <c r="C10" s="3339"/>
      <c r="D10" s="3327"/>
      <c r="E10" s="123" t="s">
        <v>1276</v>
      </c>
      <c r="F10" s="1627"/>
      <c r="G10" s="1627"/>
      <c r="H10" s="1627"/>
      <c r="I10" s="1281"/>
    </row>
    <row r="11" spans="1:12" ht="12.75">
      <c r="A11" s="3281"/>
      <c r="B11" s="3336"/>
      <c r="C11" s="3340"/>
      <c r="D11" s="3327"/>
      <c r="E11" s="123" t="s">
        <v>1277</v>
      </c>
      <c r="F11" s="1627"/>
      <c r="G11" s="1627"/>
      <c r="H11" s="1627"/>
      <c r="I11" s="1281"/>
    </row>
    <row r="12" spans="1:12" ht="12.75">
      <c r="A12" s="3281" t="s">
        <v>1278</v>
      </c>
      <c r="B12" s="3336">
        <v>15</v>
      </c>
      <c r="C12" s="3339"/>
      <c r="D12" s="3327"/>
      <c r="E12" s="123" t="s">
        <v>1279</v>
      </c>
      <c r="F12" s="1627"/>
      <c r="G12" s="1627"/>
      <c r="H12" s="1627"/>
      <c r="I12" s="1281"/>
    </row>
    <row r="13" spans="1:12" ht="12.75">
      <c r="A13" s="3281"/>
      <c r="B13" s="3336"/>
      <c r="C13" s="3340"/>
      <c r="D13" s="3327"/>
      <c r="E13" s="123" t="s">
        <v>1280</v>
      </c>
      <c r="F13" s="1627"/>
      <c r="G13" s="1627"/>
      <c r="H13" s="1627"/>
      <c r="I13" s="1281"/>
    </row>
    <row r="14" spans="1:12" ht="12.75">
      <c r="A14" s="3281" t="s">
        <v>1281</v>
      </c>
      <c r="B14" s="3336">
        <v>30</v>
      </c>
      <c r="C14" s="3339">
        <v>65</v>
      </c>
      <c r="D14" s="3327">
        <v>35</v>
      </c>
      <c r="E14" s="123" t="s">
        <v>1282</v>
      </c>
      <c r="F14" s="1627"/>
      <c r="G14" s="1627"/>
      <c r="H14" s="1627"/>
      <c r="I14" s="1281"/>
    </row>
    <row r="15" spans="1:12" ht="12.75">
      <c r="A15" s="3281"/>
      <c r="B15" s="3336"/>
      <c r="C15" s="3341"/>
      <c r="D15" s="3327"/>
      <c r="E15" s="123" t="s">
        <v>1283</v>
      </c>
      <c r="F15" s="1627"/>
      <c r="G15" s="1627"/>
      <c r="H15" s="1627"/>
      <c r="I15" s="1281"/>
    </row>
    <row r="16" spans="1:12" ht="12.75">
      <c r="A16" s="3281"/>
      <c r="B16" s="3336"/>
      <c r="C16" s="3340"/>
      <c r="D16" s="3327"/>
      <c r="E16" s="123" t="s">
        <v>1284</v>
      </c>
      <c r="F16" s="1627"/>
      <c r="G16" s="1627"/>
      <c r="H16" s="1627"/>
      <c r="I16" s="1281"/>
    </row>
    <row r="17" spans="1:36" ht="15">
      <c r="A17" s="1628" t="s">
        <v>1285</v>
      </c>
      <c r="B17" s="54"/>
      <c r="C17" s="124">
        <f>SUM(C5:C16)</f>
        <v>65</v>
      </c>
      <c r="D17" s="124">
        <f>SUM(D5:D16)</f>
        <v>35</v>
      </c>
      <c r="E17" s="121"/>
      <c r="F17" s="121"/>
      <c r="G17" s="121"/>
      <c r="H17" s="121"/>
      <c r="I17" s="121"/>
      <c r="K17" s="294"/>
      <c r="L17" s="294" t="s">
        <v>1286</v>
      </c>
      <c r="M17" s="294" t="s">
        <v>1287</v>
      </c>
    </row>
    <row r="18" spans="1:36" ht="31.9" customHeight="1" thickBot="1">
      <c r="A18" s="1629" t="s">
        <v>1288</v>
      </c>
      <c r="B18" s="1542"/>
      <c r="C18" s="125">
        <f>ROUND(C17/SUM(C17:D17),2)</f>
        <v>0.65</v>
      </c>
      <c r="D18" s="125">
        <f>1-C18</f>
        <v>0.35</v>
      </c>
      <c r="E18" s="3358" t="s">
        <v>2131</v>
      </c>
      <c r="F18" s="3359"/>
      <c r="G18" s="3359"/>
      <c r="H18" s="3359"/>
      <c r="I18" s="3359"/>
      <c r="K18" s="294" t="s">
        <v>1289</v>
      </c>
      <c r="L18" s="294">
        <f>IF(C1="",'数据-汇总表'!E3,SUMIF(项目类型,C1,'数据-汇总表'!E17:E26)+SUMIF(项目类型,C1,'数据-汇总表'!I17:I26))</f>
        <v>188.85</v>
      </c>
      <c r="M18" s="294">
        <f>IF(C1="",'数据-汇总表'!E3,SUMIF(项目类型,C1,'数据-汇总表'!E17:E26))</f>
        <v>188.85</v>
      </c>
    </row>
    <row r="19" spans="1:36" ht="15">
      <c r="A19" s="1630" t="s">
        <v>1290</v>
      </c>
      <c r="B19" s="1631" t="s">
        <v>1291</v>
      </c>
      <c r="C19" s="126">
        <f ca="1">SUMIF(INDIRECT("'"&amp;C4&amp;"'"&amp;"!A:A"),结果表!B19,INDIRECT("'"&amp;C4&amp;"'"&amp;"!B:B"))</f>
        <v>363.4418</v>
      </c>
      <c r="D19" s="127">
        <f ca="1">SUMIF(INDIRECT("'"&amp;D4&amp;"'"&amp;"!A:A"),结果表!B19,INDIRECT("'"&amp;D4&amp;"'"&amp;"!B:B"))</f>
        <v>171.12960000000001</v>
      </c>
      <c r="E19" s="1630" t="s">
        <v>1292</v>
      </c>
      <c r="F19" s="1631" t="s">
        <v>1291</v>
      </c>
      <c r="G19" s="128">
        <f ca="1">ROUND(C19*$C$18+D19*$D$18,0)</f>
        <v>296</v>
      </c>
      <c r="H19" s="1632" t="s">
        <v>1293</v>
      </c>
      <c r="I19" s="121">
        <f ca="1">ROUND(G20*L18/10000,2)</f>
        <v>296.14</v>
      </c>
      <c r="J19" s="684">
        <v>321.12</v>
      </c>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19245</v>
      </c>
      <c r="D20" s="130">
        <f ca="1">SUMIF(INDIRECT("'"&amp;D4&amp;"'"&amp;"!A:A"),结果表!B20,INDIRECT("'"&amp;D4&amp;"'"&amp;"!B:B"))</f>
        <v>9062</v>
      </c>
      <c r="E20" s="1633"/>
      <c r="F20" s="43" t="s">
        <v>1295</v>
      </c>
      <c r="G20" s="131">
        <f ca="1">ROUND(C20*$C$18+D20*$D$18,0)</f>
        <v>15681</v>
      </c>
      <c r="H20" s="760" t="s">
        <v>1296</v>
      </c>
      <c r="I20" s="3177" t="str">
        <f ca="1">NUMBERSTRING(INT(I19*10000),2)&amp;"元整"</f>
        <v>贰佰玖拾陆万壹仟肆佰元整</v>
      </c>
      <c r="J20" s="684">
        <f ca="1">I19/J19</f>
        <v>0.92220976581963121</v>
      </c>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1.1237810408018247</v>
      </c>
      <c r="E22" s="121"/>
      <c r="F22" s="121"/>
      <c r="G22" s="121"/>
      <c r="H22" s="121"/>
      <c r="I22" s="121"/>
    </row>
    <row r="23" spans="1:36" ht="13.5" thickBot="1">
      <c r="A23" s="646"/>
      <c r="B23" s="646"/>
      <c r="C23" s="646"/>
      <c r="D23" s="646"/>
      <c r="E23" s="121"/>
      <c r="F23" s="121"/>
      <c r="G23" s="121"/>
      <c r="H23" s="121"/>
      <c r="I23" s="121"/>
    </row>
    <row r="24" spans="1:36" ht="14.25">
      <c r="A24" s="3351" t="s">
        <v>1299</v>
      </c>
      <c r="B24" s="1631" t="s">
        <v>1291</v>
      </c>
      <c r="C24" s="128">
        <f>IF(B30=0,0,D30)</f>
        <v>0</v>
      </c>
      <c r="D24" s="1637"/>
      <c r="E24" s="121"/>
      <c r="F24" s="121"/>
      <c r="G24" s="121"/>
      <c r="H24" s="121"/>
      <c r="I24" s="121"/>
    </row>
    <row r="25" spans="1:36" ht="14.25">
      <c r="A25" s="33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296</v>
      </c>
      <c r="D32" s="1641" t="s">
        <v>3437</v>
      </c>
      <c r="E32" s="121"/>
      <c r="F32" s="121"/>
      <c r="G32" s="121"/>
      <c r="H32" s="121"/>
      <c r="I32" s="121"/>
    </row>
    <row r="33" spans="1:15" ht="15">
      <c r="A33" s="740" t="s">
        <v>1306</v>
      </c>
      <c r="B33" s="123"/>
      <c r="C33" s="1642" t="s">
        <v>3438</v>
      </c>
      <c r="D33" s="1643" t="s">
        <v>3436</v>
      </c>
      <c r="E33" s="1644" t="s">
        <v>1307</v>
      </c>
      <c r="F33" s="1645" t="str">
        <f>IF(D32="楼面单价","取值（单价）","取值（总价）")</f>
        <v>取值（总价）</v>
      </c>
      <c r="G33" s="121"/>
      <c r="H33" s="121"/>
      <c r="I33" s="121"/>
    </row>
    <row r="34" spans="1:15" ht="15">
      <c r="A34" s="1646"/>
      <c r="B34" s="1647" t="s">
        <v>1308</v>
      </c>
      <c r="C34" s="140">
        <f ca="1">IF(C33="自定义",F34,C32-C35)</f>
        <v>203</v>
      </c>
      <c r="D34" s="808">
        <f ca="1">IF(C33="自定义",ROUND(C34/C32,3),IF(C33="收益比率",SUMIF(INDIRECT("'"&amp;D33&amp;"'"&amp;"!b:b"),"土地收益比率",INDIRECT("'"&amp;D33&amp;"'"&amp;"!c:c")),SUMIF(INDIRECT("'"&amp;D33&amp;"'"&amp;"!b:b"),"土地成本比率",INDIRECT("'"&amp;D33&amp;"'"&amp;"!c:c"))))</f>
        <v>0.68599999999999994</v>
      </c>
      <c r="E34" s="1648" t="s">
        <v>1309</v>
      </c>
      <c r="F34" s="1243"/>
      <c r="G34" s="121"/>
      <c r="H34" s="121"/>
      <c r="I34" s="121"/>
    </row>
    <row r="35" spans="1:15" ht="15.75" thickBot="1">
      <c r="A35" s="1649"/>
      <c r="B35" s="1650" t="s">
        <v>1310</v>
      </c>
      <c r="C35" s="1090">
        <f ca="1">IF(C33="自定义",F35,ROUND(C32*D35,0))</f>
        <v>93</v>
      </c>
      <c r="D35" s="1091">
        <f ca="1">IF(C33="自定义",ROUND(C35/C32,3),IF(C33="收益比率",SUMIF(INDIRECT("'"&amp;D33&amp;"'"&amp;"!b:b"),"建筑物收益比率",INDIRECT("'"&amp;D33&amp;"'"&amp;"!c:c")),SUMIF(INDIRECT("'"&amp;D33&amp;"'"&amp;"!b:b"),"建筑物成本比率",INDIRECT("'"&amp;D33&amp;"'"&amp;"!c:c"))))</f>
        <v>0.314</v>
      </c>
      <c r="E35" s="1651" t="s">
        <v>1311</v>
      </c>
      <c r="F35" s="146"/>
      <c r="G35" s="121"/>
      <c r="H35" s="121"/>
      <c r="I35" s="121"/>
    </row>
    <row r="36" spans="1:15" ht="15.75" thickBot="1">
      <c r="A36" s="3328" t="s">
        <v>1312</v>
      </c>
      <c r="B36" s="1652" t="s">
        <v>1313</v>
      </c>
      <c r="C36" s="137"/>
      <c r="D36" s="1653"/>
      <c r="E36" s="1567"/>
      <c r="F36" s="1654"/>
      <c r="G36" s="121"/>
      <c r="H36" s="121"/>
      <c r="I36" s="121"/>
    </row>
    <row r="37" spans="1:15" ht="15.75" thickBot="1">
      <c r="A37" s="3329"/>
      <c r="B37" s="1555" t="s">
        <v>1314</v>
      </c>
      <c r="C37" s="139"/>
      <c r="D37" s="1071"/>
      <c r="E37" s="1071"/>
      <c r="F37" s="1654"/>
      <c r="G37" s="121"/>
      <c r="H37" s="121"/>
      <c r="I37" s="121"/>
    </row>
    <row r="38" spans="1:15" ht="15.75" thickBot="1">
      <c r="A38" s="333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48" t="s">
        <v>1326</v>
      </c>
      <c r="B45" s="3349"/>
      <c r="C45" s="3350"/>
      <c r="D45" s="147">
        <f ca="1">ROUND(H101*F45,0)</f>
        <v>296</v>
      </c>
      <c r="E45" s="148" t="s">
        <v>1327</v>
      </c>
      <c r="F45" s="149">
        <v>1</v>
      </c>
      <c r="G45" s="150" t="s">
        <v>1328</v>
      </c>
      <c r="H45" s="121"/>
      <c r="I45" s="121"/>
      <c r="J45" s="3268" t="s">
        <v>1329</v>
      </c>
      <c r="K45" s="3268"/>
      <c r="L45" s="3268"/>
      <c r="M45" s="3268"/>
      <c r="N45" s="3268"/>
      <c r="O45" s="3268"/>
    </row>
    <row r="46" spans="1:15" ht="14.25" customHeight="1">
      <c r="A46" s="3345" t="s">
        <v>1330</v>
      </c>
      <c r="B46" s="3346"/>
      <c r="C46" s="3346"/>
      <c r="D46" s="3346"/>
      <c r="E46" s="3346"/>
      <c r="F46" s="3346"/>
      <c r="G46" s="3347"/>
      <c r="H46" s="1668"/>
      <c r="I46" s="151"/>
      <c r="J46" s="2310">
        <v>1</v>
      </c>
      <c r="K46" s="3269" t="s">
        <v>1331</v>
      </c>
      <c r="L46" s="3269"/>
      <c r="M46" s="3270"/>
      <c r="N46" s="3270"/>
      <c r="O46" s="3270"/>
    </row>
    <row r="47" spans="1:15" ht="12" customHeight="1">
      <c r="A47" s="152" t="s">
        <v>1332</v>
      </c>
      <c r="B47" s="153"/>
      <c r="C47" s="154"/>
      <c r="D47" s="1024" t="s">
        <v>1333</v>
      </c>
      <c r="E47" s="294" t="s">
        <v>1334</v>
      </c>
      <c r="F47" s="155" t="s">
        <v>1335</v>
      </c>
      <c r="G47" s="2333" t="s">
        <v>1336</v>
      </c>
      <c r="H47" s="2334"/>
      <c r="I47" s="151"/>
      <c r="J47" s="2310">
        <v>2</v>
      </c>
      <c r="K47" s="3269" t="s">
        <v>1337</v>
      </c>
      <c r="L47" s="3269"/>
      <c r="M47" s="3271">
        <f>'数据-取费表'!B2</f>
        <v>45917</v>
      </c>
      <c r="N47" s="3271"/>
      <c r="O47" s="3271"/>
    </row>
    <row r="48" spans="1:15" ht="25.5">
      <c r="A48" s="3331" t="s">
        <v>1338</v>
      </c>
      <c r="B48" s="3332"/>
      <c r="C48" s="3332"/>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69" t="s">
        <v>1340</v>
      </c>
      <c r="L48" s="3269"/>
      <c r="M48" s="3272">
        <f ca="1">H101</f>
        <v>296</v>
      </c>
      <c r="N48" s="3272"/>
      <c r="O48" s="3272"/>
    </row>
    <row r="49" spans="1:35" ht="25.5" customHeight="1">
      <c r="A49" s="2152" t="s">
        <v>1341</v>
      </c>
      <c r="B49" s="3317" t="s">
        <v>1342</v>
      </c>
      <c r="C49" s="3317"/>
      <c r="D49" s="1478">
        <v>0</v>
      </c>
      <c r="E49" s="316" t="s">
        <v>1343</v>
      </c>
      <c r="F49" s="2233" t="s">
        <v>28</v>
      </c>
      <c r="G49" s="3300"/>
      <c r="H49" s="2134" t="s">
        <v>2134</v>
      </c>
      <c r="I49" s="2135"/>
      <c r="J49" s="2310">
        <v>4</v>
      </c>
      <c r="K49" s="3269" t="str">
        <f>IF(项目基本情况!E8="房地产抵押价值","房地产抵押价值","抵押担保权已注销时的房地产抵押价值")</f>
        <v>房地产抵押价值</v>
      </c>
      <c r="L49" s="3269"/>
      <c r="M49" s="3272">
        <f ca="1">IF(项目基本情况!E8="房地产抵押价值",H107,H109)</f>
        <v>296</v>
      </c>
      <c r="N49" s="3272"/>
      <c r="O49" s="3272"/>
    </row>
    <row r="50" spans="1:35" ht="25.5" customHeight="1">
      <c r="A50" s="2338"/>
      <c r="B50" s="3317" t="s">
        <v>1344</v>
      </c>
      <c r="C50" s="3317"/>
      <c r="D50" s="2189"/>
      <c r="E50" s="323"/>
      <c r="F50" s="2233"/>
      <c r="G50" s="3301"/>
      <c r="H50" s="2136" t="s">
        <v>2135</v>
      </c>
      <c r="I50" s="2135"/>
      <c r="J50" s="3268" t="s">
        <v>1345</v>
      </c>
      <c r="K50" s="3268"/>
      <c r="L50" s="3268"/>
      <c r="M50" s="3268"/>
      <c r="N50" s="3268"/>
      <c r="O50" s="3268"/>
    </row>
    <row r="51" spans="1:35" ht="20.45" customHeight="1">
      <c r="A51" s="2339"/>
      <c r="B51" s="3317" t="s">
        <v>1346</v>
      </c>
      <c r="C51" s="3317"/>
      <c r="D51" s="1024"/>
      <c r="E51" s="319"/>
      <c r="F51" s="2233"/>
      <c r="G51" s="3302"/>
      <c r="H51" s="2136" t="s">
        <v>2136</v>
      </c>
      <c r="I51" s="2135"/>
      <c r="J51" s="2311" t="s">
        <v>1347</v>
      </c>
      <c r="K51" s="3269" t="s">
        <v>1348</v>
      </c>
      <c r="L51" s="3269"/>
      <c r="M51" s="2311" t="s">
        <v>1349</v>
      </c>
      <c r="N51" s="2311" t="s">
        <v>1350</v>
      </c>
      <c r="O51" s="2311" t="s">
        <v>1351</v>
      </c>
    </row>
    <row r="52" spans="1:35" ht="24" customHeight="1">
      <c r="A52" s="2153" t="s">
        <v>1352</v>
      </c>
      <c r="B52" s="3317" t="s">
        <v>1353</v>
      </c>
      <c r="C52" s="3317"/>
      <c r="D52" s="1024">
        <f ca="1">ROUND(D45*'数据-取费表'!B41/(1+'数据-取费表'!C42),0)</f>
        <v>16</v>
      </c>
      <c r="E52" s="1256" t="s">
        <v>1354</v>
      </c>
      <c r="F52" s="2340">
        <f>'数据-取费表'!B41</f>
        <v>5.5000000000000007E-2</v>
      </c>
      <c r="G52" s="2341"/>
      <c r="H52" s="2331"/>
      <c r="I52" s="1669"/>
      <c r="J52" s="2310">
        <v>1</v>
      </c>
      <c r="K52" s="3294" t="s">
        <v>1355</v>
      </c>
      <c r="L52" s="3294"/>
      <c r="M52" s="2312" t="b">
        <f>D48</f>
        <v>0</v>
      </c>
      <c r="N52" s="2310" t="str">
        <f>E48</f>
        <v>销售额×税（费）率</v>
      </c>
      <c r="O52" s="2313">
        <f>F48</f>
        <v>5.5000000000000007E-2</v>
      </c>
    </row>
    <row r="53" spans="1:35" ht="12" customHeight="1">
      <c r="A53" s="2153" t="s">
        <v>1356</v>
      </c>
      <c r="B53" s="3318" t="s">
        <v>2282</v>
      </c>
      <c r="C53" s="3319"/>
      <c r="D53" s="1024">
        <f ca="1">ROUND(D45*'数据-取费表'!B41/(1+'数据-取费表'!C42),0)</f>
        <v>16</v>
      </c>
      <c r="E53" s="1256" t="s">
        <v>1354</v>
      </c>
      <c r="F53" s="2340">
        <f>'数据-取费表'!B41</f>
        <v>5.5000000000000007E-2</v>
      </c>
      <c r="G53" s="2341"/>
      <c r="H53" s="2331"/>
      <c r="I53" s="1669"/>
      <c r="J53" s="2310">
        <v>2</v>
      </c>
      <c r="K53" s="3294" t="s">
        <v>1357</v>
      </c>
      <c r="L53" s="3294"/>
      <c r="M53" s="2312">
        <f t="shared" ref="M53:O54" ca="1" si="0">D55</f>
        <v>0</v>
      </c>
      <c r="N53" s="2310" t="str">
        <f t="shared" si="0"/>
        <v>销售额×税（费）率</v>
      </c>
      <c r="O53" s="2313" t="str">
        <f t="shared" si="0"/>
        <v>免征</v>
      </c>
    </row>
    <row r="54" spans="1:35" ht="12" customHeight="1">
      <c r="A54" s="2153" t="s">
        <v>1358</v>
      </c>
      <c r="B54" s="3318" t="s">
        <v>2283</v>
      </c>
      <c r="C54" s="3319"/>
      <c r="D54" s="1024">
        <f ca="1">C68</f>
        <v>16</v>
      </c>
      <c r="E54" s="319" t="s">
        <v>1359</v>
      </c>
      <c r="F54" s="2340">
        <f>'数据-取费表'!B41</f>
        <v>5.5000000000000007E-2</v>
      </c>
      <c r="G54" s="2341"/>
      <c r="H54" s="2342"/>
      <c r="I54" s="1669"/>
      <c r="J54" s="2310">
        <v>3</v>
      </c>
      <c r="K54" s="3294" t="s">
        <v>1360</v>
      </c>
      <c r="L54" s="3294"/>
      <c r="M54" s="2312">
        <f t="shared" ca="1" si="0"/>
        <v>168</v>
      </c>
      <c r="N54" s="2310" t="str">
        <f t="shared" si="0"/>
        <v>增值额×税（费）率</v>
      </c>
      <c r="O54" s="2314" t="str">
        <f t="shared" si="0"/>
        <v>免征</v>
      </c>
    </row>
    <row r="55" spans="1:35" ht="24" customHeight="1">
      <c r="A55" s="3354" t="s">
        <v>1361</v>
      </c>
      <c r="B55" s="3332"/>
      <c r="C55" s="3332"/>
      <c r="D55" s="12">
        <f ca="1">IF(H55="个人住宅",0,ROUND(D45*I55,0))</f>
        <v>0</v>
      </c>
      <c r="E55" s="1256" t="s">
        <v>1362</v>
      </c>
      <c r="F55" s="2340" t="str">
        <f>IF(H55="正常",I55,"免征")</f>
        <v>免征</v>
      </c>
      <c r="G55" s="2341"/>
      <c r="H55" s="2337"/>
      <c r="I55" s="157">
        <f>'数据-取费表'!B49</f>
        <v>5.0000000000000001E-4</v>
      </c>
      <c r="J55" s="2310">
        <f>IF(H59="非个人房产","",4)</f>
        <v>4</v>
      </c>
      <c r="K55" s="3294" t="str">
        <f>IF(H59="非个人房产","——","个人所得税")</f>
        <v>个人所得税</v>
      </c>
      <c r="L55" s="3294"/>
      <c r="M55" s="2315">
        <f ca="1">D59</f>
        <v>3</v>
      </c>
      <c r="N55" s="1883" t="str">
        <f>E59</f>
        <v>差额计税</v>
      </c>
      <c r="O55" s="2316">
        <f>F59</f>
        <v>0.01</v>
      </c>
    </row>
    <row r="56" spans="1:35" ht="24.75">
      <c r="A56" s="3354" t="s">
        <v>1363</v>
      </c>
      <c r="B56" s="3332"/>
      <c r="C56" s="3332"/>
      <c r="D56" s="12">
        <f ca="1">IF(H56="个人住宅",D57,D58)</f>
        <v>168</v>
      </c>
      <c r="E56" s="1256" t="s">
        <v>1364</v>
      </c>
      <c r="F56" s="2340" t="str">
        <f>IF(H56="正常",F58,"免征")</f>
        <v>免征</v>
      </c>
      <c r="G56" s="2343" t="s">
        <v>1365</v>
      </c>
      <c r="H56" s="2344"/>
      <c r="I56" s="1670"/>
      <c r="J56" s="2310" t="str">
        <f>IF(项目基本情况!K6="上海银行",IF(J55="",4,J55+1),"")</f>
        <v/>
      </c>
      <c r="K56" s="3275" t="str">
        <f>IF(项目基本情况!K6="上海银行","其他处置费用","")</f>
        <v/>
      </c>
      <c r="L56" s="3276"/>
      <c r="M56" s="2312" t="str">
        <f>IF(项目基本情况!K6="上海银行",M69,"")</f>
        <v/>
      </c>
      <c r="N56" s="3275" t="str">
        <f>IF(项目基本情况!K6="上海银行","包含处置中涉及的律师、诉讼、拍卖、评估等费用","")</f>
        <v/>
      </c>
      <c r="O56" s="3278"/>
    </row>
    <row r="57" spans="1:35" ht="12.75">
      <c r="A57" s="2153" t="s">
        <v>1341</v>
      </c>
      <c r="B57" s="3318" t="s">
        <v>1366</v>
      </c>
      <c r="C57" s="3319"/>
      <c r="D57" s="1478">
        <v>0</v>
      </c>
      <c r="E57" s="316" t="s">
        <v>1343</v>
      </c>
      <c r="F57" s="294"/>
      <c r="G57" s="2341"/>
      <c r="H57" s="2345"/>
      <c r="I57" s="1670"/>
      <c r="J57" s="3294">
        <f>IF(AND(J55="",J56=""),4,IF(项目基本情况!K6="上海银行",结果表!J56+1,结果表!J55+1))</f>
        <v>5</v>
      </c>
      <c r="K57" s="3294" t="s">
        <v>1367</v>
      </c>
      <c r="L57" s="2317" t="s">
        <v>1368</v>
      </c>
      <c r="M57" s="2318"/>
      <c r="N57" s="2319">
        <f ca="1">SUMIF(M52:M56,"&lt;9e307")</f>
        <v>171</v>
      </c>
      <c r="O57" s="2320"/>
      <c r="P57" s="2465">
        <f ca="1">N57/M49</f>
        <v>0.57770270270270274</v>
      </c>
    </row>
    <row r="58" spans="1:35" ht="24.75">
      <c r="A58" s="2153" t="s">
        <v>1352</v>
      </c>
      <c r="B58" s="3318" t="s">
        <v>1369</v>
      </c>
      <c r="C58" s="3317"/>
      <c r="D58" s="12">
        <f ca="1">IF(H58="转让取得",C81,C97)</f>
        <v>168</v>
      </c>
      <c r="E58" s="1256" t="s">
        <v>1364</v>
      </c>
      <c r="F58" s="294" t="s">
        <v>28</v>
      </c>
      <c r="G58" s="2341"/>
      <c r="H58" s="2344"/>
      <c r="I58" s="1670"/>
      <c r="J58" s="3294"/>
      <c r="K58" s="3294"/>
      <c r="L58" s="2317" t="s">
        <v>1370</v>
      </c>
      <c r="M58" s="2321"/>
      <c r="N58" s="2322" t="str">
        <f ca="1">NUMBERSTRING(INT(N57*10000),2)&amp;"元整"</f>
        <v>壹佰柒拾壹万元整</v>
      </c>
      <c r="O58" s="2323"/>
    </row>
    <row r="59" spans="1:35" ht="24.75" thickBot="1">
      <c r="A59" s="3298" t="s">
        <v>1371</v>
      </c>
      <c r="B59" s="3299"/>
      <c r="C59" s="3299"/>
      <c r="D59" s="2346">
        <f ca="1">IF(H59="非个人房产","——",IF(H59="个人住宅（满五唯一有凭证）",0,IF(H59="个人其他（无凭证）",ROUND(D45*F59,0),ROUND(C67*F59,0))))</f>
        <v>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6">
        <f>J57+1</f>
        <v>6</v>
      </c>
      <c r="K59" s="3294" t="s">
        <v>1372</v>
      </c>
      <c r="L59" s="2310" t="s">
        <v>1368</v>
      </c>
      <c r="M59" s="2324"/>
      <c r="N59" s="2325">
        <f ca="1">M49-N57</f>
        <v>125</v>
      </c>
      <c r="O59" s="2326"/>
    </row>
    <row r="60" spans="1:35" ht="12" customHeight="1">
      <c r="A60" s="1671"/>
      <c r="B60" s="646"/>
      <c r="C60" s="646"/>
      <c r="D60" s="646"/>
      <c r="E60" s="1466"/>
      <c r="F60" s="1670"/>
      <c r="G60" s="1670"/>
      <c r="H60" s="151"/>
      <c r="I60" s="121"/>
      <c r="J60" s="3297"/>
      <c r="K60" s="3294"/>
      <c r="L60" s="2317" t="s">
        <v>1370</v>
      </c>
      <c r="M60" s="2321"/>
      <c r="N60" s="2322" t="str">
        <f ca="1">NUMBERSTRING(INT(N59*10000),2)&amp;"元整"</f>
        <v>壹佰贰拾伍万元整</v>
      </c>
      <c r="O60" s="2323"/>
    </row>
    <row r="61" spans="1:35" ht="13.5" thickBot="1">
      <c r="A61" s="3353" t="s">
        <v>1373</v>
      </c>
      <c r="B61" s="3353"/>
      <c r="C61" s="3353"/>
      <c r="D61" s="3353"/>
      <c r="E61" s="3353"/>
      <c r="F61" s="1670"/>
      <c r="G61" s="1670"/>
      <c r="H61" s="151"/>
      <c r="I61" s="121"/>
      <c r="J61" s="2310">
        <f>J59+1</f>
        <v>7</v>
      </c>
      <c r="K61" s="3294" t="s">
        <v>1374</v>
      </c>
      <c r="L61" s="3294"/>
      <c r="M61" s="2327"/>
      <c r="N61" s="2328">
        <f ca="1">ROUND(N59*10000/'数据-汇总表'!E3,0)</f>
        <v>6619</v>
      </c>
      <c r="O61" s="2329"/>
    </row>
    <row r="62" spans="1:35" ht="12.75">
      <c r="A62" s="3313" t="s">
        <v>1375</v>
      </c>
      <c r="B62" s="3314"/>
      <c r="C62" s="1865"/>
      <c r="D62" s="1865" t="s">
        <v>1376</v>
      </c>
      <c r="E62" s="158" t="s">
        <v>1377</v>
      </c>
      <c r="F62" s="1670"/>
      <c r="G62" s="1670"/>
      <c r="H62" s="151"/>
      <c r="I62" s="121"/>
    </row>
    <row r="63" spans="1:35" ht="12.75">
      <c r="A63" s="165" t="s">
        <v>330</v>
      </c>
      <c r="B63" s="159" t="s">
        <v>1378</v>
      </c>
      <c r="C63" s="2350">
        <f ca="1">ROUND((C64+C65)/(1+'数据-取费表'!C42),0)</f>
        <v>282</v>
      </c>
      <c r="D63" s="159"/>
      <c r="E63" s="160"/>
      <c r="F63" s="1670"/>
      <c r="G63" s="1670"/>
      <c r="H63" s="151"/>
      <c r="I63" s="121"/>
      <c r="J63" s="3277" t="s">
        <v>1379</v>
      </c>
      <c r="K63" s="1245" t="s">
        <v>1380</v>
      </c>
      <c r="L63" s="1245">
        <f ca="1">IF(M49&gt;10000,M49*0.5%,IF(AND(M49&gt;1000,M49&lt;=10000),M49*1%,IF(AND(M49&gt;100,M49&lt;=1000),M49*3%,IF(AND(M49&gt;10,M49&lt;=100),M49*5%,M49*8%))))</f>
        <v>8.879999999999999</v>
      </c>
      <c r="M63" s="294">
        <f ca="1">ROUND(L63,1)</f>
        <v>8.9</v>
      </c>
      <c r="N63" s="2330"/>
      <c r="Z63" s="1623"/>
      <c r="AI63" s="1561"/>
    </row>
    <row r="64" spans="1:35" ht="14.25" customHeight="1">
      <c r="A64" s="161" t="s">
        <v>325</v>
      </c>
      <c r="B64" s="162" t="s">
        <v>1381</v>
      </c>
      <c r="C64" s="2351">
        <f ca="1">D45</f>
        <v>296</v>
      </c>
      <c r="D64" s="162" t="s">
        <v>26</v>
      </c>
      <c r="E64" s="164"/>
      <c r="F64" s="1670"/>
      <c r="G64" s="1670"/>
      <c r="H64" s="151"/>
      <c r="I64" s="121"/>
      <c r="J64" s="3277"/>
      <c r="K64" s="1245" t="s">
        <v>1382</v>
      </c>
      <c r="L64" s="1245">
        <f ca="1">IF(M49&gt;2000,M49*0.5%,IF(AND(M49&gt;1000,M49&lt;=2000),M49*0.6%,IF(AND(M49&gt;500,M49&lt;=1000),M49*0.7%,IF(AND(M49&gt;200,M49&lt;=500),M49*0.8%,IF(AND(M49&gt;100,M49&lt;=200),M49*0.9%,IF(AND(M49&gt;50,M49&lt;=100),M49*1%,IF(AND(M49&gt;20,M49&lt;=50),M49*1.5%,IF(AND(M49&gt;10,M49&lt;=20),M49*2%,IF(AND(M49&gt;1,M49&lt;=10),M49*2.5%)))))))))</f>
        <v>2.3679999999999999</v>
      </c>
      <c r="M64" s="294">
        <f t="shared" ref="M64:M65" ca="1" si="1">ROUND(L64,1)</f>
        <v>2.4</v>
      </c>
      <c r="N64" s="2331" t="s">
        <v>1383</v>
      </c>
      <c r="Z64" s="1623"/>
      <c r="AI64" s="1561"/>
    </row>
    <row r="65" spans="1:35" ht="14.25" customHeight="1">
      <c r="A65" s="161" t="s">
        <v>326</v>
      </c>
      <c r="B65" s="162" t="s">
        <v>1384</v>
      </c>
      <c r="C65" s="2352"/>
      <c r="D65" s="162"/>
      <c r="E65" s="164"/>
      <c r="F65" s="1670"/>
      <c r="G65" s="1670"/>
      <c r="H65" s="151"/>
      <c r="I65" s="121"/>
      <c r="J65" s="3277"/>
      <c r="K65" s="1245" t="s">
        <v>1385</v>
      </c>
      <c r="L65" s="1245">
        <f ca="1">IF(M49&gt;1000,M49*0.1%,IF(AND(M49&gt;500,M49&lt;=1000),M49*0.5%,IF(AND(M49&gt;50,M49&lt;=500),M49*1%,IF(AND(M49&gt;1,M49&lt;=50),M49*1.5%))))</f>
        <v>2.96</v>
      </c>
      <c r="M65" s="294">
        <f t="shared" ca="1" si="1"/>
        <v>3</v>
      </c>
      <c r="N65" s="2331" t="s">
        <v>1383</v>
      </c>
      <c r="Z65" s="1623"/>
      <c r="AI65" s="1561"/>
    </row>
    <row r="66" spans="1:35" ht="14.25" customHeight="1">
      <c r="A66" s="165" t="s">
        <v>327</v>
      </c>
      <c r="B66" s="166" t="s">
        <v>1386</v>
      </c>
      <c r="C66" s="2353"/>
      <c r="D66" s="166" t="s">
        <v>26</v>
      </c>
      <c r="E66" s="1251" t="s">
        <v>671</v>
      </c>
      <c r="F66" s="1670"/>
      <c r="G66" s="1670"/>
      <c r="H66" s="151"/>
      <c r="I66" s="121"/>
      <c r="J66" s="3277"/>
      <c r="K66" s="1245" t="s">
        <v>1387</v>
      </c>
      <c r="L66" s="1245">
        <f ca="1">M49*0.5%</f>
        <v>1.48</v>
      </c>
      <c r="M66" s="294">
        <f ca="1">IF(L66&gt;0.5,0.5,ROUND(L66,0))</f>
        <v>0.5</v>
      </c>
      <c r="N66" s="2331" t="s">
        <v>1388</v>
      </c>
      <c r="Z66" s="1623"/>
      <c r="AI66" s="1561"/>
    </row>
    <row r="67" spans="1:35" ht="14.25" customHeight="1">
      <c r="A67" s="165" t="s">
        <v>328</v>
      </c>
      <c r="B67" s="166" t="s">
        <v>1389</v>
      </c>
      <c r="C67" s="2354">
        <f ca="1">C63-C66</f>
        <v>282</v>
      </c>
      <c r="D67" s="162" t="s">
        <v>26</v>
      </c>
      <c r="E67" s="164"/>
      <c r="F67" s="1670"/>
      <c r="G67" s="1670"/>
      <c r="H67" s="151"/>
      <c r="I67" s="121"/>
      <c r="J67" s="3277"/>
      <c r="K67" s="1245" t="s">
        <v>1390</v>
      </c>
      <c r="L67" s="1245">
        <f ca="1">IF(M49&gt;=10000,(8.25+(M49-10000)*0.01%),IF(AND(M49&gt;=8000,M49&lt;10000),(7.85+(M49-8000)*0.02%),IF(AND(M49&gt;=5000,M49&lt;8000),(6.65+(M49-5000)*0.04%),IF(AND(M49&gt;=2000,M49&lt;5000),(4.25+(PM49-2000)*0.08%),IF(AND(M49&gt;=1000,M49&lt;2000),(2.75+(M49-1000)*0.15%),IF(AND(M49&gt;=100,M49&lt;1000),(0.5+(M49-100)*0.25%),IF(AND(M49&gt;0,M49&lt;100),M49*0.5%)))))))</f>
        <v>0.99</v>
      </c>
      <c r="M67" s="294">
        <f ca="1">ROUND(L67*0.9,1)</f>
        <v>0.9</v>
      </c>
      <c r="N67" s="2330"/>
      <c r="Z67" s="1623"/>
      <c r="AI67" s="1561"/>
    </row>
    <row r="68" spans="1:35" ht="14.25" customHeight="1" thickBot="1">
      <c r="A68" s="168" t="s">
        <v>329</v>
      </c>
      <c r="B68" s="169" t="s">
        <v>1391</v>
      </c>
      <c r="C68" s="2355">
        <f ca="1">IF(C67&lt;=0,0,ROUND(C67*D68,0))</f>
        <v>16</v>
      </c>
      <c r="D68" s="2356">
        <f>'数据-取费表'!B41</f>
        <v>5.5000000000000007E-2</v>
      </c>
      <c r="E68" s="170"/>
      <c r="F68" s="1670"/>
      <c r="G68" s="1670"/>
      <c r="H68" s="151"/>
      <c r="I68" s="121"/>
      <c r="J68" s="3277"/>
      <c r="K68" s="1245" t="s">
        <v>1392</v>
      </c>
      <c r="L68" s="1245">
        <f ca="1">IF(M49&gt;10000,M49*0.5%,IF(AND(M49&gt;5000,M49&lt;=10000),M49*1%,IF(AND(M49&gt;1000,M49&lt;=5000),M49*2%,IF(AND(M49&gt;200,M49&lt;=1000),M49*3%,M49*5%))))</f>
        <v>8.879999999999999</v>
      </c>
      <c r="M68" s="294">
        <f ca="1">ROUND(L68,1)</f>
        <v>8.9</v>
      </c>
      <c r="N68" s="2330"/>
      <c r="Z68" s="1623"/>
      <c r="AI68" s="1561"/>
    </row>
    <row r="69" spans="1:35" ht="16.5" customHeight="1">
      <c r="A69" s="1672"/>
      <c r="B69" s="1673"/>
      <c r="C69" s="1674"/>
      <c r="D69" s="1675"/>
      <c r="E69" s="1676"/>
      <c r="F69" s="1466"/>
      <c r="G69" s="1466"/>
      <c r="H69" s="1467"/>
      <c r="I69" s="646"/>
      <c r="J69" s="3277"/>
      <c r="K69" s="1245" t="s">
        <v>1393</v>
      </c>
      <c r="L69" s="1245"/>
      <c r="M69" s="294">
        <f ca="1">ROUND(SUM(M63:M68),0)</f>
        <v>25</v>
      </c>
      <c r="N69" s="2332">
        <f ca="1">M69/M49</f>
        <v>8.4459459459459457E-2</v>
      </c>
      <c r="Z69" s="1623"/>
      <c r="AI69" s="1561"/>
    </row>
    <row r="70" spans="1:35" s="642" customFormat="1" ht="15"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3" t="s">
        <v>1375</v>
      </c>
      <c r="B71" s="331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282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8" t="s">
        <v>1402</v>
      </c>
      <c r="F76" s="3317"/>
      <c r="G76" s="3317"/>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5.000000000000001E-3</v>
      </c>
      <c r="E78" s="3310" t="s">
        <v>1406</v>
      </c>
      <c r="F78" s="3311"/>
      <c r="G78" s="3311"/>
      <c r="H78" s="331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281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281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168</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3" t="s">
        <v>1375</v>
      </c>
      <c r="B84" s="331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282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79" t="s">
        <v>2129</v>
      </c>
      <c r="H90" s="3280"/>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0" t="s">
        <v>1419</v>
      </c>
      <c r="F91" s="3311"/>
      <c r="G91" s="331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0" t="s">
        <v>1422</v>
      </c>
      <c r="F92" s="3311"/>
      <c r="G92" s="3311"/>
      <c r="H92" s="3312"/>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5.000000000000001E-3</v>
      </c>
      <c r="E93" s="3310" t="s">
        <v>1406</v>
      </c>
      <c r="F93" s="3311"/>
      <c r="G93" s="3311"/>
      <c r="H93" s="331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5" t="s">
        <v>1426</v>
      </c>
      <c r="F94" s="3356"/>
      <c r="G94" s="3356"/>
      <c r="H94" s="335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281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281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168</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95"/>
      <c r="E100" s="3261" t="s">
        <v>1429</v>
      </c>
      <c r="F100" s="3261"/>
      <c r="G100" s="3261"/>
      <c r="H100" s="3295"/>
      <c r="I100" s="121"/>
    </row>
    <row r="101" spans="1:35" ht="18.75" customHeight="1">
      <c r="A101" s="3303" t="s">
        <v>1430</v>
      </c>
      <c r="B101" s="3304"/>
      <c r="C101" s="2371" t="str">
        <f>C4</f>
        <v>比较法-商业</v>
      </c>
      <c r="D101" s="2372" t="str">
        <f>D4</f>
        <v>收益法 (元)</v>
      </c>
      <c r="E101" s="3273" t="s">
        <v>1431</v>
      </c>
      <c r="F101" s="3274"/>
      <c r="G101" s="1687" t="s">
        <v>1432</v>
      </c>
      <c r="H101" s="2381">
        <f ca="1">H118</f>
        <v>296</v>
      </c>
      <c r="I101" s="121"/>
    </row>
    <row r="102" spans="1:35" ht="18.75" customHeight="1">
      <c r="A102" s="3305" t="s">
        <v>1433</v>
      </c>
      <c r="B102" s="2370" t="s">
        <v>1432</v>
      </c>
      <c r="C102" s="2371">
        <f ca="1">IF(D32="楼面单价",ROUND(C19,0),C19)</f>
        <v>363.4418</v>
      </c>
      <c r="D102" s="2372">
        <f ca="1">IF(D32="楼面单价",ROUND(D19,0),D19)</f>
        <v>171.12960000000001</v>
      </c>
      <c r="E102" s="3273"/>
      <c r="F102" s="3274"/>
      <c r="G102" s="1687" t="s">
        <v>1434</v>
      </c>
      <c r="H102" s="2341">
        <f ca="1">I118</f>
        <v>15674</v>
      </c>
      <c r="I102" s="121"/>
    </row>
    <row r="103" spans="1:35" ht="42.75" customHeight="1">
      <c r="A103" s="3305"/>
      <c r="B103" s="2370" t="s">
        <v>1434</v>
      </c>
      <c r="C103" s="2373">
        <f ca="1">C20</f>
        <v>19245</v>
      </c>
      <c r="D103" s="2374">
        <f ca="1">D20</f>
        <v>9062</v>
      </c>
      <c r="E103" s="3266" t="s">
        <v>1435</v>
      </c>
      <c r="F103" s="3267"/>
      <c r="G103" s="1688" t="s">
        <v>1436</v>
      </c>
      <c r="H103" s="2381">
        <f>IF(D36="正常操作",H104+H105+H106,H105+H106)</f>
        <v>0</v>
      </c>
      <c r="I103" s="121"/>
    </row>
    <row r="104" spans="1:35" ht="18.75" customHeight="1">
      <c r="A104" s="3305" t="s">
        <v>1437</v>
      </c>
      <c r="B104" s="2375" t="s">
        <v>1432</v>
      </c>
      <c r="C104" s="2376">
        <f ca="1">H118</f>
        <v>296</v>
      </c>
      <c r="D104" s="2377"/>
      <c r="E104" s="1555" t="s">
        <v>1438</v>
      </c>
      <c r="F104" s="1548"/>
      <c r="G104" s="1688" t="s">
        <v>1436</v>
      </c>
      <c r="H104" s="2382">
        <f>IF(D36="同一抵押权人同一抵押物续贷",C36&amp;"（续贷，未扣减，详见特别提示）",C36)</f>
        <v>0</v>
      </c>
      <c r="I104" s="121"/>
    </row>
    <row r="105" spans="1:35" ht="18.75" customHeight="1" thickBot="1">
      <c r="A105" s="3315"/>
      <c r="B105" s="2378" t="s">
        <v>1434</v>
      </c>
      <c r="C105" s="2379">
        <f ca="1">I118</f>
        <v>15674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6" t="str">
        <f>IF(项目基本情况!E8="已注销","——","3.房地产抵押价值")</f>
        <v>3.房地产抵押价值</v>
      </c>
      <c r="F107" s="3274"/>
      <c r="G107" s="1687" t="s">
        <v>1432</v>
      </c>
      <c r="H107" s="2381">
        <f ca="1">IF(E107="——","——",H101-H103)</f>
        <v>296</v>
      </c>
      <c r="I107" s="121"/>
    </row>
    <row r="108" spans="1:35" ht="18.75" customHeight="1">
      <c r="A108" s="121"/>
      <c r="B108" s="121"/>
      <c r="C108" s="121"/>
      <c r="D108" s="121"/>
      <c r="E108" s="3306"/>
      <c r="F108" s="3274"/>
      <c r="G108" s="1687" t="s">
        <v>1434</v>
      </c>
      <c r="H108" s="2341">
        <f ca="1">IF(H107=H101,H102,ROUND(H107*10000/'数据-汇总表'!E3,0))</f>
        <v>15674</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274"/>
      <c r="G109" s="1687" t="s">
        <v>1432</v>
      </c>
      <c r="H109" s="2384" t="str">
        <f>IF(E109="——","——",H101-H105-H106)</f>
        <v>——</v>
      </c>
      <c r="I109" s="121"/>
    </row>
    <row r="110" spans="1:35" ht="18.75" customHeight="1">
      <c r="A110" s="121"/>
      <c r="B110" s="121"/>
      <c r="C110" s="121"/>
      <c r="D110" s="121"/>
      <c r="E110" s="3306"/>
      <c r="F110" s="3274"/>
      <c r="G110" s="1687" t="s">
        <v>1434</v>
      </c>
      <c r="H110" s="2341" t="str">
        <f>IF(H109="——","——",ROUND(H109*10000/'数据-汇总表'!E3,0))</f>
        <v>——</v>
      </c>
      <c r="I110" s="121"/>
    </row>
    <row r="111" spans="1:35" ht="18.75" customHeight="1">
      <c r="A111" s="121"/>
      <c r="B111" s="121"/>
      <c r="C111" s="121"/>
      <c r="D111" s="121"/>
      <c r="E111" s="3307" t="str">
        <f>IF(项目基本情况!E9="抵押净值",IF(OR(项目基本情况!E8="已注销",项目基本情况!E8="房地产抵押价值"),"4.抵押净值","5.抵押净值"),"——")</f>
        <v>——</v>
      </c>
      <c r="F111" s="3293"/>
      <c r="G111" s="1687" t="s">
        <v>1432</v>
      </c>
      <c r="H111" s="2381" t="str">
        <f>IF(E111="——","——",N59)</f>
        <v>——</v>
      </c>
      <c r="I111" s="121"/>
    </row>
    <row r="112" spans="1:35" ht="18.75" customHeight="1" thickBot="1">
      <c r="A112" s="121"/>
      <c r="B112" s="121"/>
      <c r="C112" s="121"/>
      <c r="D112" s="121"/>
      <c r="E112" s="3308"/>
      <c r="F112" s="3309"/>
      <c r="G112" s="1690" t="s">
        <v>1434</v>
      </c>
      <c r="H112" s="2385"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1" t="s">
        <v>1443</v>
      </c>
      <c r="B116" s="3285" t="s">
        <v>1444</v>
      </c>
      <c r="C116" s="3285" t="s">
        <v>1445</v>
      </c>
      <c r="D116" s="3291" t="s">
        <v>1446</v>
      </c>
      <c r="E116" s="3292"/>
      <c r="F116" s="3323" t="s">
        <v>1447</v>
      </c>
      <c r="G116" s="3323"/>
      <c r="H116" s="3281" t="s">
        <v>1448</v>
      </c>
      <c r="I116" s="3281"/>
    </row>
    <row r="117" spans="1:27" ht="18.75" customHeight="1">
      <c r="A117" s="3281"/>
      <c r="B117" s="3286"/>
      <c r="C117" s="328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188.85</v>
      </c>
      <c r="C118" s="2150">
        <f>M19</f>
        <v>0</v>
      </c>
      <c r="D118" s="2150">
        <f ca="1">ROUND(IF(D32="总价",C34,E118*B118/10000),0)</f>
        <v>203</v>
      </c>
      <c r="E118" s="2150">
        <f ca="1">ROUND(IF(C33="自定义",IF(D32="楼面单价",C34,D118*10000/B118),I118-G118),0)</f>
        <v>10749</v>
      </c>
      <c r="F118" s="2150">
        <f ca="1">ROUND(IF(D32="总价",C35,G118*B118/10000),0)</f>
        <v>93</v>
      </c>
      <c r="G118" s="2150">
        <f ca="1">ROUND(IF(D32="楼面单价",C35,F118*10000/B118),0)</f>
        <v>4925</v>
      </c>
      <c r="H118" s="2150">
        <f ca="1">ROUND(IF(D32="总价",C32,I118*B118/10000),0)</f>
        <v>296</v>
      </c>
      <c r="I118" s="2150">
        <f ca="1">ROUND(IF(D32="楼面单价",C32,H118*10000/B118),0)</f>
        <v>15674</v>
      </c>
    </row>
    <row r="119" spans="1:27" ht="18.75" customHeight="1">
      <c r="A119" s="3281" t="s">
        <v>1452</v>
      </c>
      <c r="B119" s="3281"/>
      <c r="C119" s="3281"/>
      <c r="D119" s="3287" t="str">
        <f ca="1">NUMBERSTRING(INT(D118*10000),2)&amp;"元整"</f>
        <v>贰佰零叁万元整</v>
      </c>
      <c r="E119" s="3288"/>
      <c r="F119" s="3287" t="str">
        <f ca="1">NUMBERSTRING(INT(F118*10000),2)&amp;"元整"</f>
        <v>玖拾叁万元整</v>
      </c>
      <c r="G119" s="3288"/>
      <c r="H119" s="3287" t="str">
        <f ca="1">NUMBERSTRING(INT(H118*10000),2)&amp;"元整"</f>
        <v>贰佰玖拾陆万元整</v>
      </c>
      <c r="I119" s="3288"/>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9"/>
      <c r="C121" s="3288"/>
      <c r="D121" s="3287" t="str">
        <f>IF(D120=0,"零元整",NUMBERSTRING(INT(D120*10000),2)&amp;"元整")</f>
        <v>零元整</v>
      </c>
      <c r="E121" s="3289"/>
      <c r="F121" s="3289"/>
      <c r="G121" s="3289"/>
      <c r="H121" s="3289"/>
      <c r="I121" s="3288"/>
      <c r="AA121" s="684"/>
    </row>
    <row r="122" spans="1:27" ht="18.75" customHeight="1">
      <c r="A122" s="3293" t="str">
        <f>IF(项目基本情况!B9="房地产市场价值","",MID(E107,3,LEN(E107)-2))</f>
        <v>房地产抵押价值</v>
      </c>
      <c r="B122" s="3293"/>
      <c r="C122" s="3293"/>
      <c r="D122" s="3282">
        <f ca="1">H107</f>
        <v>296</v>
      </c>
      <c r="E122" s="3283"/>
      <c r="F122" s="3283"/>
      <c r="G122" s="3283"/>
      <c r="H122" s="3283"/>
      <c r="I122" s="3284"/>
      <c r="AA122" s="684"/>
    </row>
    <row r="123" spans="1:27" ht="18.75" customHeight="1">
      <c r="A123" s="3281" t="s">
        <v>1452</v>
      </c>
      <c r="B123" s="3281"/>
      <c r="C123" s="3281"/>
      <c r="D123" s="3287" t="str">
        <f ca="1">NUMBERSTRING(INT(D122*10000),2)&amp;"元整"</f>
        <v>贰佰玖拾陆万元整</v>
      </c>
      <c r="E123" s="3289"/>
      <c r="F123" s="3289"/>
      <c r="G123" s="3289"/>
      <c r="H123" s="3289"/>
      <c r="I123" s="3288"/>
      <c r="AA123" s="684"/>
    </row>
    <row r="124" spans="1:27" ht="18.75" customHeight="1">
      <c r="A124" s="3293" t="str">
        <f>IF(项目基本情况!B9="房地产市场价值","",MID(E109,3,LEN(E109)-2))</f>
        <v/>
      </c>
      <c r="B124" s="3293"/>
      <c r="C124" s="3293"/>
      <c r="D124" s="3282" t="str">
        <f>H109</f>
        <v>——</v>
      </c>
      <c r="E124" s="3283"/>
      <c r="F124" s="3283"/>
      <c r="G124" s="3283"/>
      <c r="H124" s="3283"/>
      <c r="I124" s="3284"/>
      <c r="AA124" s="684"/>
    </row>
    <row r="125" spans="1:27" ht="18.75" customHeight="1">
      <c r="A125" s="3281" t="s">
        <v>1452</v>
      </c>
      <c r="B125" s="3281"/>
      <c r="C125" s="3281"/>
      <c r="D125" s="3287" t="e">
        <f>NUMBERSTRING(INT(D124*10000),2)&amp;"元整"</f>
        <v>#VALUE!</v>
      </c>
      <c r="E125" s="3289"/>
      <c r="F125" s="3289"/>
      <c r="G125" s="3289"/>
      <c r="H125" s="3289"/>
      <c r="I125" s="3288"/>
      <c r="AA125" s="684"/>
    </row>
    <row r="126" spans="1:27" ht="18.75" customHeight="1">
      <c r="A126" s="3293" t="str">
        <f>IF(项目基本情况!B9="房地产市场价值","",MID(E111,3,LEN(E111)-2))</f>
        <v/>
      </c>
      <c r="B126" s="3293"/>
      <c r="C126" s="3293"/>
      <c r="D126" s="3282" t="str">
        <f>H111</f>
        <v>——</v>
      </c>
      <c r="E126" s="3283"/>
      <c r="F126" s="3283"/>
      <c r="G126" s="3283"/>
      <c r="H126" s="3283"/>
      <c r="I126" s="3284"/>
      <c r="AA126" s="684"/>
    </row>
    <row r="127" spans="1:27" ht="18.75" customHeight="1">
      <c r="A127" s="3281" t="s">
        <v>1452</v>
      </c>
      <c r="B127" s="3281"/>
      <c r="C127" s="3281"/>
      <c r="D127" s="3287" t="e">
        <f>NUMBERSTRING(INT(D126*10000),2)&amp;"元整"</f>
        <v>#VALUE!</v>
      </c>
      <c r="E127" s="3289"/>
      <c r="F127" s="3289"/>
      <c r="G127" s="3289"/>
      <c r="H127" s="3289"/>
      <c r="I127" s="3288"/>
      <c r="AA127" s="684"/>
    </row>
    <row r="128" spans="1:27" ht="21.75" customHeight="1">
      <c r="A128" s="3290" t="s">
        <v>1453</v>
      </c>
      <c r="B128" s="3290"/>
      <c r="C128" s="3290"/>
      <c r="D128" s="3290"/>
      <c r="E128" s="3290"/>
      <c r="F128" s="3290"/>
      <c r="G128" s="3290"/>
      <c r="H128" s="3290"/>
      <c r="I128" s="329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北京市房地产抵押价值预评估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21162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1120572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15108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15108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188.85</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188.85</v>
      </c>
      <c r="E19" s="203">
        <f>'数据-取费表'!B31</f>
        <v>200</v>
      </c>
      <c r="F19" s="223"/>
      <c r="G19" s="1714"/>
    </row>
    <row r="20" spans="1:7" s="206" customFormat="1" ht="13.5" customHeight="1">
      <c r="A20" s="247" t="s">
        <v>1493</v>
      </c>
      <c r="B20" s="202" t="s">
        <v>1494</v>
      </c>
      <c r="C20" s="224">
        <f ca="1">ROUND((C5+C19)*F20,0)</f>
        <v>302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970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961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9</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3083</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3083</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21091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66</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v>
      </c>
      <c r="D37" s="209">
        <f ca="1">D19</f>
        <v>188.85</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0" t="s">
        <v>1544</v>
      </c>
    </row>
    <row r="43" spans="1:7" ht="13.5" customHeight="1">
      <c r="A43" s="734" t="s">
        <v>347</v>
      </c>
      <c r="B43" s="207" t="s">
        <v>1545</v>
      </c>
      <c r="C43" s="230">
        <f ca="1">ROUND(IF('数据-取费表'!B22&lt;=1,C39*F22*'数据-取费表'!B21/2,C39*(POWER((1+F22),'数据-取费表'!B21/2)-1)),0)</f>
        <v>0</v>
      </c>
      <c r="D43" s="230"/>
      <c r="E43" s="230"/>
      <c r="F43" s="231"/>
      <c r="G43" s="3361"/>
    </row>
    <row r="44" spans="1:7" ht="13.5" customHeight="1">
      <c r="A44" s="734" t="s">
        <v>348</v>
      </c>
      <c r="B44" s="207" t="s">
        <v>1546</v>
      </c>
      <c r="C44" s="230">
        <f ca="1">ROUND(IF('数据-取费表'!B22&lt;=1,C40*F22*'数据-取费表'!B21/2,C40*(POWER((1+F22),'数据-取费表'!B21/2)-1)),4)</f>
        <v>5.9999999999999995E-4</v>
      </c>
      <c r="D44" s="230"/>
      <c r="E44" s="230"/>
      <c r="F44" s="231"/>
      <c r="G44" s="3362"/>
    </row>
    <row r="45" spans="1:7" s="206" customFormat="1" ht="13.5" customHeight="1">
      <c r="A45" s="247" t="s">
        <v>1547</v>
      </c>
      <c r="B45" s="236" t="s">
        <v>1513</v>
      </c>
      <c r="C45" s="237">
        <f ca="1">C46</f>
        <v>15</v>
      </c>
      <c r="D45" s="227">
        <f ca="1">C47</f>
        <v>4.0000000000000001E-3</v>
      </c>
      <c r="E45" s="228" t="s">
        <v>1539</v>
      </c>
      <c r="F45" s="238">
        <f ca="1">F27</f>
        <v>0.2</v>
      </c>
      <c r="G45" s="239" t="s">
        <v>1548</v>
      </c>
    </row>
    <row r="46" spans="1:7" s="206" customFormat="1" ht="13.5" customHeight="1">
      <c r="A46" s="734" t="s">
        <v>346</v>
      </c>
      <c r="B46" s="240" t="s">
        <v>1549</v>
      </c>
      <c r="C46" s="241">
        <f ca="1">ROUND((C33+C39)*F27,0)</f>
        <v>15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100</v>
      </c>
      <c r="D49" s="224"/>
      <c r="E49" s="224"/>
      <c r="F49" s="256"/>
      <c r="G49" s="226" t="s">
        <v>1554</v>
      </c>
    </row>
    <row r="50" spans="1:7" s="250" customFormat="1" ht="24">
      <c r="A50" s="247" t="s">
        <v>1555</v>
      </c>
      <c r="B50" s="202" t="s">
        <v>1556</v>
      </c>
      <c r="C50" s="224"/>
      <c r="D50" s="224"/>
      <c r="E50" s="224"/>
      <c r="F50" s="256">
        <f>IF('数据-取费表'!B24=0,'数据-取费表'!N16,1)</f>
        <v>0.71</v>
      </c>
      <c r="G50" s="239" t="s">
        <v>1557</v>
      </c>
    </row>
    <row r="51" spans="1:7" ht="16.5" customHeight="1">
      <c r="A51" s="247" t="s">
        <v>1558</v>
      </c>
      <c r="B51" s="202" t="s">
        <v>1559</v>
      </c>
      <c r="C51" s="224">
        <f ca="1">ROUND(C49*F50,0)</f>
        <v>71</v>
      </c>
      <c r="D51" s="224"/>
      <c r="E51" s="224"/>
      <c r="F51" s="256"/>
      <c r="G51" s="226" t="s">
        <v>1560</v>
      </c>
    </row>
    <row r="52" spans="1:7" s="200" customFormat="1" ht="16.5" thickBot="1">
      <c r="A52" s="257" t="s">
        <v>1561</v>
      </c>
      <c r="B52" s="258"/>
      <c r="C52" s="259">
        <f ca="1">C31+C51</f>
        <v>21162</v>
      </c>
      <c r="D52" s="258"/>
      <c r="E52" s="258"/>
      <c r="F52" s="258"/>
      <c r="G52" s="260"/>
    </row>
    <row r="55" spans="1:7" ht="15">
      <c r="B55" s="262" t="s">
        <v>1562</v>
      </c>
      <c r="C55" s="263"/>
    </row>
    <row r="56" spans="1:7">
      <c r="B56" s="265" t="s">
        <v>802</v>
      </c>
      <c r="C56" s="267">
        <f ca="1">1-C57</f>
        <v>0.997</v>
      </c>
    </row>
    <row r="57" spans="1:7">
      <c r="B57" s="265" t="s">
        <v>803</v>
      </c>
      <c r="C57" s="266">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0" zoomScaleNormal="70" zoomScaleSheetLayoutView="100" workbookViewId="0">
      <selection activeCell="G57" sqref="G5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5" t="s">
        <v>3452</v>
      </c>
      <c r="F1" s="1735" t="s">
        <v>3453</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363.4418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19245</v>
      </c>
      <c r="C3" s="344" t="s">
        <v>1768</v>
      </c>
      <c r="D3" s="343">
        <f>IF(D1="",'数据-汇总表'!E3,SUMIF('数据-汇总表'!$C19:$C33,D1,'数据-汇总表'!$E19:$E33))</f>
        <v>188.85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69" t="s">
        <v>1771</v>
      </c>
      <c r="S4" s="3370"/>
      <c r="T4" s="3369" t="s">
        <v>1772</v>
      </c>
      <c r="U4" s="3370"/>
      <c r="V4" s="3366" t="s">
        <v>1773</v>
      </c>
      <c r="W4" s="3366"/>
      <c r="X4" s="1265"/>
      <c r="Y4" s="3369" t="s">
        <v>1775</v>
      </c>
      <c r="Z4" s="3370"/>
      <c r="AA4" s="3363" t="s">
        <v>1771</v>
      </c>
      <c r="AB4" s="3366" t="s">
        <v>1772</v>
      </c>
      <c r="AC4" s="3363" t="s">
        <v>1773</v>
      </c>
    </row>
    <row r="5" spans="1:29" ht="15.75" thickBot="1">
      <c r="A5" s="348"/>
      <c r="B5" s="349"/>
      <c r="C5" s="3375" t="s">
        <v>1673</v>
      </c>
      <c r="D5" s="3376"/>
      <c r="E5" s="3373" t="s">
        <v>3449</v>
      </c>
      <c r="F5" s="3374"/>
      <c r="G5" s="3379" t="s">
        <v>3450</v>
      </c>
      <c r="H5" s="3376"/>
      <c r="I5" s="3379" t="s">
        <v>3451</v>
      </c>
      <c r="J5" s="3376"/>
      <c r="K5" s="537"/>
      <c r="L5" s="2487"/>
      <c r="M5" s="2488"/>
      <c r="N5" s="2488"/>
      <c r="O5" s="2488"/>
      <c r="P5" s="3389"/>
      <c r="Q5" s="3390"/>
      <c r="R5" s="3371"/>
      <c r="S5" s="3372"/>
      <c r="T5" s="3371"/>
      <c r="U5" s="3372"/>
      <c r="V5" s="3366"/>
      <c r="W5" s="3366"/>
      <c r="X5" s="1265"/>
      <c r="Y5" s="3371"/>
      <c r="Z5" s="3372"/>
      <c r="AA5" s="3364"/>
      <c r="AB5" s="3366"/>
      <c r="AC5" s="3364"/>
    </row>
    <row r="6" spans="1:29" ht="15.75" hidden="1" thickBot="1">
      <c r="A6" s="350"/>
      <c r="B6" s="351"/>
      <c r="C6" s="3377" t="s">
        <v>1677</v>
      </c>
      <c r="D6" s="3378"/>
      <c r="E6" s="3380" t="s">
        <v>1677</v>
      </c>
      <c r="F6" s="3381"/>
      <c r="G6" s="3377" t="s">
        <v>1677</v>
      </c>
      <c r="H6" s="3378"/>
      <c r="I6" s="3377" t="s">
        <v>1677</v>
      </c>
      <c r="J6" s="3378"/>
      <c r="K6" s="537" t="s">
        <v>1678</v>
      </c>
      <c r="L6" s="2487"/>
      <c r="M6" s="2488"/>
      <c r="N6" s="2488"/>
      <c r="O6" s="2488"/>
      <c r="P6" s="3391"/>
      <c r="Q6" s="3392"/>
      <c r="R6" s="3371"/>
      <c r="S6" s="3372"/>
      <c r="T6" s="3393"/>
      <c r="U6" s="3394"/>
      <c r="V6" s="3366"/>
      <c r="W6" s="3366"/>
      <c r="X6" s="1265"/>
      <c r="Y6" s="3393"/>
      <c r="Z6" s="3394"/>
      <c r="AA6" s="3365"/>
      <c r="AB6" s="3366"/>
      <c r="AC6" s="3365"/>
    </row>
    <row r="7" spans="1:29" s="102" customFormat="1" ht="15.75" thickBot="1">
      <c r="A7" s="352" t="s">
        <v>1679</v>
      </c>
      <c r="B7" s="353"/>
      <c r="C7" s="354">
        <f>'数据-取费表'!B2</f>
        <v>45917</v>
      </c>
      <c r="D7" s="355">
        <v>100</v>
      </c>
      <c r="E7" s="356">
        <v>45748</v>
      </c>
      <c r="F7" s="357">
        <f>SUMIF(58:58,YEAR(E7)&amp;"-"&amp;MONTH(E7),59:59)</f>
        <v>100</v>
      </c>
      <c r="G7" s="356">
        <v>45748</v>
      </c>
      <c r="H7" s="355">
        <f>SUMIF(58:58,YEAR(G7)&amp;"-"&amp;MONTH(G7),59:59)</f>
        <v>100</v>
      </c>
      <c r="I7" s="356">
        <v>45748</v>
      </c>
      <c r="J7" s="355">
        <f>SUMIF(58:58,YEAR(I7)&amp;"-"&amp;MONTH(I7),59:59)</f>
        <v>100</v>
      </c>
      <c r="K7" s="38"/>
      <c r="L7" s="2489"/>
      <c r="M7" s="2440"/>
      <c r="N7" s="2440"/>
      <c r="O7" s="2440"/>
      <c r="P7" s="3367" t="s">
        <v>1680</v>
      </c>
      <c r="Q7" s="3395"/>
      <c r="R7" s="664" t="s">
        <v>14</v>
      </c>
      <c r="S7" s="665">
        <f t="shared" ref="S7:S15" si="0">F7</f>
        <v>100</v>
      </c>
      <c r="T7" s="664" t="s">
        <v>14</v>
      </c>
      <c r="U7" s="665">
        <f t="shared" ref="U7:U15" si="1">H7</f>
        <v>100</v>
      </c>
      <c r="V7" s="664" t="s">
        <v>14</v>
      </c>
      <c r="W7" s="665">
        <f t="shared" ref="W7:W15" si="2">J7</f>
        <v>100</v>
      </c>
      <c r="X7" s="666"/>
      <c r="Y7" s="3367" t="s">
        <v>1680</v>
      </c>
      <c r="Z7" s="3368"/>
      <c r="AA7" s="50">
        <f>D7/F7</f>
        <v>1</v>
      </c>
      <c r="AB7" s="50">
        <f>D7/H7</f>
        <v>1</v>
      </c>
      <c r="AC7" s="50">
        <f>D7/J7</f>
        <v>1</v>
      </c>
    </row>
    <row r="8" spans="1:29" s="102" customFormat="1" ht="15.75" thickBot="1">
      <c r="A8" s="352" t="s">
        <v>1681</v>
      </c>
      <c r="B8" s="353"/>
      <c r="C8" s="358" t="s">
        <v>3454</v>
      </c>
      <c r="D8" s="355">
        <v>100</v>
      </c>
      <c r="E8" s="358" t="s">
        <v>3439</v>
      </c>
      <c r="F8" s="357">
        <f>SUMIF(61:61,E8,62:62)-SUMIF(61:61,C8,62:62)+100</f>
        <v>105</v>
      </c>
      <c r="G8" s="358" t="s">
        <v>3439</v>
      </c>
      <c r="H8" s="355">
        <f>SUMIF(61:61,G8,62:62)-SUMIF(61:61,C8,62:62)+100</f>
        <v>105</v>
      </c>
      <c r="I8" s="358" t="s">
        <v>3439</v>
      </c>
      <c r="J8" s="355">
        <f>SUMIF(61:61,I8,62:62)-SUMIF(61:61,C8,62:62)+100</f>
        <v>105</v>
      </c>
      <c r="K8" s="38"/>
      <c r="L8" s="2489"/>
      <c r="M8" s="2440"/>
      <c r="N8" s="2440"/>
      <c r="O8" s="2440"/>
      <c r="P8" s="3367" t="s">
        <v>1683</v>
      </c>
      <c r="Q8" s="3368"/>
      <c r="R8" s="664" t="s">
        <v>14</v>
      </c>
      <c r="S8" s="665">
        <f t="shared" si="0"/>
        <v>105</v>
      </c>
      <c r="T8" s="664" t="s">
        <v>14</v>
      </c>
      <c r="U8" s="665">
        <f t="shared" si="1"/>
        <v>105</v>
      </c>
      <c r="V8" s="664" t="s">
        <v>14</v>
      </c>
      <c r="W8" s="665">
        <f t="shared" si="2"/>
        <v>105</v>
      </c>
      <c r="X8" s="666"/>
      <c r="Y8" s="3367" t="s">
        <v>1683</v>
      </c>
      <c r="Z8" s="3368"/>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60" t="s">
        <v>673</v>
      </c>
      <c r="D9" s="59">
        <v>100</v>
      </c>
      <c r="E9" s="361" t="s">
        <v>673</v>
      </c>
      <c r="F9" s="60">
        <f>SUMIF(63:63,E9,64:64)-SUMIF(63:63,C9,64:64)+100</f>
        <v>100</v>
      </c>
      <c r="G9" s="361" t="s">
        <v>673</v>
      </c>
      <c r="H9" s="59">
        <f>SUMIF(63:63,G9,64:64)-SUMIF(63:63,C9,64:64)+100</f>
        <v>100</v>
      </c>
      <c r="I9" s="361" t="s">
        <v>673</v>
      </c>
      <c r="J9" s="59">
        <f>SUMIF(63:63,I9,64:64)-SUMIF(63:63,C9,64:64)+100</f>
        <v>100</v>
      </c>
      <c r="K9" s="38"/>
      <c r="L9" s="2489"/>
      <c r="M9" s="2440"/>
      <c r="N9" s="2440"/>
      <c r="O9" s="2440"/>
      <c r="P9" s="338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75" thickBot="1">
      <c r="A10" s="363"/>
      <c r="B10" s="364" t="s">
        <v>1688</v>
      </c>
      <c r="C10" s="3134" t="s">
        <v>3440</v>
      </c>
      <c r="D10" s="119">
        <v>100</v>
      </c>
      <c r="E10" s="3134" t="s">
        <v>3440</v>
      </c>
      <c r="F10" s="364">
        <f>SUMIF(65:65,E10,66:66)-SUMIF(65:65,C10,66:66)+100</f>
        <v>100</v>
      </c>
      <c r="G10" s="3133" t="s">
        <v>3440</v>
      </c>
      <c r="H10" s="119">
        <f>SUMIF(65:65,G10,66:66)-SUMIF(65:65,C10,66:66)+100</f>
        <v>100</v>
      </c>
      <c r="I10" s="3133" t="s">
        <v>3440</v>
      </c>
      <c r="J10" s="119">
        <f>SUMIF(65:65,I10,66:66)-SUMIF(65:65,C10,66:66)+100</f>
        <v>100</v>
      </c>
      <c r="K10" s="38"/>
      <c r="L10" s="2490"/>
      <c r="M10" s="2491"/>
      <c r="N10" s="2491"/>
      <c r="O10" s="2491"/>
      <c r="P10" s="338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382"/>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2"/>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97</v>
      </c>
      <c r="I15" s="381"/>
      <c r="J15" s="380">
        <f>SUMIF(76:76,I16,77:77)-SUMIF(76:76,C16,77:77)+100</f>
        <v>97</v>
      </c>
      <c r="K15" s="540">
        <v>3</v>
      </c>
      <c r="L15" s="2493"/>
      <c r="M15" s="2488"/>
      <c r="N15" s="2488"/>
      <c r="O15" s="2488"/>
      <c r="P15" s="3396" t="s">
        <v>1691</v>
      </c>
      <c r="Q15" s="1263" t="str">
        <f t="shared" si="6"/>
        <v>商业繁华度</v>
      </c>
      <c r="R15" s="667" t="s">
        <v>14</v>
      </c>
      <c r="S15" s="668">
        <f t="shared" si="0"/>
        <v>100</v>
      </c>
      <c r="T15" s="667" t="s">
        <v>14</v>
      </c>
      <c r="U15" s="668">
        <f t="shared" si="1"/>
        <v>97</v>
      </c>
      <c r="V15" s="667" t="s">
        <v>14</v>
      </c>
      <c r="W15" s="668">
        <f t="shared" si="2"/>
        <v>97</v>
      </c>
      <c r="X15" s="1265"/>
      <c r="Y15" s="3398" t="s">
        <v>1691</v>
      </c>
      <c r="Z15" s="1264" t="str">
        <f t="shared" si="7"/>
        <v>商业繁华度</v>
      </c>
      <c r="AA15" s="1264">
        <f t="shared" si="3"/>
        <v>1</v>
      </c>
      <c r="AB15" s="1264">
        <f t="shared" si="4"/>
        <v>1.0309278350515463</v>
      </c>
      <c r="AC15" s="1264">
        <f t="shared" si="5"/>
        <v>1.0309278350515463</v>
      </c>
    </row>
    <row r="16" spans="1:29" ht="15">
      <c r="A16" s="367"/>
      <c r="B16" s="385"/>
      <c r="C16" s="386" t="s">
        <v>3432</v>
      </c>
      <c r="D16" s="387"/>
      <c r="E16" s="386" t="s">
        <v>3432</v>
      </c>
      <c r="F16" s="388"/>
      <c r="G16" s="386" t="s">
        <v>3433</v>
      </c>
      <c r="H16" s="389"/>
      <c r="I16" s="386" t="s">
        <v>3433</v>
      </c>
      <c r="J16" s="387"/>
      <c r="K16" s="541"/>
      <c r="L16" s="2493"/>
      <c r="M16" s="2488"/>
      <c r="N16" s="2488"/>
      <c r="O16" s="2488"/>
      <c r="P16" s="3397"/>
      <c r="Q16" s="1263"/>
      <c r="R16" s="667"/>
      <c r="S16" s="668"/>
      <c r="T16" s="667"/>
      <c r="U16" s="668"/>
      <c r="V16" s="667"/>
      <c r="W16" s="668"/>
      <c r="X16" s="1265"/>
      <c r="Y16" s="3399"/>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97</v>
      </c>
      <c r="I17" s="391"/>
      <c r="J17" s="394">
        <f>SUMIF(78:78,I18,79:79)-SUMIF(78:78,C18,79:79)+100</f>
        <v>100</v>
      </c>
      <c r="K17" s="540">
        <v>3</v>
      </c>
      <c r="L17" s="2493"/>
      <c r="M17" s="2488"/>
      <c r="N17" s="2488"/>
      <c r="O17" s="2488"/>
      <c r="P17" s="3397"/>
      <c r="Q17" s="1263" t="str">
        <f>B17</f>
        <v>交通便捷度</v>
      </c>
      <c r="R17" s="667" t="s">
        <v>14</v>
      </c>
      <c r="S17" s="668">
        <f>F17</f>
        <v>100</v>
      </c>
      <c r="T17" s="667" t="s">
        <v>14</v>
      </c>
      <c r="U17" s="668">
        <f>H17</f>
        <v>97</v>
      </c>
      <c r="V17" s="667" t="s">
        <v>14</v>
      </c>
      <c r="W17" s="668">
        <f>J17</f>
        <v>100</v>
      </c>
      <c r="X17" s="1265"/>
      <c r="Y17" s="3399"/>
      <c r="Z17" s="1264" t="str">
        <f>Q17</f>
        <v>交通便捷度</v>
      </c>
      <c r="AA17" s="1264">
        <f t="shared" si="3"/>
        <v>1</v>
      </c>
      <c r="AB17" s="1264">
        <f t="shared" si="4"/>
        <v>1.0309278350515463</v>
      </c>
      <c r="AC17" s="1264">
        <f t="shared" si="5"/>
        <v>1</v>
      </c>
    </row>
    <row r="18" spans="1:29" ht="15">
      <c r="A18" s="367"/>
      <c r="B18" s="395"/>
      <c r="C18" s="1755" t="s">
        <v>3432</v>
      </c>
      <c r="D18" s="389"/>
      <c r="E18" s="1757" t="s">
        <v>3432</v>
      </c>
      <c r="F18" s="392"/>
      <c r="G18" s="1756" t="s">
        <v>3433</v>
      </c>
      <c r="H18" s="387"/>
      <c r="I18" s="1757" t="s">
        <v>3432</v>
      </c>
      <c r="J18" s="387"/>
      <c r="K18" s="541"/>
      <c r="L18" s="2493"/>
      <c r="M18" s="2488"/>
      <c r="N18" s="2488"/>
      <c r="O18" s="2488"/>
      <c r="P18" s="3397"/>
      <c r="Q18" s="1263"/>
      <c r="R18" s="667"/>
      <c r="S18" s="668"/>
      <c r="T18" s="667"/>
      <c r="U18" s="668"/>
      <c r="V18" s="667"/>
      <c r="W18" s="668"/>
      <c r="X18" s="1265"/>
      <c r="Y18" s="3399"/>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v>3</v>
      </c>
      <c r="L19" s="2493"/>
      <c r="M19" s="2488"/>
      <c r="N19" s="2488"/>
      <c r="O19" s="2488"/>
      <c r="P19" s="3397"/>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264">
        <f t="shared" si="5"/>
        <v>1</v>
      </c>
    </row>
    <row r="20" spans="1:29" ht="15">
      <c r="A20" s="367"/>
      <c r="B20" s="395"/>
      <c r="C20" s="386" t="s">
        <v>3432</v>
      </c>
      <c r="D20" s="387"/>
      <c r="E20" s="1752" t="s">
        <v>3432</v>
      </c>
      <c r="F20" s="388"/>
      <c r="G20" s="1751" t="s">
        <v>3432</v>
      </c>
      <c r="H20" s="387"/>
      <c r="I20" s="1752" t="s">
        <v>3432</v>
      </c>
      <c r="J20" s="387"/>
      <c r="K20" s="541"/>
      <c r="L20" s="2493"/>
      <c r="M20" s="2488"/>
      <c r="N20" s="2488"/>
      <c r="O20" s="2488"/>
      <c r="P20" s="3397"/>
      <c r="Q20" s="1263"/>
      <c r="R20" s="667"/>
      <c r="S20" s="668"/>
      <c r="T20" s="667"/>
      <c r="U20" s="668"/>
      <c r="V20" s="667"/>
      <c r="W20" s="668"/>
      <c r="X20" s="1265"/>
      <c r="Y20" s="3399"/>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3"/>
      <c r="M21" s="2488"/>
      <c r="N21" s="2488"/>
      <c r="O21" s="2488"/>
      <c r="P21" s="3397"/>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t="s">
        <v>3441</v>
      </c>
      <c r="D22" s="387"/>
      <c r="E22" s="386" t="s">
        <v>3441</v>
      </c>
      <c r="F22" s="388"/>
      <c r="G22" s="386" t="s">
        <v>3441</v>
      </c>
      <c r="H22" s="387"/>
      <c r="I22" s="386" t="s">
        <v>3441</v>
      </c>
      <c r="J22" s="387"/>
      <c r="K22" s="1064"/>
      <c r="L22" s="2493"/>
      <c r="M22" s="2488"/>
      <c r="N22" s="2488"/>
      <c r="O22" s="2488"/>
      <c r="P22" s="3397"/>
      <c r="Q22" s="1263"/>
      <c r="R22" s="667"/>
      <c r="S22" s="668"/>
      <c r="T22" s="667"/>
      <c r="U22" s="668"/>
      <c r="V22" s="667"/>
      <c r="W22" s="668"/>
      <c r="X22" s="1265"/>
      <c r="Y22" s="3399"/>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v>3</v>
      </c>
      <c r="L23" s="2493"/>
      <c r="M23" s="2488"/>
      <c r="N23" s="2488"/>
      <c r="O23" s="2488"/>
      <c r="P23" s="3397"/>
      <c r="Q23" s="1263" t="str">
        <f>B23</f>
        <v>自然及人文环境</v>
      </c>
      <c r="R23" s="667" t="s">
        <v>14</v>
      </c>
      <c r="S23" s="668">
        <f>F23</f>
        <v>100</v>
      </c>
      <c r="T23" s="667" t="s">
        <v>14</v>
      </c>
      <c r="U23" s="668">
        <f>H23</f>
        <v>100</v>
      </c>
      <c r="V23" s="667" t="s">
        <v>14</v>
      </c>
      <c r="W23" s="668">
        <f>J23</f>
        <v>100</v>
      </c>
      <c r="X23" s="1265"/>
      <c r="Y23" s="3399"/>
      <c r="Z23" s="1264" t="str">
        <f>Q23</f>
        <v>自然及人文环境</v>
      </c>
      <c r="AA23" s="1264">
        <f t="shared" si="3"/>
        <v>1</v>
      </c>
      <c r="AB23" s="1264">
        <f t="shared" si="4"/>
        <v>1</v>
      </c>
      <c r="AC23" s="1264">
        <f t="shared" si="5"/>
        <v>1</v>
      </c>
    </row>
    <row r="24" spans="1:29" ht="15">
      <c r="A24" s="367"/>
      <c r="B24" s="395"/>
      <c r="C24" s="386" t="s">
        <v>3432</v>
      </c>
      <c r="D24" s="387"/>
      <c r="E24" s="1752" t="s">
        <v>3432</v>
      </c>
      <c r="F24" s="388"/>
      <c r="G24" s="1751" t="s">
        <v>3432</v>
      </c>
      <c r="H24" s="387"/>
      <c r="I24" s="1752" t="s">
        <v>3432</v>
      </c>
      <c r="J24" s="387"/>
      <c r="K24" s="541"/>
      <c r="L24" s="2493"/>
      <c r="M24" s="2488"/>
      <c r="N24" s="2488"/>
      <c r="O24" s="2488"/>
      <c r="P24" s="3397"/>
      <c r="Q24" s="1263"/>
      <c r="R24" s="667"/>
      <c r="S24" s="668"/>
      <c r="T24" s="667"/>
      <c r="U24" s="668"/>
      <c r="V24" s="667"/>
      <c r="W24" s="668"/>
      <c r="X24" s="1265"/>
      <c r="Y24" s="3399"/>
      <c r="Z24" s="1264"/>
      <c r="AA24" s="1264">
        <v>1</v>
      </c>
      <c r="AB24" s="1264">
        <v>1</v>
      </c>
      <c r="AC24" s="1264">
        <v>1</v>
      </c>
    </row>
    <row r="25" spans="1:29" ht="15">
      <c r="A25" s="367"/>
      <c r="B25" s="364" t="s">
        <v>1780</v>
      </c>
      <c r="C25" s="542" t="s">
        <v>3442</v>
      </c>
      <c r="D25" s="374">
        <v>100</v>
      </c>
      <c r="E25" s="542" t="s">
        <v>3442</v>
      </c>
      <c r="F25" s="400">
        <f>SUMIF(86:86,E25,87:87)-SUMIF(86:86,C25,87:87)+100</f>
        <v>100</v>
      </c>
      <c r="G25" s="542" t="s">
        <v>3442</v>
      </c>
      <c r="H25" s="374">
        <f>SUMIF(86:86,G25,87:87)-SUMIF(86:86,C25,87:87)+100</f>
        <v>100</v>
      </c>
      <c r="I25" s="542" t="s">
        <v>3442</v>
      </c>
      <c r="J25" s="374">
        <f>SUMIF(86:86,I25,87:87)-SUMIF(86:86,C25,87:87)+100</f>
        <v>100</v>
      </c>
      <c r="K25" s="538">
        <v>5</v>
      </c>
      <c r="L25" s="2493"/>
      <c r="M25" s="2488"/>
      <c r="N25" s="2488"/>
      <c r="O25" s="2488"/>
      <c r="P25" s="3397"/>
      <c r="Q25" s="1263" t="str">
        <f t="shared" ref="Q25:Q46" si="11">B25</f>
        <v>临街状况</v>
      </c>
      <c r="R25" s="667" t="s">
        <v>14</v>
      </c>
      <c r="S25" s="668">
        <f>F25</f>
        <v>100</v>
      </c>
      <c r="T25" s="667" t="s">
        <v>14</v>
      </c>
      <c r="U25" s="668">
        <f>H25</f>
        <v>100</v>
      </c>
      <c r="V25" s="667" t="s">
        <v>14</v>
      </c>
      <c r="W25" s="668">
        <f>J25</f>
        <v>100</v>
      </c>
      <c r="X25" s="1265"/>
      <c r="Y25" s="3399"/>
      <c r="Z25" s="1264" t="str">
        <f>Q25</f>
        <v>临街状况</v>
      </c>
      <c r="AA25" s="1264">
        <f t="shared" si="3"/>
        <v>1</v>
      </c>
      <c r="AB25" s="1264">
        <f t="shared" si="4"/>
        <v>1</v>
      </c>
      <c r="AC25" s="1264">
        <f t="shared" si="5"/>
        <v>1</v>
      </c>
    </row>
    <row r="26" spans="1:29" ht="15">
      <c r="A26" s="367"/>
      <c r="B26" s="1066" t="s">
        <v>1781</v>
      </c>
      <c r="C26" s="373" t="s">
        <v>3432</v>
      </c>
      <c r="D26" s="374">
        <v>100</v>
      </c>
      <c r="E26" s="373" t="s">
        <v>3432</v>
      </c>
      <c r="F26" s="400">
        <f>SUMIF(88:88,E26,89:89)-SUMIF(88:88,C26,89:89)+100</f>
        <v>100</v>
      </c>
      <c r="G26" s="373" t="s">
        <v>3432</v>
      </c>
      <c r="H26" s="374">
        <f>SUMIF(88:88,G26,89:89)-SUMIF(88:88,C26,89:89)+100</f>
        <v>100</v>
      </c>
      <c r="I26" s="373" t="s">
        <v>3432</v>
      </c>
      <c r="J26" s="374">
        <f>SUMIF(88:88,I26,89:89)-SUMIF(88:88,C26,89:89)+100</f>
        <v>100</v>
      </c>
      <c r="K26" s="539"/>
      <c r="L26" s="2493"/>
      <c r="M26" s="2488"/>
      <c r="N26" s="2488"/>
      <c r="O26" s="2488"/>
      <c r="P26" s="3397"/>
      <c r="Q26" s="1263" t="str">
        <f t="shared" si="11"/>
        <v>平面位置/可视性</v>
      </c>
      <c r="R26" s="667" t="s">
        <v>14</v>
      </c>
      <c r="S26" s="668">
        <f>F26</f>
        <v>100</v>
      </c>
      <c r="T26" s="667" t="s">
        <v>14</v>
      </c>
      <c r="U26" s="668">
        <f>H26</f>
        <v>100</v>
      </c>
      <c r="V26" s="667" t="s">
        <v>14</v>
      </c>
      <c r="W26" s="668">
        <f>J26</f>
        <v>100</v>
      </c>
      <c r="X26" s="1265"/>
      <c r="Y26" s="3399"/>
      <c r="Z26" s="1264" t="str">
        <f>Q26</f>
        <v>平面位置/可视性</v>
      </c>
      <c r="AA26" s="1264">
        <f t="shared" si="3"/>
        <v>1</v>
      </c>
      <c r="AB26" s="1264">
        <f t="shared" si="4"/>
        <v>1</v>
      </c>
      <c r="AC26" s="1264">
        <f t="shared" si="5"/>
        <v>1</v>
      </c>
    </row>
    <row r="27" spans="1:29" s="102" customFormat="1" ht="15">
      <c r="A27" s="370"/>
      <c r="B27" s="390" t="s">
        <v>1782</v>
      </c>
      <c r="C27" s="1807" t="s">
        <v>3443</v>
      </c>
      <c r="D27" s="401">
        <v>100</v>
      </c>
      <c r="E27" s="1807" t="s">
        <v>3443</v>
      </c>
      <c r="F27" s="395">
        <f>SUMIF(90:90,E27,91:91)-SUMIF(90:90,C27,91:91)+100</f>
        <v>100</v>
      </c>
      <c r="G27" s="1807" t="s">
        <v>3433</v>
      </c>
      <c r="H27" s="401">
        <f>SUMIF(90:90,G27,91:91)-SUMIF(90:90,C27,91:91)+100</f>
        <v>97</v>
      </c>
      <c r="I27" s="1807" t="s">
        <v>3433</v>
      </c>
      <c r="J27" s="401">
        <f>SUMIF(90:90,I27,91:91)-SUMIF(90:90,C27,91:91)+100</f>
        <v>97</v>
      </c>
      <c r="K27" s="538">
        <v>3</v>
      </c>
      <c r="L27" s="2489"/>
      <c r="M27" s="2440"/>
      <c r="N27" s="2440"/>
      <c r="O27" s="2440"/>
      <c r="P27" s="3397"/>
      <c r="Q27" s="530" t="str">
        <f t="shared" si="11"/>
        <v>人流量</v>
      </c>
      <c r="R27" s="664" t="s">
        <v>14</v>
      </c>
      <c r="S27" s="665">
        <f>F27</f>
        <v>100</v>
      </c>
      <c r="T27" s="664" t="s">
        <v>14</v>
      </c>
      <c r="U27" s="665">
        <f>H27</f>
        <v>97</v>
      </c>
      <c r="V27" s="664" t="s">
        <v>14</v>
      </c>
      <c r="W27" s="665">
        <f>J27</f>
        <v>97</v>
      </c>
      <c r="X27" s="666"/>
      <c r="Y27" s="3399"/>
      <c r="Z27" s="50" t="str">
        <f>Q27</f>
        <v>人流量</v>
      </c>
      <c r="AA27" s="1264">
        <f>D27/F27</f>
        <v>1</v>
      </c>
      <c r="AB27" s="1264">
        <f>D27/H27</f>
        <v>1.0309278350515463</v>
      </c>
      <c r="AC27" s="1264">
        <f>D27/J27</f>
        <v>1.0309278350515463</v>
      </c>
    </row>
    <row r="28" spans="1:29" ht="15.75" thickBot="1">
      <c r="A28" s="367"/>
      <c r="B28" s="364" t="s">
        <v>1783</v>
      </c>
      <c r="C28" s="542" t="s">
        <v>3461</v>
      </c>
      <c r="D28" s="374">
        <v>100</v>
      </c>
      <c r="E28" s="542" t="s">
        <v>3461</v>
      </c>
      <c r="F28" s="400">
        <f>SUMIF(92:92,E28,93:93)-SUMIF(92:92,C28,93:93)+100</f>
        <v>100</v>
      </c>
      <c r="G28" s="542" t="s">
        <v>3461</v>
      </c>
      <c r="H28" s="374">
        <f>SUMIF(92:92,G28,93:93)-SUMIF(92:92,C28,93:93)+100</f>
        <v>100</v>
      </c>
      <c r="I28" s="542" t="s">
        <v>3461</v>
      </c>
      <c r="J28" s="374">
        <f>SUMIF(92:92,I28,93:93)-SUMIF(92:92,C28,93:93)+100</f>
        <v>100</v>
      </c>
      <c r="K28" s="539"/>
      <c r="L28" s="2493"/>
      <c r="M28" s="2488"/>
      <c r="N28" s="2488"/>
      <c r="O28" s="2488"/>
      <c r="P28" s="339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9"/>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97"/>
      <c r="Q29" s="1263">
        <f t="shared" si="11"/>
        <v>111</v>
      </c>
      <c r="R29" s="667" t="s">
        <v>14</v>
      </c>
      <c r="S29" s="668">
        <f t="shared" si="12"/>
        <v>100</v>
      </c>
      <c r="T29" s="667" t="s">
        <v>14</v>
      </c>
      <c r="U29" s="668">
        <f t="shared" si="13"/>
        <v>100</v>
      </c>
      <c r="V29" s="667" t="s">
        <v>14</v>
      </c>
      <c r="W29" s="668">
        <f t="shared" si="14"/>
        <v>100</v>
      </c>
      <c r="X29" s="1265"/>
      <c r="Y29" s="3399"/>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97"/>
      <c r="Q30" s="1263">
        <f t="shared" si="11"/>
        <v>111</v>
      </c>
      <c r="R30" s="667" t="s">
        <v>14</v>
      </c>
      <c r="S30" s="668">
        <f t="shared" si="12"/>
        <v>100</v>
      </c>
      <c r="T30" s="667" t="s">
        <v>14</v>
      </c>
      <c r="U30" s="668">
        <f t="shared" si="13"/>
        <v>100</v>
      </c>
      <c r="V30" s="667" t="s">
        <v>14</v>
      </c>
      <c r="W30" s="668">
        <f t="shared" si="14"/>
        <v>100</v>
      </c>
      <c r="X30" s="1265"/>
      <c r="Y30" s="3399"/>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97"/>
      <c r="Q31" s="1263">
        <f t="shared" si="11"/>
        <v>111</v>
      </c>
      <c r="R31" s="667" t="s">
        <v>14</v>
      </c>
      <c r="S31" s="668">
        <f t="shared" si="12"/>
        <v>100</v>
      </c>
      <c r="T31" s="667" t="s">
        <v>14</v>
      </c>
      <c r="U31" s="668">
        <f t="shared" si="13"/>
        <v>100</v>
      </c>
      <c r="V31" s="667" t="s">
        <v>14</v>
      </c>
      <c r="W31" s="668">
        <f t="shared" si="14"/>
        <v>100</v>
      </c>
      <c r="X31" s="1265"/>
      <c r="Y31" s="3399"/>
      <c r="Z31" s="1264">
        <f t="shared" si="15"/>
        <v>111</v>
      </c>
      <c r="AA31" s="1264">
        <f t="shared" si="3"/>
        <v>1</v>
      </c>
      <c r="AB31" s="1264">
        <f t="shared" si="4"/>
        <v>1</v>
      </c>
      <c r="AC31" s="1264">
        <f t="shared" si="5"/>
        <v>1</v>
      </c>
    </row>
    <row r="32" spans="1:29" ht="15">
      <c r="A32" s="379" t="s">
        <v>1694</v>
      </c>
      <c r="B32" s="60" t="s">
        <v>1784</v>
      </c>
      <c r="C32" s="1764" t="s">
        <v>3444</v>
      </c>
      <c r="D32" s="405">
        <v>100</v>
      </c>
      <c r="E32" s="1764" t="s">
        <v>3444</v>
      </c>
      <c r="F32" s="400">
        <f>SUMIF(100:100,E32,101:101)-SUMIF(100:100,C32,101:101)+100</f>
        <v>100</v>
      </c>
      <c r="G32" s="1764" t="s">
        <v>3444</v>
      </c>
      <c r="H32" s="374">
        <f>SUMIF(100:100,G32,101:101)-SUMIF(100:100,C32,101:101)+100</f>
        <v>100</v>
      </c>
      <c r="I32" s="1764" t="s">
        <v>3444</v>
      </c>
      <c r="J32" s="405">
        <f>SUMIF(100:100,I32,101:101)-SUMIF(100:100,C32,101:101)+100</f>
        <v>100</v>
      </c>
      <c r="K32" s="538">
        <v>5</v>
      </c>
      <c r="L32" s="2493"/>
      <c r="M32" s="2488"/>
      <c r="N32" s="2488"/>
      <c r="O32" s="2488"/>
      <c r="P32" s="3400" t="s">
        <v>1696</v>
      </c>
      <c r="Q32" s="1263" t="str">
        <f t="shared" si="11"/>
        <v>商业类型</v>
      </c>
      <c r="R32" s="667" t="s">
        <v>14</v>
      </c>
      <c r="S32" s="668">
        <f t="shared" si="12"/>
        <v>100</v>
      </c>
      <c r="T32" s="667" t="s">
        <v>14</v>
      </c>
      <c r="U32" s="668">
        <f t="shared" si="13"/>
        <v>100</v>
      </c>
      <c r="V32" s="667" t="s">
        <v>14</v>
      </c>
      <c r="W32" s="668">
        <f t="shared" si="14"/>
        <v>100</v>
      </c>
      <c r="X32" s="1265"/>
      <c r="Y32" s="3403" t="s">
        <v>1696</v>
      </c>
      <c r="Z32" s="1264" t="str">
        <f t="shared" si="15"/>
        <v>商业类型</v>
      </c>
      <c r="AA32" s="1264">
        <f t="shared" si="3"/>
        <v>1</v>
      </c>
      <c r="AB32" s="1264">
        <f t="shared" si="4"/>
        <v>1</v>
      </c>
      <c r="AC32" s="1264">
        <f t="shared" si="5"/>
        <v>1</v>
      </c>
    </row>
    <row r="33" spans="1:29" s="408" customFormat="1" ht="15">
      <c r="A33" s="406"/>
      <c r="B33" s="364" t="s">
        <v>1697</v>
      </c>
      <c r="C33" s="407">
        <f>'数据-汇总表'!F19</f>
        <v>188.85</v>
      </c>
      <c r="D33" s="119">
        <v>100</v>
      </c>
      <c r="E33" s="369">
        <v>120</v>
      </c>
      <c r="F33" s="364">
        <f>LOOKUP(E33,103:103,104:104)-LOOKUP(C33,103:103,104:104)+100</f>
        <v>100</v>
      </c>
      <c r="G33" s="368">
        <v>196</v>
      </c>
      <c r="H33" s="119">
        <f>LOOKUP(G33,103:103,104:104)-LOOKUP(C33,103:103,104:104)+100</f>
        <v>100</v>
      </c>
      <c r="I33" s="368">
        <v>75.88</v>
      </c>
      <c r="J33" s="119">
        <f>LOOKUP(I33,103:103,104:104)-LOOKUP(C33,103:103,104:104)+100</f>
        <v>102</v>
      </c>
      <c r="K33" s="539"/>
      <c r="L33" s="2492"/>
      <c r="M33" s="2494"/>
      <c r="N33" s="2494"/>
      <c r="O33" s="2494"/>
      <c r="P33" s="3401"/>
      <c r="Q33" s="531" t="str">
        <f t="shared" si="11"/>
        <v>项目建筑规模</v>
      </c>
      <c r="R33" s="669" t="s">
        <v>14</v>
      </c>
      <c r="S33" s="670">
        <f t="shared" si="12"/>
        <v>100</v>
      </c>
      <c r="T33" s="669" t="s">
        <v>14</v>
      </c>
      <c r="U33" s="670">
        <f t="shared" si="13"/>
        <v>100</v>
      </c>
      <c r="V33" s="669" t="s">
        <v>14</v>
      </c>
      <c r="W33" s="670">
        <f t="shared" si="14"/>
        <v>102</v>
      </c>
      <c r="X33" s="671"/>
      <c r="Y33" s="3403"/>
      <c r="Z33" s="672" t="str">
        <f t="shared" si="15"/>
        <v>项目建筑规模</v>
      </c>
      <c r="AA33" s="1264">
        <f t="shared" si="3"/>
        <v>1</v>
      </c>
      <c r="AB33" s="1264">
        <f t="shared" si="4"/>
        <v>1</v>
      </c>
      <c r="AC33" s="1264">
        <f t="shared" si="5"/>
        <v>0.98039215686274506</v>
      </c>
    </row>
    <row r="34" spans="1:29" ht="15">
      <c r="A34" s="409"/>
      <c r="B34" s="364" t="s">
        <v>1698</v>
      </c>
      <c r="C34" s="399" t="s">
        <v>3423</v>
      </c>
      <c r="D34" s="374">
        <v>100</v>
      </c>
      <c r="E34" s="399" t="s">
        <v>3423</v>
      </c>
      <c r="F34" s="400">
        <f>SUMIF(105:105,E34,106:106)-SUMIF(105:105,C34,106:106)+100</f>
        <v>100</v>
      </c>
      <c r="G34" s="399" t="s">
        <v>3423</v>
      </c>
      <c r="H34" s="374">
        <f>SUMIF(105:105,G34,106:106)-SUMIF(105:105,C34,106:106)+100</f>
        <v>100</v>
      </c>
      <c r="I34" s="399" t="s">
        <v>3422</v>
      </c>
      <c r="J34" s="374">
        <f>SUMIF(105:105,I34,106:106)-SUMIF(105:105,C34,106:106)+100</f>
        <v>97</v>
      </c>
      <c r="K34" s="538">
        <v>3</v>
      </c>
      <c r="L34" s="2493"/>
      <c r="M34" s="2488"/>
      <c r="N34" s="2488"/>
      <c r="O34" s="2488"/>
      <c r="P34" s="3401"/>
      <c r="Q34" s="1263" t="str">
        <f t="shared" si="11"/>
        <v>建筑结构</v>
      </c>
      <c r="R34" s="667" t="s">
        <v>14</v>
      </c>
      <c r="S34" s="668">
        <f t="shared" si="12"/>
        <v>100</v>
      </c>
      <c r="T34" s="667" t="s">
        <v>14</v>
      </c>
      <c r="U34" s="668">
        <f t="shared" si="13"/>
        <v>100</v>
      </c>
      <c r="V34" s="667" t="s">
        <v>14</v>
      </c>
      <c r="W34" s="668">
        <f t="shared" si="14"/>
        <v>97</v>
      </c>
      <c r="X34" s="1265"/>
      <c r="Y34" s="3403"/>
      <c r="Z34" s="1264" t="str">
        <f t="shared" si="15"/>
        <v>建筑结构</v>
      </c>
      <c r="AA34" s="1264">
        <f t="shared" si="3"/>
        <v>1</v>
      </c>
      <c r="AB34" s="1264">
        <f t="shared" si="4"/>
        <v>1</v>
      </c>
      <c r="AC34" s="1264">
        <f t="shared" si="5"/>
        <v>1.0309278350515463</v>
      </c>
    </row>
    <row r="35" spans="1:29" ht="15" hidden="1">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v>2</v>
      </c>
      <c r="L35" s="2493"/>
      <c r="M35" s="2488"/>
      <c r="N35" s="2488"/>
      <c r="O35" s="2488"/>
      <c r="P35" s="3401"/>
      <c r="Q35" s="1263" t="str">
        <f t="shared" si="11"/>
        <v>公共部分装修</v>
      </c>
      <c r="R35" s="667" t="s">
        <v>14</v>
      </c>
      <c r="S35" s="668">
        <f t="shared" si="12"/>
        <v>100</v>
      </c>
      <c r="T35" s="667" t="s">
        <v>14</v>
      </c>
      <c r="U35" s="668">
        <f t="shared" si="13"/>
        <v>100</v>
      </c>
      <c r="V35" s="667" t="s">
        <v>14</v>
      </c>
      <c r="W35" s="668">
        <f t="shared" si="14"/>
        <v>100</v>
      </c>
      <c r="X35" s="1265"/>
      <c r="Y35" s="3403"/>
      <c r="Z35" s="1264" t="str">
        <f t="shared" si="15"/>
        <v>公共部分装修</v>
      </c>
      <c r="AA35" s="1264">
        <f t="shared" si="3"/>
        <v>1</v>
      </c>
      <c r="AB35" s="1264">
        <f t="shared" si="4"/>
        <v>1</v>
      </c>
      <c r="AC35" s="1264">
        <f t="shared" si="5"/>
        <v>1</v>
      </c>
    </row>
    <row r="36" spans="1:29" ht="15">
      <c r="A36" s="409"/>
      <c r="B36" s="364" t="s">
        <v>1786</v>
      </c>
      <c r="C36" s="411">
        <f>'数据-取费表'!N6</f>
        <v>0.71</v>
      </c>
      <c r="D36" s="374">
        <v>100</v>
      </c>
      <c r="E36" s="411">
        <v>0.75</v>
      </c>
      <c r="F36" s="400">
        <f>LOOKUP(E36,110:110,111:111)-LOOKUP(C36,110:110,111:111)+100</f>
        <v>100</v>
      </c>
      <c r="G36" s="411">
        <v>0.7</v>
      </c>
      <c r="H36" s="400">
        <f>LOOKUP(G36,110:110,111:111)-LOOKUP(C36,110:110,111:111)+100</f>
        <v>100</v>
      </c>
      <c r="I36" s="411">
        <v>0.7</v>
      </c>
      <c r="J36" s="374">
        <f>LOOKUP(I36,110:110,111:111)-LOOKUP(C36,110:110,111:111)+100</f>
        <v>100</v>
      </c>
      <c r="K36" s="538">
        <v>2</v>
      </c>
      <c r="L36" s="2493"/>
      <c r="M36" s="2488"/>
      <c r="N36" s="2488"/>
      <c r="O36" s="2488"/>
      <c r="P36" s="3401"/>
      <c r="Q36" s="1263" t="str">
        <f t="shared" si="11"/>
        <v>成新度</v>
      </c>
      <c r="R36" s="667" t="s">
        <v>14</v>
      </c>
      <c r="S36" s="668">
        <f t="shared" si="12"/>
        <v>100</v>
      </c>
      <c r="T36" s="667" t="s">
        <v>14</v>
      </c>
      <c r="U36" s="668">
        <f t="shared" si="13"/>
        <v>100</v>
      </c>
      <c r="V36" s="667" t="s">
        <v>14</v>
      </c>
      <c r="W36" s="668">
        <f t="shared" si="14"/>
        <v>100</v>
      </c>
      <c r="X36" s="1265"/>
      <c r="Y36" s="3403"/>
      <c r="Z36" s="1264" t="str">
        <f t="shared" si="15"/>
        <v>成新度</v>
      </c>
      <c r="AA36" s="1264">
        <f t="shared" si="3"/>
        <v>1</v>
      </c>
      <c r="AB36" s="1264">
        <f t="shared" si="4"/>
        <v>1</v>
      </c>
      <c r="AC36" s="1264">
        <f t="shared" si="5"/>
        <v>1</v>
      </c>
    </row>
    <row r="37" spans="1:29" s="102" customFormat="1" ht="15" hidden="1">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1"/>
      <c r="Q37" s="530" t="str">
        <f t="shared" si="11"/>
        <v>市政基础设施</v>
      </c>
      <c r="R37" s="664" t="s">
        <v>14</v>
      </c>
      <c r="S37" s="665">
        <f t="shared" si="12"/>
        <v>100</v>
      </c>
      <c r="T37" s="664" t="s">
        <v>14</v>
      </c>
      <c r="U37" s="665">
        <f t="shared" si="13"/>
        <v>100</v>
      </c>
      <c r="V37" s="664" t="s">
        <v>14</v>
      </c>
      <c r="W37" s="665">
        <f t="shared" si="14"/>
        <v>100</v>
      </c>
      <c r="X37" s="666"/>
      <c r="Y37" s="3403"/>
      <c r="Z37" s="50" t="str">
        <f t="shared" si="15"/>
        <v>市政基础设施</v>
      </c>
      <c r="AA37" s="50">
        <f t="shared" si="3"/>
        <v>1</v>
      </c>
      <c r="AB37" s="50">
        <f t="shared" si="4"/>
        <v>1</v>
      </c>
      <c r="AC37" s="50">
        <f t="shared" si="5"/>
        <v>1</v>
      </c>
    </row>
    <row r="38" spans="1:29" ht="15">
      <c r="A38" s="409"/>
      <c r="B38" s="364" t="s">
        <v>1788</v>
      </c>
      <c r="C38" s="1760" t="s">
        <v>3445</v>
      </c>
      <c r="D38" s="374">
        <v>100</v>
      </c>
      <c r="E38" s="1760" t="s">
        <v>3445</v>
      </c>
      <c r="F38" s="400">
        <f>SUMIF(114:114,E38,115:115)-SUMIF(114:114,C38,115:115)+100</f>
        <v>100</v>
      </c>
      <c r="G38" s="1760" t="s">
        <v>3448</v>
      </c>
      <c r="H38" s="374">
        <f>SUMIF(114:114,G38,115:115)-SUMIF(114:114,C38,115:115)+100</f>
        <v>98</v>
      </c>
      <c r="I38" s="1760" t="s">
        <v>3448</v>
      </c>
      <c r="J38" s="374">
        <f>SUMIF(114:114,I38,115:115)-SUMIF(114:114,C38,115:115)+100</f>
        <v>98</v>
      </c>
      <c r="K38" s="538">
        <v>2</v>
      </c>
      <c r="L38" s="2493"/>
      <c r="M38" s="2488"/>
      <c r="N38" s="2488"/>
      <c r="O38" s="2488"/>
      <c r="P38" s="3401" t="s">
        <v>1696</v>
      </c>
      <c r="Q38" s="1263" t="str">
        <f t="shared" si="11"/>
        <v>业态</v>
      </c>
      <c r="R38" s="667" t="s">
        <v>14</v>
      </c>
      <c r="S38" s="668">
        <f t="shared" si="12"/>
        <v>100</v>
      </c>
      <c r="T38" s="667" t="s">
        <v>14</v>
      </c>
      <c r="U38" s="668">
        <f t="shared" si="13"/>
        <v>98</v>
      </c>
      <c r="V38" s="667" t="s">
        <v>14</v>
      </c>
      <c r="W38" s="668">
        <f t="shared" si="14"/>
        <v>98</v>
      </c>
      <c r="X38" s="1265"/>
      <c r="Y38" s="3403" t="s">
        <v>1696</v>
      </c>
      <c r="Z38" s="1264" t="str">
        <f t="shared" si="15"/>
        <v>业态</v>
      </c>
      <c r="AA38" s="1264">
        <f t="shared" si="3"/>
        <v>1</v>
      </c>
      <c r="AB38" s="1264">
        <f t="shared" si="4"/>
        <v>1.0204081632653061</v>
      </c>
      <c r="AC38" s="1264">
        <f t="shared" si="5"/>
        <v>1.0204081632653061</v>
      </c>
    </row>
    <row r="39" spans="1:29" ht="15">
      <c r="A39" s="409"/>
      <c r="B39" s="364" t="s">
        <v>1789</v>
      </c>
      <c r="C39" s="1760" t="s">
        <v>3446</v>
      </c>
      <c r="D39" s="374">
        <v>100</v>
      </c>
      <c r="E39" s="1760" t="s">
        <v>3446</v>
      </c>
      <c r="F39" s="400">
        <f>SUMIF(116:116,E39,117:117)-SUMIF(116:116,C39,117:117)+100</f>
        <v>100</v>
      </c>
      <c r="G39" s="1760" t="s">
        <v>3446</v>
      </c>
      <c r="H39" s="374">
        <f>SUMIF(116:116,G39,117:117)-SUMIF(116:116,C39,117:117)+100</f>
        <v>100</v>
      </c>
      <c r="I39" s="1760" t="s">
        <v>3446</v>
      </c>
      <c r="J39" s="374">
        <f>SUMIF(116:116,I39,117:117)-SUMIF(116:116,C39,117:117)+100</f>
        <v>100</v>
      </c>
      <c r="K39" s="538">
        <v>5</v>
      </c>
      <c r="L39" s="2493"/>
      <c r="M39" s="2488"/>
      <c r="N39" s="2488"/>
      <c r="O39" s="2488"/>
      <c r="P39" s="3401"/>
      <c r="Q39" s="1263" t="str">
        <f t="shared" si="11"/>
        <v>层高</v>
      </c>
      <c r="R39" s="667" t="s">
        <v>14</v>
      </c>
      <c r="S39" s="668">
        <f t="shared" si="12"/>
        <v>100</v>
      </c>
      <c r="T39" s="667" t="s">
        <v>14</v>
      </c>
      <c r="U39" s="668">
        <f t="shared" si="13"/>
        <v>100</v>
      </c>
      <c r="V39" s="667" t="s">
        <v>14</v>
      </c>
      <c r="W39" s="668">
        <f t="shared" si="14"/>
        <v>100</v>
      </c>
      <c r="X39" s="1265"/>
      <c r="Y39" s="3403"/>
      <c r="Z39" s="1264" t="str">
        <f t="shared" si="15"/>
        <v>层高</v>
      </c>
      <c r="AA39" s="1264">
        <f t="shared" si="3"/>
        <v>1</v>
      </c>
      <c r="AB39" s="1264">
        <f t="shared" si="4"/>
        <v>1</v>
      </c>
      <c r="AC39" s="1264">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1"/>
      <c r="Q40" s="1263" t="str">
        <f t="shared" si="11"/>
        <v>单套建筑面积</v>
      </c>
      <c r="R40" s="667" t="s">
        <v>14</v>
      </c>
      <c r="S40" s="668">
        <f t="shared" si="12"/>
        <v>100</v>
      </c>
      <c r="T40" s="667" t="s">
        <v>14</v>
      </c>
      <c r="U40" s="668">
        <f t="shared" si="13"/>
        <v>100</v>
      </c>
      <c r="V40" s="667" t="s">
        <v>14</v>
      </c>
      <c r="W40" s="668">
        <f t="shared" si="14"/>
        <v>100</v>
      </c>
      <c r="X40" s="1265"/>
      <c r="Y40" s="3403"/>
      <c r="Z40" s="1264" t="str">
        <f t="shared" si="15"/>
        <v>单套建筑面积</v>
      </c>
      <c r="AA40" s="1264">
        <f t="shared" si="3"/>
        <v>1</v>
      </c>
      <c r="AB40" s="1264">
        <f t="shared" si="4"/>
        <v>1</v>
      </c>
      <c r="AC40" s="1264">
        <f t="shared" si="5"/>
        <v>1</v>
      </c>
    </row>
    <row r="41" spans="1:29" s="408" customFormat="1" ht="15">
      <c r="A41" s="406"/>
      <c r="B41" s="400" t="s">
        <v>1791</v>
      </c>
      <c r="C41" s="542" t="s">
        <v>3432</v>
      </c>
      <c r="D41" s="374">
        <v>100</v>
      </c>
      <c r="E41" s="542" t="s">
        <v>3432</v>
      </c>
      <c r="F41" s="400">
        <f>SUMIF(120:120,E41,121:121)-SUMIF(120:120,C41,121:121)+100</f>
        <v>100</v>
      </c>
      <c r="G41" s="542" t="s">
        <v>3432</v>
      </c>
      <c r="H41" s="374">
        <f>SUMIF(120:120,G41,121:121)-SUMIF(120:120,C41,121:121)+100</f>
        <v>100</v>
      </c>
      <c r="I41" s="542" t="s">
        <v>3432</v>
      </c>
      <c r="J41" s="374">
        <f>SUMIF(120:120,I41,121:121)-SUMIF(120:120,C41,121:121)+100</f>
        <v>100</v>
      </c>
      <c r="K41" s="538">
        <v>2</v>
      </c>
      <c r="L41" s="2492"/>
      <c r="M41" s="2494"/>
      <c r="N41" s="2494"/>
      <c r="O41" s="2494"/>
      <c r="P41" s="3401"/>
      <c r="Q41" s="531" t="str">
        <f t="shared" si="11"/>
        <v>进深比</v>
      </c>
      <c r="R41" s="669" t="s">
        <v>14</v>
      </c>
      <c r="S41" s="670">
        <f t="shared" si="12"/>
        <v>100</v>
      </c>
      <c r="T41" s="669" t="s">
        <v>14</v>
      </c>
      <c r="U41" s="670">
        <f t="shared" si="13"/>
        <v>100</v>
      </c>
      <c r="V41" s="669" t="s">
        <v>14</v>
      </c>
      <c r="W41" s="670">
        <f t="shared" si="14"/>
        <v>100</v>
      </c>
      <c r="X41" s="671"/>
      <c r="Y41" s="3403"/>
      <c r="Z41" s="672" t="str">
        <f t="shared" si="15"/>
        <v>进深比</v>
      </c>
      <c r="AA41" s="1264">
        <f t="shared" si="3"/>
        <v>1</v>
      </c>
      <c r="AB41" s="1264">
        <f t="shared" si="4"/>
        <v>1</v>
      </c>
      <c r="AC41" s="1264">
        <f t="shared" si="5"/>
        <v>1</v>
      </c>
    </row>
    <row r="42" spans="1:29" ht="15">
      <c r="A42" s="409"/>
      <c r="B42" s="364" t="s">
        <v>1792</v>
      </c>
      <c r="C42" s="1760" t="s">
        <v>3447</v>
      </c>
      <c r="D42" s="374">
        <v>100</v>
      </c>
      <c r="E42" s="1760" t="s">
        <v>3447</v>
      </c>
      <c r="F42" s="400">
        <f>SUMIF(122:122,E42,123:123)-SUMIF(122:122,C42,123:123)+100</f>
        <v>100</v>
      </c>
      <c r="G42" s="1760" t="s">
        <v>3447</v>
      </c>
      <c r="H42" s="374">
        <f>SUMIF(122:122,G42,123:123)-SUMIF(122:122,C42,123:123)+100</f>
        <v>100</v>
      </c>
      <c r="I42" s="1760" t="s">
        <v>3447</v>
      </c>
      <c r="J42" s="374">
        <f>SUMIF(122:122,I42,123:123)-SUMIF(122:122,C42,123:123)+100</f>
        <v>100</v>
      </c>
      <c r="K42" s="538">
        <v>2</v>
      </c>
      <c r="L42" s="2493"/>
      <c r="M42" s="2488"/>
      <c r="N42" s="2488"/>
      <c r="O42" s="2488"/>
      <c r="P42" s="3401"/>
      <c r="Q42" s="1263" t="str">
        <f t="shared" si="11"/>
        <v>内部装修</v>
      </c>
      <c r="R42" s="667" t="s">
        <v>14</v>
      </c>
      <c r="S42" s="668">
        <f t="shared" si="12"/>
        <v>100</v>
      </c>
      <c r="T42" s="667" t="s">
        <v>14</v>
      </c>
      <c r="U42" s="668">
        <f t="shared" si="13"/>
        <v>100</v>
      </c>
      <c r="V42" s="667" t="s">
        <v>14</v>
      </c>
      <c r="W42" s="668">
        <f t="shared" si="14"/>
        <v>100</v>
      </c>
      <c r="X42" s="1265"/>
      <c r="Y42" s="3403"/>
      <c r="Z42" s="1264" t="str">
        <f t="shared" si="15"/>
        <v>内部装修</v>
      </c>
      <c r="AA42" s="1264">
        <f t="shared" si="3"/>
        <v>1</v>
      </c>
      <c r="AB42" s="1264">
        <f t="shared" si="4"/>
        <v>1</v>
      </c>
      <c r="AC42" s="1264">
        <f t="shared" si="5"/>
        <v>1</v>
      </c>
    </row>
    <row r="43" spans="1:29" ht="15.75" thickBot="1">
      <c r="A43" s="409"/>
      <c r="B43" s="364" t="s">
        <v>1707</v>
      </c>
      <c r="C43" s="1760" t="s">
        <v>3432</v>
      </c>
      <c r="D43" s="374">
        <v>100</v>
      </c>
      <c r="E43" s="1760" t="s">
        <v>3432</v>
      </c>
      <c r="F43" s="400">
        <f>SUMIF(124:124,E43,125:125)-SUMIF(124:124,C43,125:125)+100</f>
        <v>100</v>
      </c>
      <c r="G43" s="1760" t="s">
        <v>3432</v>
      </c>
      <c r="H43" s="374">
        <f>SUMIF(124:124,G43,125:125)-SUMIF(124:124,C43,125:125)+100</f>
        <v>100</v>
      </c>
      <c r="I43" s="1760" t="s">
        <v>3432</v>
      </c>
      <c r="J43" s="374">
        <f>SUMIF(124:124,I43,125:125)-SUMIF(124:124,C43,125:125)+100</f>
        <v>100</v>
      </c>
      <c r="K43" s="538">
        <v>2</v>
      </c>
      <c r="L43" s="2493"/>
      <c r="M43" s="2488"/>
      <c r="N43" s="2488"/>
      <c r="O43" s="2488"/>
      <c r="P43" s="3401"/>
      <c r="Q43" s="1263" t="str">
        <f t="shared" si="11"/>
        <v>内部装修维护情况</v>
      </c>
      <c r="R43" s="667" t="s">
        <v>14</v>
      </c>
      <c r="S43" s="668">
        <f t="shared" si="12"/>
        <v>100</v>
      </c>
      <c r="T43" s="667" t="s">
        <v>14</v>
      </c>
      <c r="U43" s="668">
        <f t="shared" si="13"/>
        <v>100</v>
      </c>
      <c r="V43" s="667" t="s">
        <v>14</v>
      </c>
      <c r="W43" s="668">
        <f t="shared" si="14"/>
        <v>100</v>
      </c>
      <c r="X43" s="1265"/>
      <c r="Y43" s="3403"/>
      <c r="Z43" s="1264" t="str">
        <f t="shared" si="15"/>
        <v>内部装修维护情况</v>
      </c>
      <c r="AA43" s="1264">
        <f t="shared" si="3"/>
        <v>1</v>
      </c>
      <c r="AB43" s="1264">
        <f t="shared" si="4"/>
        <v>1</v>
      </c>
      <c r="AC43" s="1264">
        <f t="shared" si="5"/>
        <v>1</v>
      </c>
    </row>
    <row r="44" spans="1:29" s="102" customFormat="1" ht="15" hidden="1">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1"/>
      <c r="Q44" s="530">
        <f t="shared" si="11"/>
        <v>111</v>
      </c>
      <c r="R44" s="664" t="s">
        <v>14</v>
      </c>
      <c r="S44" s="665">
        <f t="shared" si="12"/>
        <v>100</v>
      </c>
      <c r="T44" s="664" t="s">
        <v>14</v>
      </c>
      <c r="U44" s="665">
        <f t="shared" si="13"/>
        <v>100</v>
      </c>
      <c r="V44" s="664" t="s">
        <v>14</v>
      </c>
      <c r="W44" s="665">
        <f t="shared" si="14"/>
        <v>100</v>
      </c>
      <c r="X44" s="666"/>
      <c r="Y44" s="3403"/>
      <c r="Z44" s="50">
        <f t="shared" si="15"/>
        <v>111</v>
      </c>
      <c r="AA44" s="50">
        <f t="shared" si="3"/>
        <v>1</v>
      </c>
      <c r="AB44" s="50">
        <f t="shared" si="4"/>
        <v>1</v>
      </c>
      <c r="AC44" s="50">
        <f t="shared" si="5"/>
        <v>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1"/>
      <c r="Q45" s="1263">
        <f t="shared" si="11"/>
        <v>111</v>
      </c>
      <c r="R45" s="667" t="s">
        <v>14</v>
      </c>
      <c r="S45" s="668">
        <f t="shared" si="12"/>
        <v>100</v>
      </c>
      <c r="T45" s="667" t="s">
        <v>14</v>
      </c>
      <c r="U45" s="668">
        <f t="shared" si="13"/>
        <v>100</v>
      </c>
      <c r="V45" s="667" t="s">
        <v>14</v>
      </c>
      <c r="W45" s="668">
        <f t="shared" si="14"/>
        <v>100</v>
      </c>
      <c r="X45" s="1265"/>
      <c r="Y45" s="3403"/>
      <c r="Z45" s="1264">
        <f t="shared" si="15"/>
        <v>111</v>
      </c>
      <c r="AA45" s="1264">
        <f t="shared" si="3"/>
        <v>1</v>
      </c>
      <c r="AB45" s="1264">
        <f t="shared" si="4"/>
        <v>1</v>
      </c>
      <c r="AC45" s="1264">
        <f t="shared" si="5"/>
        <v>1</v>
      </c>
    </row>
    <row r="46" spans="1:29" ht="15.75" hidden="1"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2"/>
      <c r="Q46" s="1263">
        <f t="shared" si="11"/>
        <v>111</v>
      </c>
      <c r="R46" s="667" t="s">
        <v>14</v>
      </c>
      <c r="S46" s="668">
        <f t="shared" si="12"/>
        <v>100</v>
      </c>
      <c r="T46" s="667" t="s">
        <v>14</v>
      </c>
      <c r="U46" s="668">
        <f t="shared" si="13"/>
        <v>100</v>
      </c>
      <c r="V46" s="667" t="s">
        <v>14</v>
      </c>
      <c r="W46" s="668">
        <f t="shared" si="14"/>
        <v>100</v>
      </c>
      <c r="X46" s="1265"/>
      <c r="Y46" s="3404"/>
      <c r="Z46" s="1264">
        <f t="shared" si="15"/>
        <v>111</v>
      </c>
      <c r="AA46" s="1264">
        <f t="shared" si="3"/>
        <v>1</v>
      </c>
      <c r="AB46" s="1264">
        <f t="shared" si="4"/>
        <v>1</v>
      </c>
      <c r="AC46" s="1264">
        <f t="shared" si="5"/>
        <v>1</v>
      </c>
    </row>
    <row r="47" spans="1:29" ht="15">
      <c r="A47" s="416" t="s">
        <v>1708</v>
      </c>
      <c r="B47" s="417"/>
      <c r="C47" s="1081" t="s">
        <v>0</v>
      </c>
      <c r="D47" s="418"/>
      <c r="E47" s="419">
        <f>E51</f>
        <v>19006</v>
      </c>
      <c r="F47" s="420"/>
      <c r="G47" s="421">
        <f>G51</f>
        <v>20220</v>
      </c>
      <c r="H47" s="422"/>
      <c r="I47" s="419">
        <f>I51</f>
        <v>17341</v>
      </c>
      <c r="J47" s="422"/>
      <c r="K47" s="674"/>
      <c r="L47" s="2495"/>
      <c r="M47" s="2488"/>
      <c r="N47" s="2488"/>
      <c r="O47" s="2488"/>
      <c r="P47" s="3405" t="str">
        <f>A47</f>
        <v>成交单价（元/平方米）</v>
      </c>
      <c r="Q47" s="3405"/>
      <c r="R47" s="3366">
        <f>E47</f>
        <v>19006</v>
      </c>
      <c r="S47" s="3366"/>
      <c r="T47" s="3366">
        <f>G47</f>
        <v>20220</v>
      </c>
      <c r="U47" s="3366"/>
      <c r="V47" s="3366">
        <f>I47</f>
        <v>17341</v>
      </c>
      <c r="W47" s="3366"/>
      <c r="X47" s="385"/>
      <c r="Y47" s="673"/>
      <c r="Z47" s="385"/>
      <c r="AA47" s="385"/>
      <c r="AB47" s="385"/>
      <c r="AC47" s="385"/>
    </row>
    <row r="48" spans="1:29" ht="15.75" thickBot="1">
      <c r="A48" s="423" t="s">
        <v>1793</v>
      </c>
      <c r="B48" s="424"/>
      <c r="C48" s="1082">
        <f>R49</f>
        <v>19245</v>
      </c>
      <c r="D48" s="2141" t="s">
        <v>2138</v>
      </c>
      <c r="E48" s="1083">
        <f>R48</f>
        <v>18101</v>
      </c>
      <c r="F48" s="2142"/>
      <c r="G48" s="1082">
        <f>T48</f>
        <v>21530</v>
      </c>
      <c r="H48" s="2142"/>
      <c r="I48" s="1083">
        <f>V48</f>
        <v>18103</v>
      </c>
      <c r="J48" s="2142"/>
      <c r="K48" s="2144">
        <f>F48+H48+J48</f>
        <v>0</v>
      </c>
      <c r="L48" s="2495"/>
      <c r="M48" s="2488"/>
      <c r="N48" s="2488"/>
      <c r="O48" s="2488"/>
      <c r="P48" s="3405" t="str">
        <f>A48</f>
        <v>比较价值（元/平方米）</v>
      </c>
      <c r="Q48" s="3405"/>
      <c r="R48" s="3366">
        <f>IF(F1="售价",ROUND(PRODUCT(R47,AA7:AA46),0),ROUND(PRODUCT(R47,AA7:AA46),1))</f>
        <v>18101</v>
      </c>
      <c r="S48" s="3366"/>
      <c r="T48" s="3366">
        <f>IF(F1="售价",ROUND(PRODUCT(T47,AB7:AB46),0),ROUND(PRODUCT(T47,AB7:AB46),1))</f>
        <v>21530</v>
      </c>
      <c r="U48" s="3366"/>
      <c r="V48" s="3366">
        <f>IF(F1="售价",ROUND(PRODUCT(V47,AC7:AC46),0),ROUND(PRODUCT(V47,AC7:AC46),1))</f>
        <v>18103</v>
      </c>
      <c r="W48" s="3366"/>
      <c r="X48" s="385"/>
      <c r="Y48" s="385"/>
      <c r="Z48" s="385"/>
      <c r="AA48" s="385"/>
      <c r="AB48" s="385"/>
      <c r="AC48" s="385"/>
    </row>
    <row r="49" spans="1:29" ht="15.75" thickBot="1">
      <c r="A49" s="427" t="s">
        <v>1794</v>
      </c>
      <c r="B49" s="428"/>
      <c r="C49" s="351">
        <f>R49</f>
        <v>19245</v>
      </c>
      <c r="D49" s="351"/>
      <c r="E49" s="351"/>
      <c r="F49" s="351"/>
      <c r="G49" s="351"/>
      <c r="H49" s="351"/>
      <c r="I49" s="351"/>
      <c r="J49" s="351"/>
      <c r="K49" s="675"/>
      <c r="L49" s="2495"/>
      <c r="M49" s="2488"/>
      <c r="N49" s="2488"/>
      <c r="O49" s="2488"/>
      <c r="P49" s="3406" t="str">
        <f>A49</f>
        <v>估价对象XX用房的比较价值（楼面单价，元/平方米）</v>
      </c>
      <c r="Q49" s="3407"/>
      <c r="R49" s="3408">
        <f>IF(F1="售价",ROUND(IF(D48="简单平均",AVERAGE(R48:V48),R48*F48+T48*H48+V48*J48),0),ROUND(IF(D48="简单平均",AVERAGE(R48:V48),R48*F48+T48*H48+V48*J48),1))</f>
        <v>19245</v>
      </c>
      <c r="S49" s="3408"/>
      <c r="T49" s="3408"/>
      <c r="U49" s="3408"/>
      <c r="V49" s="3408"/>
      <c r="W49" s="3408"/>
      <c r="X49" s="385"/>
      <c r="Y49" s="385"/>
      <c r="Z49" s="385"/>
      <c r="AA49" s="385"/>
      <c r="AB49" s="385"/>
      <c r="AC49" s="385"/>
    </row>
    <row r="50" spans="1:29">
      <c r="A50" s="2488"/>
      <c r="B50" s="2488"/>
      <c r="C50" s="2488"/>
      <c r="D50" s="2488"/>
      <c r="E50" s="2488">
        <v>21667</v>
      </c>
      <c r="F50" s="2488"/>
      <c r="G50" s="2488">
        <v>18400</v>
      </c>
      <c r="H50" s="2488"/>
      <c r="I50" s="2488">
        <v>19769</v>
      </c>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f>ROUND(E50/P92*P96,0)</f>
        <v>19006</v>
      </c>
      <c r="F51" s="2488"/>
      <c r="G51" s="2488">
        <f>ROUND(G50/P95*P96,0)</f>
        <v>20220</v>
      </c>
      <c r="H51" s="2488"/>
      <c r="I51" s="2488">
        <f>ROUND(I50/P92*P96,0)</f>
        <v>17341</v>
      </c>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f>IF(E47&lt;E48,E48/E47-1,E47/E48-1)</f>
        <v>4.999723772167286E-2</v>
      </c>
      <c r="F52" s="435" t="str">
        <f>IF(OR(E52&gt;=0.3,E52&lt;=-0.3),"超过30%","")</f>
        <v/>
      </c>
      <c r="G52" s="434">
        <f>IF(G47&lt;G48,G48/G47-1,G47/G48-1)</f>
        <v>6.4787339268051358E-2</v>
      </c>
      <c r="H52" s="435" t="str">
        <f>IF(OR(G52&gt;=0.3,G52&lt;=-0.3),"超过30%","")</f>
        <v/>
      </c>
      <c r="I52" s="434">
        <f>IF(I47&lt;I48,I48/I47-1,I47/I48-1)</f>
        <v>4.3942102531572491E-2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f>IF(E48&lt;G48,G48/E48-1,E48/G48-1)</f>
        <v>0.18943704767692382</v>
      </c>
      <c r="F53" s="435" t="str">
        <f>IF(OR(E53&gt;=0.2,E53&lt;=-0.2),"超过20%","")</f>
        <v/>
      </c>
      <c r="G53" s="434">
        <f>IF(G48&lt;I48,I48/G48-1,G48/I48-1)</f>
        <v>0.1893056399491797</v>
      </c>
      <c r="H53" s="435" t="str">
        <f>IF(OR(G53&gt;=0.2,G53&lt;=-0.2),"超过20%","")</f>
        <v/>
      </c>
      <c r="I53" s="434">
        <f>IF(I48&lt;E48,E48/I48-1,I48/E48-1)</f>
        <v>1.1049113308647662E-4</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f>IF(E47&lt;G47,G47/E47-1,E47/G47-1)</f>
        <v>6.3874565926549609E-2</v>
      </c>
      <c r="F54" s="435" t="str">
        <f>IF(OR(E54&gt;=0.3,E54&lt;=-0.3),"超过30%","")</f>
        <v/>
      </c>
      <c r="G54" s="434">
        <f>IF(G47&lt;I47,I47/G47-1,G47/I47-1)</f>
        <v>0.1660227207196816</v>
      </c>
      <c r="H54" s="435" t="str">
        <f>IF(OR(G54&gt;=0.3,G54&lt;=-0.3),"超过30%","")</f>
        <v/>
      </c>
      <c r="I54" s="434">
        <f>IF(I47&lt;E47,E47/I47-1,I47/E47-1)</f>
        <v>9.6015224035522762E-2</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2025-9</v>
      </c>
      <c r="D58" s="1104">
        <f>EDATE(C58,-1)</f>
        <v>45870</v>
      </c>
      <c r="E58" s="1104">
        <f t="shared" ref="E58:N58" si="16">EDATE(D58,-1)</f>
        <v>45839</v>
      </c>
      <c r="F58" s="1104">
        <f t="shared" si="16"/>
        <v>45809</v>
      </c>
      <c r="G58" s="1104">
        <f t="shared" si="16"/>
        <v>45778</v>
      </c>
      <c r="H58" s="1104">
        <f t="shared" si="16"/>
        <v>45748</v>
      </c>
      <c r="I58" s="1104">
        <f t="shared" si="16"/>
        <v>45717</v>
      </c>
      <c r="J58" s="1104">
        <f t="shared" si="16"/>
        <v>45689</v>
      </c>
      <c r="K58" s="1104">
        <f t="shared" si="16"/>
        <v>45658</v>
      </c>
      <c r="L58" s="1104">
        <f t="shared" si="16"/>
        <v>45627</v>
      </c>
      <c r="M58" s="1104">
        <f t="shared" si="16"/>
        <v>45597</v>
      </c>
      <c r="N58" s="1104">
        <f t="shared" si="16"/>
        <v>45566</v>
      </c>
      <c r="O58" s="1104">
        <f>EDATE(N58,-1)</f>
        <v>45536</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v>100</v>
      </c>
      <c r="E59" s="446">
        <v>100</v>
      </c>
      <c r="F59" s="446">
        <v>100</v>
      </c>
      <c r="G59" s="446">
        <v>100</v>
      </c>
      <c r="H59" s="446">
        <v>100</v>
      </c>
      <c r="I59" s="446">
        <v>100</v>
      </c>
      <c r="J59" s="446">
        <v>100</v>
      </c>
      <c r="K59" s="446">
        <v>100</v>
      </c>
      <c r="L59" s="446">
        <v>100</v>
      </c>
      <c r="M59" s="446">
        <v>100</v>
      </c>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74" t="s">
        <v>3455</v>
      </c>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v>105</v>
      </c>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t="str">
        <f>C9</f>
        <v>商业</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t="s">
        <v>3456</v>
      </c>
      <c r="D65" s="513" t="s">
        <v>3440</v>
      </c>
      <c r="E65" s="513" t="s">
        <v>3457</v>
      </c>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v>100</v>
      </c>
      <c r="D66" s="467">
        <v>102</v>
      </c>
      <c r="E66" s="467">
        <v>104</v>
      </c>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97</v>
      </c>
      <c r="E77" s="475">
        <f>D77-$K15</f>
        <v>94</v>
      </c>
      <c r="F77" s="475">
        <f>E77-$K15</f>
        <v>91</v>
      </c>
      <c r="G77" s="475">
        <f>F77-$K15</f>
        <v>88</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97</v>
      </c>
      <c r="E79" s="475">
        <f>D79-$K17</f>
        <v>94</v>
      </c>
      <c r="F79" s="475">
        <f>E79-$K17</f>
        <v>91</v>
      </c>
      <c r="G79" s="475">
        <f>F79-$K17</f>
        <v>88</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97</v>
      </c>
      <c r="E81" s="475">
        <f>D81-$K19</f>
        <v>94</v>
      </c>
      <c r="F81" s="475">
        <f>E81-$K19</f>
        <v>91</v>
      </c>
      <c r="G81" s="475">
        <f>F81-$K19</f>
        <v>88</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19">D83-$K21</f>
        <v>96</v>
      </c>
      <c r="F83" s="475">
        <f t="shared" si="19"/>
        <v>94</v>
      </c>
      <c r="G83" s="475">
        <f t="shared" si="19"/>
        <v>92</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97</v>
      </c>
      <c r="E85" s="475">
        <f>D85-$K23</f>
        <v>94</v>
      </c>
      <c r="F85" s="475">
        <f>E85-$K23</f>
        <v>91</v>
      </c>
      <c r="G85" s="475">
        <f>F85-$K23</f>
        <v>88</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t="s">
        <v>3458</v>
      </c>
      <c r="D90" s="485" t="s">
        <v>3443</v>
      </c>
      <c r="E90" s="485" t="s">
        <v>3433</v>
      </c>
      <c r="F90" s="485" t="s">
        <v>3459</v>
      </c>
      <c r="G90" s="485" t="s">
        <v>3460</v>
      </c>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t="s">
        <v>3468</v>
      </c>
      <c r="D92" s="485" t="s">
        <v>3469</v>
      </c>
      <c r="E92" s="485" t="s">
        <v>3462</v>
      </c>
      <c r="F92" s="485"/>
      <c r="G92" s="485"/>
      <c r="H92" s="485"/>
      <c r="I92" s="485"/>
      <c r="J92" s="485"/>
      <c r="K92" s="485"/>
      <c r="L92" s="510"/>
      <c r="M92" s="511"/>
      <c r="N92" s="2522" t="s">
        <v>3463</v>
      </c>
      <c r="O92" s="2522">
        <v>100</v>
      </c>
      <c r="P92" s="2514">
        <f>ROUND(O92/O96*P96,0)</f>
        <v>114</v>
      </c>
      <c r="Q92" s="2509"/>
      <c r="R92" s="2488"/>
      <c r="S92" s="2488"/>
      <c r="T92" s="2488"/>
      <c r="U92" s="2488"/>
      <c r="V92" s="2488"/>
      <c r="W92" s="2488"/>
      <c r="X92" s="2488"/>
      <c r="Y92" s="2488"/>
      <c r="Z92" s="2488"/>
      <c r="AA92" s="2488"/>
      <c r="AB92" s="2488"/>
      <c r="AC92" s="2488"/>
    </row>
    <row r="93" spans="1:29" ht="15.75" thickBot="1">
      <c r="A93" s="367"/>
      <c r="B93" s="474"/>
      <c r="C93" s="467">
        <v>100</v>
      </c>
      <c r="D93" s="467">
        <f>P95</f>
        <v>91</v>
      </c>
      <c r="E93" s="467">
        <f>P92</f>
        <v>114</v>
      </c>
      <c r="F93" s="467"/>
      <c r="G93" s="467"/>
      <c r="H93" s="467"/>
      <c r="I93" s="467"/>
      <c r="J93" s="467"/>
      <c r="K93" s="467"/>
      <c r="L93" s="467"/>
      <c r="M93" s="468"/>
      <c r="N93" s="2523" t="s">
        <v>3464</v>
      </c>
      <c r="O93" s="2523">
        <v>75</v>
      </c>
      <c r="P93" s="2514">
        <f>ROUND(O93/O95*P96,0)</f>
        <v>94</v>
      </c>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t="s">
        <v>3465</v>
      </c>
      <c r="O94" s="2522">
        <v>65</v>
      </c>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t="s">
        <v>3466</v>
      </c>
      <c r="O95" s="2523">
        <f>ROUND((O92+O93+O94)/3,0)</f>
        <v>80</v>
      </c>
      <c r="P95" s="2514">
        <f>ROUND(O95/O96*P96,0)</f>
        <v>91</v>
      </c>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t="s">
        <v>3467</v>
      </c>
      <c r="O96" s="2522">
        <f>ROUND((O92+O93)/2,0)</f>
        <v>88</v>
      </c>
      <c r="P96" s="2514">
        <v>100</v>
      </c>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t="s">
        <v>3470</v>
      </c>
      <c r="D100" s="462" t="s">
        <v>3444</v>
      </c>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0(含)-100</v>
      </c>
      <c r="D102" s="509" t="str">
        <f t="shared" ref="D102:L102" si="23">D103&amp;"(含)"&amp;"-"&amp;E103</f>
        <v>100(含)-200</v>
      </c>
      <c r="E102" s="509" t="str">
        <f t="shared" si="23"/>
        <v>200(含)-500</v>
      </c>
      <c r="F102" s="509" t="str">
        <f t="shared" si="23"/>
        <v>500(含)-1000</v>
      </c>
      <c r="G102" s="509" t="str">
        <f t="shared" si="23"/>
        <v>1000(含)-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v>
      </c>
      <c r="E103" s="6">
        <v>200</v>
      </c>
      <c r="F103" s="6">
        <v>500</v>
      </c>
      <c r="G103" s="6">
        <v>1000</v>
      </c>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98</v>
      </c>
      <c r="E104" s="467">
        <v>96</v>
      </c>
      <c r="F104" s="467">
        <v>94</v>
      </c>
      <c r="G104" s="467">
        <v>92</v>
      </c>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3175" t="s">
        <v>3423</v>
      </c>
      <c r="D105" s="3175" t="s">
        <v>3422</v>
      </c>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97</v>
      </c>
      <c r="E106" s="475">
        <f t="shared" si="24"/>
        <v>94</v>
      </c>
      <c r="F106" s="475">
        <f t="shared" si="24"/>
        <v>91</v>
      </c>
      <c r="G106" s="475">
        <f t="shared" si="24"/>
        <v>88</v>
      </c>
      <c r="H106" s="475">
        <f t="shared" si="24"/>
        <v>85</v>
      </c>
      <c r="I106" s="475">
        <f t="shared" si="24"/>
        <v>82</v>
      </c>
      <c r="J106" s="475">
        <f t="shared" si="24"/>
        <v>79</v>
      </c>
      <c r="K106" s="475">
        <f t="shared" si="24"/>
        <v>76</v>
      </c>
      <c r="L106" s="475">
        <f t="shared" si="24"/>
        <v>73</v>
      </c>
      <c r="M106" s="476">
        <f t="shared" si="24"/>
        <v>70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98</v>
      </c>
      <c r="E108" s="475">
        <f t="shared" si="25"/>
        <v>96</v>
      </c>
      <c r="F108" s="475">
        <f t="shared" si="25"/>
        <v>94</v>
      </c>
      <c r="G108" s="475">
        <f t="shared" si="25"/>
        <v>92</v>
      </c>
      <c r="H108" s="475">
        <f t="shared" si="25"/>
        <v>90</v>
      </c>
      <c r="I108" s="475">
        <f t="shared" si="25"/>
        <v>88</v>
      </c>
      <c r="J108" s="475">
        <f t="shared" si="25"/>
        <v>86</v>
      </c>
      <c r="K108" s="475">
        <f t="shared" si="25"/>
        <v>84</v>
      </c>
      <c r="L108" s="475">
        <f t="shared" si="25"/>
        <v>82</v>
      </c>
      <c r="M108" s="476">
        <f t="shared" si="25"/>
        <v>80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t="s">
        <v>3441</v>
      </c>
      <c r="D112" s="485" t="s">
        <v>3471</v>
      </c>
      <c r="E112" s="485" t="s">
        <v>3472</v>
      </c>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3175" t="s">
        <v>3445</v>
      </c>
      <c r="D114" s="3175" t="s">
        <v>3448</v>
      </c>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98</v>
      </c>
      <c r="E115" s="475">
        <f t="shared" si="28"/>
        <v>96</v>
      </c>
      <c r="F115" s="475">
        <f t="shared" si="28"/>
        <v>94</v>
      </c>
      <c r="G115" s="475">
        <f t="shared" si="28"/>
        <v>92</v>
      </c>
      <c r="H115" s="475">
        <f t="shared" si="28"/>
        <v>90</v>
      </c>
      <c r="I115" s="475">
        <f t="shared" si="28"/>
        <v>88</v>
      </c>
      <c r="J115" s="475">
        <f t="shared" si="28"/>
        <v>86</v>
      </c>
      <c r="K115" s="475">
        <f t="shared" si="28"/>
        <v>84</v>
      </c>
      <c r="L115" s="475">
        <f t="shared" si="28"/>
        <v>82</v>
      </c>
      <c r="M115" s="476">
        <f t="shared" si="28"/>
        <v>80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95</v>
      </c>
      <c r="E117" s="475">
        <f>D117-$K39</f>
        <v>90</v>
      </c>
      <c r="F117" s="475">
        <f>E117-$K39</f>
        <v>85</v>
      </c>
      <c r="G117" s="475">
        <f>F117-$K39</f>
        <v>80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98</v>
      </c>
      <c r="E121" s="475">
        <f t="shared" ref="E121:M121" si="29">D121-$K41</f>
        <v>96</v>
      </c>
      <c r="F121" s="475">
        <f t="shared" si="29"/>
        <v>94</v>
      </c>
      <c r="G121" s="475">
        <f t="shared" si="29"/>
        <v>92</v>
      </c>
      <c r="H121" s="475">
        <f t="shared" si="29"/>
        <v>90</v>
      </c>
      <c r="I121" s="475">
        <f t="shared" si="29"/>
        <v>88</v>
      </c>
      <c r="J121" s="475">
        <f t="shared" si="29"/>
        <v>86</v>
      </c>
      <c r="K121" s="475">
        <f t="shared" si="29"/>
        <v>84</v>
      </c>
      <c r="L121" s="475">
        <f t="shared" si="29"/>
        <v>82</v>
      </c>
      <c r="M121" s="476">
        <f t="shared" si="29"/>
        <v>80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3175" t="s">
        <v>3473</v>
      </c>
      <c r="D122" s="3175" t="s">
        <v>3447</v>
      </c>
      <c r="E122" s="3175" t="s">
        <v>3474</v>
      </c>
      <c r="F122" s="3176" t="s">
        <v>3475</v>
      </c>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L32" sqref="L32"/>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228.9299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12122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1124578.8499999999</v>
      </c>
      <c r="D5" s="203" t="s">
        <v>1469</v>
      </c>
      <c r="E5" s="204" t="s">
        <v>1470</v>
      </c>
      <c r="F5" s="204" t="s">
        <v>1471</v>
      </c>
      <c r="G5" s="205"/>
    </row>
    <row r="6" spans="1:8" s="206" customFormat="1" ht="13.5" customHeight="1">
      <c r="A6" s="732" t="s">
        <v>1472</v>
      </c>
      <c r="B6" s="207" t="s">
        <v>1473</v>
      </c>
      <c r="C6" s="208">
        <f>基准地价修正!T2*基准地价修正!U2+基准地价修正!T3*基准地价修正!U3</f>
        <v>1076633.8499999999</v>
      </c>
      <c r="D6" s="209"/>
      <c r="E6" s="210"/>
      <c r="F6" s="210"/>
      <c r="G6" s="211"/>
    </row>
    <row r="7" spans="1:8" s="206" customFormat="1" ht="13.5" customHeight="1">
      <c r="A7" s="732" t="s">
        <v>1474</v>
      </c>
      <c r="B7" s="207" t="s">
        <v>1475</v>
      </c>
      <c r="C7" s="212">
        <f>ROUND(C6*F7,0)</f>
        <v>32837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15108</v>
      </c>
      <c r="D8" s="214"/>
      <c r="E8" s="212"/>
      <c r="F8" s="213"/>
      <c r="G8" s="1714" t="s">
        <v>3434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15108</v>
      </c>
      <c r="D10" s="795">
        <f ca="1">IF(B1="",'数据-汇总表'!E6,IF(INDIRECT("'数据-取费表'!c"&amp;$G$1)="住宅",INDIRECT("'数据-取费表'!s"&amp;$G$1),INDIRECT("'数据-取费表'!k"&amp;$G$1)+INDIRECT("'数据-取费表'!s"&amp;$G$1)))</f>
        <v>188.85</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188.85</v>
      </c>
      <c r="E19" s="203">
        <f>'数据-取费表'!B31</f>
        <v>200</v>
      </c>
      <c r="F19" s="223"/>
      <c r="G19" s="1714" t="s">
        <v>3435</v>
      </c>
    </row>
    <row r="20" spans="1:7" s="206" customFormat="1" ht="13.5" customHeight="1">
      <c r="A20" s="247" t="s">
        <v>1574</v>
      </c>
      <c r="B20" s="202" t="s">
        <v>1575</v>
      </c>
      <c r="C20" s="224">
        <f ca="1">ROUND((C5+C19)*F20,0)</f>
        <v>22492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72204</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71500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704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229414</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229414</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1569544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745014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660975</v>
      </c>
      <c r="D34" s="209"/>
      <c r="E34" s="212"/>
      <c r="F34" s="249"/>
      <c r="G34" s="211"/>
    </row>
    <row r="35" spans="1:7" ht="13.5" customHeight="1">
      <c r="A35" s="734" t="s">
        <v>351</v>
      </c>
      <c r="B35" s="207" t="s">
        <v>1527</v>
      </c>
      <c r="C35" s="212">
        <f ca="1">ROUND(C34*F35,0)</f>
        <v>33049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37770</v>
      </c>
      <c r="D37" s="209">
        <f ca="1">D19</f>
        <v>188.85</v>
      </c>
      <c r="E37" s="241">
        <f>'数据-取费表'!B35</f>
        <v>200</v>
      </c>
      <c r="F37" s="251"/>
      <c r="G37" s="253"/>
    </row>
    <row r="38" spans="1:7" ht="13.5" customHeight="1">
      <c r="A38" s="734" t="s">
        <v>354</v>
      </c>
      <c r="B38" s="207" t="s">
        <v>1533</v>
      </c>
      <c r="C38" s="212">
        <f ca="1">ROUND(C34*F38,0)</f>
        <v>13220</v>
      </c>
      <c r="D38" s="212"/>
      <c r="E38" s="212"/>
      <c r="F38" s="251">
        <f>'数据-取费表'!B36</f>
        <v>0.02</v>
      </c>
      <c r="G38" s="211" t="s">
        <v>1528</v>
      </c>
    </row>
    <row r="39" spans="1:7" s="206" customFormat="1" ht="13.5" customHeight="1">
      <c r="A39" s="247" t="s">
        <v>1534</v>
      </c>
      <c r="B39" s="202" t="s">
        <v>1535</v>
      </c>
      <c r="C39" s="224">
        <f ca="1">ROUND(C33*F20,0)</f>
        <v>14900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23785</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23319</v>
      </c>
      <c r="D42" s="230"/>
      <c r="E42" s="230"/>
      <c r="F42" s="231"/>
      <c r="G42" s="3360" t="s">
        <v>1591</v>
      </c>
    </row>
    <row r="43" spans="1:7" ht="13.5" customHeight="1">
      <c r="A43" s="734" t="s">
        <v>347</v>
      </c>
      <c r="B43" s="207" t="s">
        <v>1545</v>
      </c>
      <c r="C43" s="230">
        <f ca="1">ROUND(IF('数据-取费表'!B22&lt;=1,C39*F22*'数据-取费表'!B20/2,C39*(POWER((1+F22),'数据-取费表'!B20/2)-1)),0)</f>
        <v>466</v>
      </c>
      <c r="D43" s="230"/>
      <c r="E43" s="230"/>
      <c r="F43" s="231"/>
      <c r="G43" s="3361"/>
    </row>
    <row r="44" spans="1:7" ht="13.5" customHeight="1">
      <c r="A44" s="734" t="s">
        <v>348</v>
      </c>
      <c r="B44" s="207" t="s">
        <v>1546</v>
      </c>
      <c r="C44" s="230">
        <f ca="1">ROUND(IF('数据-取费表'!B22&lt;=1,C40*F22*'数据-取费表'!B20/2,C40*(POWER((1+F22),'数据-取费表'!B20/2)-1)),4)</f>
        <v>5.9999999999999995E-4</v>
      </c>
      <c r="D44" s="230"/>
      <c r="E44" s="230"/>
      <c r="F44" s="231"/>
      <c r="G44" s="3362"/>
    </row>
    <row r="45" spans="1:7" s="206" customFormat="1" ht="13.5" customHeight="1">
      <c r="A45" s="247" t="s">
        <v>1547</v>
      </c>
      <c r="B45" s="236" t="s">
        <v>1513</v>
      </c>
      <c r="C45" s="237">
        <f ca="1">C46</f>
        <v>151983</v>
      </c>
      <c r="D45" s="227">
        <f ca="1">C47</f>
        <v>4.0000000000000001E-3</v>
      </c>
      <c r="E45" s="228" t="s">
        <v>1539</v>
      </c>
      <c r="F45" s="238">
        <f ca="1">F27</f>
        <v>0.2</v>
      </c>
      <c r="G45" s="239" t="s">
        <v>1548</v>
      </c>
    </row>
    <row r="46" spans="1:7" s="206" customFormat="1" ht="13.5" customHeight="1">
      <c r="A46" s="734" t="s">
        <v>346</v>
      </c>
      <c r="B46" s="240" t="s">
        <v>1549</v>
      </c>
      <c r="C46" s="241">
        <f ca="1">ROUND((C33+C39)*F27,0)</f>
        <v>151983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1013740</v>
      </c>
      <c r="D49" s="224"/>
      <c r="E49" s="224"/>
      <c r="F49" s="256"/>
      <c r="G49" s="226" t="s">
        <v>1554</v>
      </c>
    </row>
    <row r="50" spans="1:7" s="250" customFormat="1">
      <c r="A50" s="247" t="s">
        <v>1555</v>
      </c>
      <c r="B50" s="202" t="s">
        <v>1556</v>
      </c>
      <c r="C50" s="224"/>
      <c r="D50" s="224"/>
      <c r="E50" s="224"/>
      <c r="F50" s="256">
        <f>IF('数据-取费表'!B24=0,'数据-取费表'!N16,1)</f>
        <v>0.71</v>
      </c>
      <c r="G50" s="239"/>
    </row>
    <row r="51" spans="1:7" ht="16.5" customHeight="1">
      <c r="A51" s="247" t="s">
        <v>1558</v>
      </c>
      <c r="B51" s="202" t="s">
        <v>1593</v>
      </c>
      <c r="C51" s="224">
        <f ca="1">ROUND(C49*F50,0)</f>
        <v>719755</v>
      </c>
      <c r="D51" s="224"/>
      <c r="E51" s="224"/>
      <c r="F51" s="256"/>
      <c r="G51" s="226" t="s">
        <v>1560</v>
      </c>
    </row>
    <row r="52" spans="1:7" s="200" customFormat="1" ht="16.5" thickBot="1">
      <c r="A52" s="257" t="s">
        <v>1561</v>
      </c>
      <c r="B52" s="258"/>
      <c r="C52" s="259">
        <f ca="1">C31+C51</f>
        <v>2289299</v>
      </c>
      <c r="D52" s="258"/>
      <c r="E52" s="258"/>
      <c r="F52" s="258"/>
      <c r="G52" s="260"/>
    </row>
    <row r="55" spans="1:7" ht="15">
      <c r="B55" s="262" t="s">
        <v>1562</v>
      </c>
      <c r="C55" s="263"/>
    </row>
    <row r="56" spans="1:7">
      <c r="B56" s="265" t="s">
        <v>802</v>
      </c>
      <c r="C56" s="267">
        <f ca="1">1-C57</f>
        <v>0.68599999999999994</v>
      </c>
    </row>
    <row r="57" spans="1:7">
      <c r="B57" s="265" t="s">
        <v>803</v>
      </c>
      <c r="C57" s="266">
        <f ca="1">ROUND(C51/C52,3)</f>
        <v>0.314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17969</v>
      </c>
      <c r="C2" s="268" t="s">
        <v>1595</v>
      </c>
      <c r="D2" s="268"/>
      <c r="E2" s="2568"/>
      <c r="F2" s="2568"/>
      <c r="G2" s="2568"/>
      <c r="H2" s="2568"/>
      <c r="I2" s="2568"/>
      <c r="J2" s="2568"/>
      <c r="K2" s="2568"/>
    </row>
    <row r="3" spans="1:33" ht="18" customHeight="1" thickBot="1">
      <c r="A3" s="195" t="s">
        <v>1464</v>
      </c>
      <c r="B3" s="196">
        <f ca="1">ROUND(B2*10000/IF(C1="",'数据-汇总表'!E3,INDIRECT("'数据-取费表'!K"&amp;$K$1)),0)</f>
        <v>951496</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188.85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188.85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-15106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188.85</v>
      </c>
      <c r="E20" s="21">
        <f>'数据-取费表'!B28</f>
        <v>80</v>
      </c>
      <c r="F20" s="756"/>
      <c r="G20" s="12"/>
      <c r="H20" s="761"/>
      <c r="I20" s="761"/>
      <c r="J20" s="761"/>
      <c r="K20" s="762"/>
    </row>
    <row r="21" spans="1:33" s="755" customFormat="1" ht="13.5" customHeight="1">
      <c r="A21" s="744" t="s">
        <v>357</v>
      </c>
      <c r="B21" s="765" t="s">
        <v>1628</v>
      </c>
      <c r="C21" s="766">
        <f ca="1">C16+C17+C18</f>
        <v>-15106</v>
      </c>
      <c r="D21" s="767"/>
      <c r="E21" s="273"/>
      <c r="F21" s="273"/>
      <c r="G21" s="123" t="s">
        <v>1629</v>
      </c>
      <c r="H21" s="759"/>
      <c r="I21" s="759"/>
      <c r="J21" s="759"/>
      <c r="K21" s="760"/>
    </row>
    <row r="22" spans="1:33" s="755" customFormat="1" ht="13.5" customHeight="1">
      <c r="A22" s="744" t="s">
        <v>1601</v>
      </c>
      <c r="B22" s="765" t="s">
        <v>1630</v>
      </c>
      <c r="C22" s="766">
        <f ca="1">ROUND(C21*F22,0)</f>
        <v>-302</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-3082</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-3082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17969</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1" t="s">
        <v>694</v>
      </c>
      <c r="C6" s="1011">
        <f ca="1">ROUND(F6*F8*F7*(1-F9)/10000,0)</f>
        <v>0</v>
      </c>
      <c r="D6" s="147" t="s">
        <v>2109</v>
      </c>
      <c r="E6" s="294" t="s">
        <v>696</v>
      </c>
      <c r="F6" s="295">
        <f ca="1">INDIRECT("'数据-取费表'!u"&amp;$G$1)</f>
        <v>0</v>
      </c>
      <c r="G6" s="1292"/>
      <c r="H6" s="1006" t="s">
        <v>398</v>
      </c>
      <c r="I6" s="3411" t="s">
        <v>694</v>
      </c>
      <c r="J6" s="293">
        <f ca="1">ROUND(M6*M8*M7*(1-M9)/10000,0)</f>
        <v>0</v>
      </c>
      <c r="K6" s="147" t="s">
        <v>2108</v>
      </c>
      <c r="L6" s="294" t="s">
        <v>696</v>
      </c>
      <c r="M6" s="295">
        <f ca="1">INDIRECT("'数据-取费表'!z"&amp;$G$1)</f>
        <v>0</v>
      </c>
    </row>
    <row r="7" spans="1:37" ht="18" customHeight="1">
      <c r="A7" s="1010"/>
      <c r="B7" s="3412"/>
      <c r="C7" s="1012"/>
      <c r="D7" s="299"/>
      <c r="E7" s="1013" t="s">
        <v>697</v>
      </c>
      <c r="F7" s="295">
        <f ca="1">IF(INDIRECT("'数据-取费表'!ah"&amp;$G$1)="",INDIRECT("'数据-取费表'!k"&amp;$G$1),INDIRECT("'数据-取费表'!ah"&amp;$G$1))</f>
        <v>0</v>
      </c>
      <c r="G7" s="1292"/>
      <c r="H7" s="296"/>
      <c r="I7" s="3412"/>
      <c r="J7" s="298"/>
      <c r="K7" s="299"/>
      <c r="L7" s="294" t="s">
        <v>697</v>
      </c>
      <c r="M7" s="295">
        <f ca="1">F7</f>
        <v>0</v>
      </c>
    </row>
    <row r="8" spans="1:37" ht="18" customHeight="1">
      <c r="A8" s="296"/>
      <c r="B8" s="3412"/>
      <c r="C8" s="298"/>
      <c r="D8" s="299"/>
      <c r="E8" s="294" t="s">
        <v>698</v>
      </c>
      <c r="F8" s="295">
        <f ca="1">INDIRECT("'数据-取费表'!ai"&amp;$G$1)</f>
        <v>0</v>
      </c>
      <c r="G8" s="1292"/>
      <c r="H8" s="296"/>
      <c r="I8" s="3412"/>
      <c r="J8" s="298"/>
      <c r="K8" s="299"/>
      <c r="L8" s="294" t="s">
        <v>698</v>
      </c>
      <c r="M8" s="295">
        <f ca="1">INDIRECT("'数据-取费表'!ai"&amp;$G$1)</f>
        <v>0</v>
      </c>
    </row>
    <row r="9" spans="1:37" ht="18" customHeight="1">
      <c r="A9" s="296"/>
      <c r="B9" s="3413"/>
      <c r="C9" s="298"/>
      <c r="D9" s="299"/>
      <c r="E9" s="294" t="s">
        <v>699</v>
      </c>
      <c r="F9" s="304">
        <f ca="1">INDIRECT("'数据-取费表'!w"&amp;$G$1)</f>
        <v>0</v>
      </c>
      <c r="G9" s="1292"/>
      <c r="H9" s="296"/>
      <c r="I9" s="341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2297</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3324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09" t="s">
        <v>837</v>
      </c>
      <c r="L53" s="341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3324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J18" sqref="J1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108</v>
      </c>
      <c r="C2" s="1846" t="s">
        <v>1935</v>
      </c>
      <c r="D2" s="162" t="s">
        <v>1936</v>
      </c>
      <c r="E2" s="3121" t="s">
        <v>673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Ⅷ-平1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1.5418000000000001</v>
      </c>
      <c r="T2" s="3064">
        <f t="shared" ref="T2:T16" si="0">ROUND($C$5*$C$22*$C$23*$C$24*S2*$C$28,0)</f>
        <v>6439</v>
      </c>
      <c r="U2" s="1130">
        <f>'数据-基础表'!I13/2</f>
        <v>94.424999999999997</v>
      </c>
      <c r="V2" s="3064">
        <f>ROUND(T2*U2/10000,0)</f>
        <v>61</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t="s">
        <v>2430</v>
      </c>
      <c r="F3" s="1848" t="s">
        <v>3426</v>
      </c>
      <c r="G3" s="708">
        <f>IF(F3="宗地容积率",'数据-汇总表'!I4,IF(F3="估价对象容积率",'数据-汇总表'!I6,'数据-汇总表'!I7))</f>
        <v>2</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1.1883999999999999</v>
      </c>
      <c r="T3" s="3064">
        <f t="shared" si="0"/>
        <v>4963</v>
      </c>
      <c r="U3" s="1130">
        <f>U2</f>
        <v>94.424999999999997</v>
      </c>
      <c r="V3" s="3064">
        <f t="shared" ref="V3:V16" si="1">ROUND(T3*U3/10000,0)</f>
        <v>47</v>
      </c>
      <c r="W3" s="1133"/>
      <c r="X3" s="1133"/>
      <c r="Y3" s="1133"/>
      <c r="Z3" s="1133"/>
      <c r="AA3" s="1133"/>
      <c r="AB3" s="1133"/>
      <c r="AC3" s="1134"/>
      <c r="AD3" s="1135"/>
      <c r="AE3" s="1135"/>
      <c r="AF3" s="1135"/>
      <c r="AG3" s="1135"/>
      <c r="AH3" s="1135"/>
      <c r="AI3" s="1135"/>
      <c r="AJ3" s="1136"/>
    </row>
    <row r="4" spans="1:36" ht="15.75">
      <c r="A4" s="3421"/>
      <c r="B4" s="3422"/>
      <c r="C4" s="3422"/>
      <c r="D4" s="3423"/>
      <c r="E4" s="3423"/>
      <c r="F4" s="3423"/>
      <c r="G4" s="3423"/>
      <c r="H4" s="3423"/>
      <c r="I4" s="3423"/>
      <c r="J4" s="342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0.96940000000000004</v>
      </c>
      <c r="T4" s="3064">
        <f t="shared" si="0"/>
        <v>4049</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6920</v>
      </c>
      <c r="D5" s="1252">
        <f>ROUND(C6*C17+C20,0)</f>
        <v>6920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0.82299999999999995</v>
      </c>
      <c r="T5" s="3064">
        <f t="shared" si="0"/>
        <v>3437</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6920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0.74980000000000002</v>
      </c>
      <c r="T6" s="3064">
        <f t="shared" si="0"/>
        <v>3132</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八级</v>
      </c>
      <c r="Y7" s="1131" t="s">
        <v>1956</v>
      </c>
      <c r="Z7" s="1132">
        <f>G3</f>
        <v>2</v>
      </c>
      <c r="AA7" s="1133"/>
      <c r="AB7" s="1133"/>
      <c r="AC7" s="1134"/>
      <c r="AD7" s="1135"/>
      <c r="AE7" s="1135"/>
      <c r="AF7" s="1135"/>
      <c r="AG7" s="1135"/>
      <c r="AH7" s="1135"/>
      <c r="AI7" s="1135"/>
      <c r="AJ7" s="1136"/>
    </row>
    <row r="8" spans="1:36" ht="25.5">
      <c r="A8" s="3010"/>
      <c r="B8" s="162" t="s">
        <v>1957</v>
      </c>
      <c r="C8" s="1870" t="s">
        <v>3427</v>
      </c>
      <c r="D8" s="712" t="s">
        <v>112</v>
      </c>
      <c r="E8" s="713" t="e">
        <f>ROUND(C11/E7,4)</f>
        <v>#DIV/0!</v>
      </c>
      <c r="F8" s="1871" t="s">
        <v>1958</v>
      </c>
      <c r="G8" s="1872"/>
      <c r="H8" s="1872"/>
      <c r="I8" s="1872"/>
      <c r="J8" s="1873"/>
      <c r="K8" s="1056"/>
      <c r="L8" s="1847" t="s">
        <v>1959</v>
      </c>
      <c r="M8" s="811">
        <f>SUMPRODUCT((区片价!B234:B276=I2)*(区片价!C3:G3=E2)*(区片价!C234:G276))</f>
        <v>6920</v>
      </c>
      <c r="N8" s="813">
        <f>SUMPRODUCT((因素修正幅度!B234:B276=I2)*(因素修正幅度!C3:G3=E2)*(因素修正幅度!C234:G276))</f>
        <v>0.109</v>
      </c>
      <c r="O8" s="1056"/>
      <c r="P8" s="1056"/>
      <c r="Q8" s="1056"/>
      <c r="R8" s="1129">
        <v>7</v>
      </c>
      <c r="S8" s="1130"/>
      <c r="T8" s="3064">
        <f t="shared" si="0"/>
        <v>0</v>
      </c>
      <c r="U8" s="1130"/>
      <c r="V8" s="3064">
        <f t="shared" si="1"/>
        <v>0</v>
      </c>
      <c r="W8" s="3418" t="s">
        <v>1960</v>
      </c>
      <c r="X8" s="341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20"/>
      <c r="X9" s="3065" t="s">
        <v>3257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2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v>1</v>
      </c>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25" t="s">
        <v>3245</v>
      </c>
      <c r="B20" s="159" t="s">
        <v>1994</v>
      </c>
      <c r="C20" s="3032">
        <f>ROUND(IF(F21="与级别开发程度一致",0,(G21-E21)/C21),0)</f>
        <v>0</v>
      </c>
      <c r="D20" s="3047" t="s">
        <v>1998</v>
      </c>
      <c r="E20" s="3048"/>
      <c r="F20" s="3431" t="s">
        <v>1995</v>
      </c>
      <c r="G20" s="3432"/>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26"/>
      <c r="B21" s="2002" t="s">
        <v>1997</v>
      </c>
      <c r="C21" s="2003">
        <f>IF(E3="M4科研用地",SUMPRODUCT((修正!A2:A7=E3)*(修正!B1:M1=G2)*(修正!B2:M7)),SUMPRODUCT((修正!A2:A7=E2)*(修正!B1:M1=G2)*(修正!B2:M7)))</f>
        <v>2</v>
      </c>
      <c r="D21" s="179" t="str">
        <f>IF(OR(G2="八级",G2="九级",G2="十级",G2="十一级",G2="十二级"),"五通一平","七通一平")</f>
        <v>五通一平</v>
      </c>
      <c r="E21" s="1993">
        <f>SUMPRODUCT((修正!B1:M1=G2)*(修正!B17:M17))</f>
        <v>185</v>
      </c>
      <c r="F21" s="1994" t="s">
        <v>3428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6" t="s">
        <v>2002</v>
      </c>
      <c r="E23" s="717">
        <v>44197</v>
      </c>
      <c r="F23" s="1896" t="s">
        <v>2003</v>
      </c>
      <c r="G23" s="718">
        <f>'数据-取费表'!B2</f>
        <v>45917</v>
      </c>
      <c r="H23" s="3049" t="s">
        <v>3430</v>
      </c>
      <c r="I23" s="3050" t="str">
        <f>IF(H23="季度增幅（自定义）",SUMIF(N25:N28,E2,O25:O28),"")</f>
        <v/>
      </c>
      <c r="J23" s="3142" t="s">
        <v>3431</v>
      </c>
      <c r="K23" s="1061"/>
      <c r="L23" s="1897" t="s">
        <v>2004</v>
      </c>
      <c r="M23" s="1241">
        <f>ROUND(SUMIF(地价!B2:G2,E2,地价!B16:G16),0)</f>
        <v>350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0.56820000000000004</v>
      </c>
      <c r="D24" s="1902" t="s">
        <v>2007</v>
      </c>
      <c r="E24" s="1248">
        <f>存贷款利率!E28/100</f>
        <v>4.3499999999999997E-2</v>
      </c>
      <c r="F24" s="1902" t="s">
        <v>1999</v>
      </c>
      <c r="G24" s="724">
        <f>SUMIF(M30:Q30,E2,M33:Q33)</f>
        <v>5.5E-2</v>
      </c>
      <c r="H24" s="1902" t="s">
        <v>2008</v>
      </c>
      <c r="I24" s="725">
        <f>SUMIF('数据-取费表'!C6:C15,E2,'数据-取费表'!F6:F15)/COUNTIF('数据-取费表'!C6:C15,E2)</f>
        <v>13</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3429</v>
      </c>
      <c r="C25" s="461">
        <f>IF(B25="容积率修正",IF(G3&lt;10,D26,J26),C27)</f>
        <v>1.5418000000000001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3246</v>
      </c>
      <c r="D26" s="1263">
        <f>IF(E26=G26,F26,IF(G3&lt;10,ROUND(F26+(H26-F26)*(G3-E26)/(G26-E26),4),"——"))</f>
        <v>1</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1.5418000000000001</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1.0498000000000001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108</v>
      </c>
      <c r="D30" s="1925"/>
      <c r="E30" s="1842"/>
      <c r="F30" s="1926"/>
      <c r="G30" s="1842"/>
      <c r="H30" s="1842"/>
      <c r="I30" s="1842"/>
      <c r="J30" s="1927"/>
      <c r="K30" s="1056"/>
      <c r="L30" s="3056" t="s">
        <v>1936</v>
      </c>
      <c r="M30" s="3057" t="s">
        <v>1990</v>
      </c>
      <c r="N30" s="3057" t="s">
        <v>1991</v>
      </c>
      <c r="O30" s="3057" t="s">
        <v>1992</v>
      </c>
      <c r="P30" s="3057" t="s">
        <v>1993</v>
      </c>
      <c r="Q30" s="3060"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6439</v>
      </c>
      <c r="D33" s="1940"/>
      <c r="E33" s="727">
        <f>ROUND(C33*D33/10000,0)</f>
        <v>0</v>
      </c>
      <c r="F33" s="3051" t="s">
        <v>3249</v>
      </c>
      <c r="G33" s="1941"/>
      <c r="H33" s="1941"/>
      <c r="I33" s="1941"/>
      <c r="J33" s="1942"/>
      <c r="K33" s="1056"/>
      <c r="L33" s="3054" t="s">
        <v>3252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3254</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29"/>
      <c r="B37" s="1955" t="s">
        <v>2036</v>
      </c>
      <c r="C37" s="167">
        <f>ROUND(D5*C22*C23*C24*C28*F37,0)</f>
        <v>2088</v>
      </c>
      <c r="D37" s="1940"/>
      <c r="E37" s="163">
        <f>ROUND(C37*D37/10000,0)</f>
        <v>0</v>
      </c>
      <c r="F37" s="163">
        <f>SUMIF(修正!A59:A70,G2,修正!B59:B70)</f>
        <v>0.5</v>
      </c>
      <c r="G37" s="163">
        <f>ROUND(IF(E2="工业",C37*$M$42,C37*$M$41),0)</f>
        <v>522</v>
      </c>
      <c r="H37" s="163">
        <f>D37</f>
        <v>0</v>
      </c>
      <c r="I37" s="163">
        <f>ROUND(G37*H37/10000,0)</f>
        <v>0</v>
      </c>
      <c r="J37" s="2755"/>
      <c r="K37" s="3062" t="s">
        <v>3255</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30"/>
      <c r="B38" s="1884" t="s">
        <v>2037</v>
      </c>
      <c r="C38" s="167">
        <f>ROUND(D5*C22*C23*C24*C28*F38,0)</f>
        <v>835</v>
      </c>
      <c r="D38" s="1940"/>
      <c r="E38" s="163">
        <f t="shared" ref="E38:E42" si="4">ROUND(C38*D38/10000,0)</f>
        <v>0</v>
      </c>
      <c r="F38" s="163">
        <f>SUMIF(修正!A59:A70,G2,修正!C59:C70)</f>
        <v>0.2</v>
      </c>
      <c r="G38" s="163">
        <f>ROUND(IF(E2="工业",C38*$M$42,C38*$M$41),0)</f>
        <v>209</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30"/>
      <c r="B39" s="1884" t="s">
        <v>3248</v>
      </c>
      <c r="C39" s="167">
        <f>ROUND(D5*C22*C23*C24*C28*F39,0)</f>
        <v>835</v>
      </c>
      <c r="D39" s="1940"/>
      <c r="E39" s="163">
        <f t="shared" si="4"/>
        <v>0</v>
      </c>
      <c r="F39" s="163">
        <f>SUMIF(修正!A59:A70,G2,修正!D59:D70)</f>
        <v>0.2</v>
      </c>
      <c r="G39" s="163">
        <f>ROUND(IF(E2="工业",C39*$M$42,C39*$M$41),0)</f>
        <v>209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835</v>
      </c>
      <c r="D40" s="1940"/>
      <c r="E40" s="163">
        <f t="shared" si="4"/>
        <v>0</v>
      </c>
      <c r="F40" s="167">
        <f>SUMIF(修正!A59:A70,G2,修正!E59:E70)</f>
        <v>0.2</v>
      </c>
      <c r="G40" s="163">
        <f>ROUND(IF(E2="工业",C40*$M$42,C40*$M$41),0)</f>
        <v>209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3" t="s">
        <v>3256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1.0498000000000001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3432</v>
      </c>
      <c r="D50" s="1002">
        <f t="shared" ref="D50:D58" si="7">SUMIF($J$49:$N$49,C50,J50:N50)</f>
        <v>1.6299999999999999E-2</v>
      </c>
      <c r="E50" s="702">
        <f>ROUND(SUM(D50:D58),4)</f>
        <v>4.9799999999999997E-2</v>
      </c>
      <c r="F50" s="1675">
        <f>IF(E2="商业",SUMIF(L1:L12,G2,N1:N12),"——")</f>
        <v>0.109</v>
      </c>
      <c r="G50" s="1000">
        <f>H50</f>
        <v>1.6299999999999999E-2</v>
      </c>
      <c r="H50" s="1003">
        <f t="shared" ref="H50:H58" si="8">IFERROR(ROUNDDOWN($F$50*I50/2,4),"——")</f>
        <v>1.6299999999999999E-2</v>
      </c>
      <c r="I50" s="3069">
        <v>0.3</v>
      </c>
      <c r="J50" s="1001">
        <f t="shared" ref="J50:J58" si="9">K50+$G50</f>
        <v>3.2599999999999997E-2</v>
      </c>
      <c r="K50" s="1001">
        <f t="shared" ref="K50:K58" si="10">$L50+$G50</f>
        <v>1.6299999999999999E-2</v>
      </c>
      <c r="L50" s="1001">
        <v>0</v>
      </c>
      <c r="M50" s="1001">
        <f t="shared" ref="M50:N58" si="11">L50-$G50</f>
        <v>-1.6299999999999999E-2</v>
      </c>
      <c r="N50" s="1001">
        <f t="shared" si="11"/>
        <v>-3.2599999999999997E-2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3432</v>
      </c>
      <c r="D51" s="1002">
        <f t="shared" si="7"/>
        <v>1.1900000000000001E-2</v>
      </c>
      <c r="E51" s="703"/>
      <c r="F51" s="1675"/>
      <c r="G51" s="1000">
        <f t="shared" ref="G51:G58" si="12">H51</f>
        <v>1.1900000000000001E-2</v>
      </c>
      <c r="H51" s="1003">
        <f t="shared" si="8"/>
        <v>1.1900000000000001E-2</v>
      </c>
      <c r="I51" s="3069">
        <v>0.22</v>
      </c>
      <c r="J51" s="1001">
        <f t="shared" si="9"/>
        <v>2.3800000000000002E-2</v>
      </c>
      <c r="K51" s="1001">
        <f t="shared" si="10"/>
        <v>1.1900000000000001E-2</v>
      </c>
      <c r="L51" s="1001">
        <v>0</v>
      </c>
      <c r="M51" s="1001">
        <f t="shared" si="11"/>
        <v>-1.1900000000000001E-2</v>
      </c>
      <c r="N51" s="1001">
        <f t="shared" si="11"/>
        <v>-2.3800000000000002E-2</v>
      </c>
      <c r="AA51" s="1057"/>
      <c r="AB51" s="1057"/>
      <c r="AC51" s="1057"/>
      <c r="AD51" s="1057"/>
      <c r="AE51" s="1057"/>
      <c r="AF51" s="1057"/>
      <c r="AG51" s="1057"/>
      <c r="AH51" s="1057"/>
      <c r="AI51" s="1057"/>
      <c r="AJ51" s="1057"/>
      <c r="AK51" s="1057"/>
    </row>
    <row r="52" spans="1:37" s="1056" customFormat="1" ht="36">
      <c r="A52" s="3071" t="s">
        <v>3258</v>
      </c>
      <c r="B52" s="1262">
        <f>估价对象房地状况!C19</f>
        <v>0</v>
      </c>
      <c r="C52" s="1887" t="s">
        <v>3432</v>
      </c>
      <c r="D52" s="1002">
        <f t="shared" si="7"/>
        <v>6.4999999999999997E-3</v>
      </c>
      <c r="E52" s="703"/>
      <c r="F52" s="1675"/>
      <c r="G52" s="1000">
        <f t="shared" si="12"/>
        <v>6.4999999999999997E-3</v>
      </c>
      <c r="H52" s="1003">
        <f t="shared" si="8"/>
        <v>6.4999999999999997E-3</v>
      </c>
      <c r="I52" s="3069">
        <v>0.12</v>
      </c>
      <c r="J52" s="1001">
        <f t="shared" si="9"/>
        <v>1.2999999999999999E-2</v>
      </c>
      <c r="K52" s="1001">
        <f t="shared" si="10"/>
        <v>6.4999999999999997E-3</v>
      </c>
      <c r="L52" s="1001">
        <v>0</v>
      </c>
      <c r="M52" s="1001">
        <f t="shared" si="11"/>
        <v>-6.4999999999999997E-3</v>
      </c>
      <c r="N52" s="1001">
        <f t="shared" si="11"/>
        <v>-1.2999999999999999E-2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3432</v>
      </c>
      <c r="D53" s="1002">
        <f t="shared" si="7"/>
        <v>2.7000000000000001E-3</v>
      </c>
      <c r="E53" s="703"/>
      <c r="F53" s="1675"/>
      <c r="G53" s="1000">
        <f t="shared" si="12"/>
        <v>2.7000000000000001E-3</v>
      </c>
      <c r="H53" s="1003">
        <f t="shared" si="8"/>
        <v>2.7000000000000001E-3</v>
      </c>
      <c r="I53" s="3069">
        <v>0.05</v>
      </c>
      <c r="J53" s="1001">
        <f t="shared" si="9"/>
        <v>5.4000000000000003E-3</v>
      </c>
      <c r="K53" s="1001">
        <f t="shared" si="10"/>
        <v>2.7000000000000001E-3</v>
      </c>
      <c r="L53" s="1001">
        <v>0</v>
      </c>
      <c r="M53" s="1001">
        <f t="shared" si="11"/>
        <v>-2.7000000000000001E-3</v>
      </c>
      <c r="N53" s="1001">
        <f t="shared" si="11"/>
        <v>-5.4000000000000003E-3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3433</v>
      </c>
      <c r="D54" s="1002">
        <f t="shared" si="7"/>
        <v>0</v>
      </c>
      <c r="E54" s="703"/>
      <c r="F54" s="1675"/>
      <c r="G54" s="1000">
        <f t="shared" si="12"/>
        <v>4.3E-3</v>
      </c>
      <c r="H54" s="1003">
        <f t="shared" si="8"/>
        <v>4.3E-3</v>
      </c>
      <c r="I54" s="3069">
        <v>0.08</v>
      </c>
      <c r="J54" s="1001">
        <f t="shared" si="9"/>
        <v>8.6E-3</v>
      </c>
      <c r="K54" s="1001">
        <f t="shared" si="10"/>
        <v>4.3E-3</v>
      </c>
      <c r="L54" s="1001">
        <v>0</v>
      </c>
      <c r="M54" s="1001">
        <f t="shared" si="11"/>
        <v>-4.3E-3</v>
      </c>
      <c r="N54" s="1001">
        <f t="shared" si="11"/>
        <v>-8.6E-3</v>
      </c>
      <c r="AA54" s="1057"/>
      <c r="AB54" s="1057"/>
      <c r="AC54" s="1057"/>
      <c r="AD54" s="1057"/>
      <c r="AE54" s="1057"/>
      <c r="AF54" s="1057"/>
      <c r="AG54" s="1057"/>
      <c r="AH54" s="1057"/>
      <c r="AI54" s="1057"/>
      <c r="AJ54" s="1057"/>
      <c r="AK54" s="1057"/>
    </row>
    <row r="55" spans="1:37" s="1056" customFormat="1" ht="24">
      <c r="A55" s="1970" t="s">
        <v>2057</v>
      </c>
      <c r="B55" s="1975" t="s">
        <v>2058</v>
      </c>
      <c r="C55" s="1887" t="s">
        <v>3432</v>
      </c>
      <c r="D55" s="1002">
        <f t="shared" si="7"/>
        <v>2.7000000000000001E-3</v>
      </c>
      <c r="E55" s="703"/>
      <c r="F55" s="1675"/>
      <c r="G55" s="1000">
        <f t="shared" si="12"/>
        <v>2.7000000000000001E-3</v>
      </c>
      <c r="H55" s="1003">
        <f t="shared" si="8"/>
        <v>2.7000000000000001E-3</v>
      </c>
      <c r="I55" s="3069">
        <v>0.05</v>
      </c>
      <c r="J55" s="1001">
        <f t="shared" si="9"/>
        <v>5.4000000000000003E-3</v>
      </c>
      <c r="K55" s="1001">
        <f t="shared" si="10"/>
        <v>2.7000000000000001E-3</v>
      </c>
      <c r="L55" s="1001">
        <v>0</v>
      </c>
      <c r="M55" s="1001">
        <f t="shared" si="11"/>
        <v>-2.7000000000000001E-3</v>
      </c>
      <c r="N55" s="1001">
        <f t="shared" si="11"/>
        <v>-5.4000000000000003E-3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3432</v>
      </c>
      <c r="D56" s="1002">
        <f t="shared" si="7"/>
        <v>2.7000000000000001E-3</v>
      </c>
      <c r="E56" s="703"/>
      <c r="F56" s="1675"/>
      <c r="G56" s="1000">
        <f t="shared" si="12"/>
        <v>2.7000000000000001E-3</v>
      </c>
      <c r="H56" s="1003">
        <f t="shared" si="8"/>
        <v>2.7000000000000001E-3</v>
      </c>
      <c r="I56" s="3069">
        <v>0.05</v>
      </c>
      <c r="J56" s="1001">
        <f t="shared" si="9"/>
        <v>5.4000000000000003E-3</v>
      </c>
      <c r="K56" s="1001">
        <f t="shared" si="10"/>
        <v>2.7000000000000001E-3</v>
      </c>
      <c r="L56" s="1001">
        <v>0</v>
      </c>
      <c r="M56" s="1001">
        <f t="shared" si="11"/>
        <v>-2.7000000000000001E-3</v>
      </c>
      <c r="N56" s="1001">
        <f t="shared" si="11"/>
        <v>-5.4000000000000003E-3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3432</v>
      </c>
      <c r="D57" s="1002">
        <f t="shared" si="7"/>
        <v>4.3E-3</v>
      </c>
      <c r="E57" s="703"/>
      <c r="F57" s="1675"/>
      <c r="G57" s="1000">
        <f t="shared" si="12"/>
        <v>4.3E-3</v>
      </c>
      <c r="H57" s="1003">
        <f t="shared" si="8"/>
        <v>4.3E-3</v>
      </c>
      <c r="I57" s="3069">
        <v>0.08</v>
      </c>
      <c r="J57" s="1001">
        <f t="shared" si="9"/>
        <v>8.6E-3</v>
      </c>
      <c r="K57" s="1001">
        <f t="shared" si="10"/>
        <v>4.3E-3</v>
      </c>
      <c r="L57" s="1001">
        <v>0</v>
      </c>
      <c r="M57" s="1001">
        <f t="shared" si="11"/>
        <v>-4.3E-3</v>
      </c>
      <c r="N57" s="1001">
        <f t="shared" si="11"/>
        <v>-8.6E-3</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3432</v>
      </c>
      <c r="D58" s="1002">
        <f t="shared" si="7"/>
        <v>2.7000000000000001E-3</v>
      </c>
      <c r="E58" s="704"/>
      <c r="F58" s="1675"/>
      <c r="G58" s="1000">
        <f t="shared" si="12"/>
        <v>2.7000000000000001E-3</v>
      </c>
      <c r="H58" s="1003">
        <f t="shared" si="8"/>
        <v>2.7000000000000001E-3</v>
      </c>
      <c r="I58" s="3070">
        <v>0.05</v>
      </c>
      <c r="J58" s="1001">
        <f t="shared" si="9"/>
        <v>5.4000000000000003E-3</v>
      </c>
      <c r="K58" s="1001">
        <f t="shared" si="10"/>
        <v>2.7000000000000001E-3</v>
      </c>
      <c r="L58" s="1001">
        <v>0</v>
      </c>
      <c r="M58" s="1001">
        <f t="shared" si="11"/>
        <v>-2.7000000000000001E-3</v>
      </c>
      <c r="N58" s="1001">
        <f t="shared" si="11"/>
        <v>-5.4000000000000003E-3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3258</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3258</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3259</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3260</v>
      </c>
      <c r="B92" s="2310"/>
      <c r="C92" s="2310" t="s">
        <v>3269</v>
      </c>
      <c r="D92" s="2310" t="s">
        <v>3270</v>
      </c>
      <c r="E92" s="3053" t="s">
        <v>3271</v>
      </c>
      <c r="F92" s="3083" t="s">
        <v>3272</v>
      </c>
      <c r="G92" s="2310" t="s">
        <v>3273</v>
      </c>
      <c r="H92" s="3090" t="s">
        <v>3276</v>
      </c>
      <c r="I92" s="2310" t="s">
        <v>3277</v>
      </c>
      <c r="J92" s="2150" t="s">
        <v>3278</v>
      </c>
      <c r="K92" s="2150" t="s">
        <v>3279</v>
      </c>
      <c r="L92" s="2150" t="s">
        <v>3280</v>
      </c>
      <c r="M92" s="2150" t="s">
        <v>3281</v>
      </c>
      <c r="N92" s="2150" t="s">
        <v>3282</v>
      </c>
    </row>
    <row r="93" spans="1:37" ht="24">
      <c r="A93" s="3071" t="s">
        <v>3261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3262</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3258</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3263</v>
      </c>
      <c r="B96" s="3087" t="s">
        <v>3274</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3264</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3265</v>
      </c>
      <c r="B98" s="3088" t="s">
        <v>3275</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3266</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3267</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3268</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27" t="s">
        <v>3283</v>
      </c>
      <c r="B103" s="3427"/>
      <c r="C103" s="3427"/>
      <c r="D103" s="3427"/>
      <c r="E103" s="3427"/>
      <c r="F103" s="3427"/>
      <c r="G103" s="3427"/>
      <c r="H103" s="3427"/>
      <c r="I103" s="3427"/>
      <c r="J103" s="3427"/>
      <c r="K103" s="1667"/>
      <c r="L103" s="1667"/>
      <c r="M103" s="1667"/>
      <c r="N103" s="1667"/>
    </row>
    <row r="104" spans="1:14">
      <c r="A104" s="3428" t="s">
        <v>3284</v>
      </c>
      <c r="B104" s="3428" t="s">
        <v>3285</v>
      </c>
      <c r="C104" s="3091" t="s">
        <v>3286</v>
      </c>
      <c r="D104" s="3092"/>
      <c r="E104" s="3092"/>
      <c r="F104" s="3092"/>
      <c r="G104" s="3092"/>
      <c r="H104" s="3092"/>
      <c r="I104" s="3092"/>
      <c r="J104" s="3093"/>
      <c r="K104" s="3094"/>
      <c r="L104" s="3094"/>
      <c r="M104" s="3094"/>
      <c r="N104" s="3094"/>
    </row>
    <row r="105" spans="1:14">
      <c r="A105" s="3428"/>
      <c r="B105" s="3428"/>
      <c r="C105" s="3095" t="s">
        <v>3287</v>
      </c>
      <c r="D105" s="3095" t="s">
        <v>3288</v>
      </c>
      <c r="E105" s="3095" t="s">
        <v>3289</v>
      </c>
      <c r="F105" s="3095" t="s">
        <v>3290</v>
      </c>
      <c r="G105" s="3095" t="s">
        <v>3291</v>
      </c>
      <c r="H105" s="3095" t="s">
        <v>3292</v>
      </c>
      <c r="I105" s="3095" t="s">
        <v>3293</v>
      </c>
      <c r="J105" s="3095" t="s">
        <v>3294</v>
      </c>
      <c r="K105" s="3095" t="s">
        <v>3295</v>
      </c>
      <c r="L105" s="3095" t="s">
        <v>3296</v>
      </c>
      <c r="M105" s="3095" t="s">
        <v>3297</v>
      </c>
      <c r="N105" s="3095" t="s">
        <v>3298</v>
      </c>
    </row>
    <row r="106" spans="1:14">
      <c r="A106" s="3414" t="s">
        <v>3299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1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1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1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1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15"/>
      <c r="B111" s="3095" t="s">
        <v>3257</v>
      </c>
      <c r="C111" s="3096">
        <f>$I$3</f>
        <v>1</v>
      </c>
      <c r="D111" s="3096">
        <f t="shared" ref="D111:M111" si="33">$I$3</f>
        <v>1</v>
      </c>
      <c r="E111" s="3096">
        <f t="shared" si="33"/>
        <v>1</v>
      </c>
      <c r="F111" s="3096">
        <f t="shared" si="33"/>
        <v>1</v>
      </c>
      <c r="G111" s="3096">
        <f t="shared" si="33"/>
        <v>1</v>
      </c>
      <c r="H111" s="3096">
        <f t="shared" si="33"/>
        <v>1</v>
      </c>
      <c r="I111" s="3096">
        <f t="shared" si="33"/>
        <v>1</v>
      </c>
      <c r="J111" s="3096">
        <f t="shared" si="33"/>
        <v>1</v>
      </c>
      <c r="K111" s="3096">
        <f t="shared" si="33"/>
        <v>1</v>
      </c>
      <c r="L111" s="3096">
        <f t="shared" si="33"/>
        <v>1</v>
      </c>
      <c r="M111" s="3096">
        <f t="shared" si="33"/>
        <v>1</v>
      </c>
      <c r="N111" s="3096">
        <f>$I$3</f>
        <v>1</v>
      </c>
    </row>
    <row r="112" spans="1:14">
      <c r="A112" s="3416"/>
      <c r="B112" s="3095">
        <v>6</v>
      </c>
      <c r="C112" s="3090">
        <f>(-0.5556*(C111^2)-0.2719*C111+8944)*(10^(-4))</f>
        <v>0.89431725000000006</v>
      </c>
      <c r="D112" s="3090">
        <f>(-0.5556*(D111^2)-0.2719*D111+8944)*(10^(-4))</f>
        <v>0.89431725000000006</v>
      </c>
      <c r="E112" s="3090">
        <f>(-0.7912*(E111^2)-11.3794*E111+8482)*(10^(-4))</f>
        <v>0.84698294000000007</v>
      </c>
      <c r="F112" s="3090">
        <f t="shared" ref="F112:I112" si="34">(-0.7912*(F111^2)-11.3794*F111+8482)*(10^(-4))</f>
        <v>0.84698294000000007</v>
      </c>
      <c r="G112" s="3090">
        <f t="shared" si="34"/>
        <v>0.84698294000000007</v>
      </c>
      <c r="H112" s="3090">
        <f t="shared" si="34"/>
        <v>0.84698294000000007</v>
      </c>
      <c r="I112" s="3090">
        <f t="shared" si="34"/>
        <v>0.84698294000000007</v>
      </c>
      <c r="J112" s="3090">
        <f>(-0.989*(J111^2)-63.78*J111+7771)*(10^(-4))</f>
        <v>0.77062310000000001</v>
      </c>
      <c r="K112" s="3090">
        <f t="shared" ref="K112:N112" si="35">(-0.989*(K111^2)-63.78*K111+7771)*(10^(-4))</f>
        <v>0.77062310000000001</v>
      </c>
      <c r="L112" s="3090">
        <f t="shared" si="35"/>
        <v>0.77062310000000001</v>
      </c>
      <c r="M112" s="3090">
        <f t="shared" si="35"/>
        <v>0.77062310000000001</v>
      </c>
      <c r="N112" s="3090">
        <f t="shared" si="35"/>
        <v>0.77062310000000001</v>
      </c>
    </row>
    <row r="113" spans="1:14">
      <c r="A113" s="3417" t="s">
        <v>3300</v>
      </c>
      <c r="B113" s="3417"/>
      <c r="C113" s="3417"/>
      <c r="D113" s="3417"/>
      <c r="E113" s="3417"/>
      <c r="F113" s="3417"/>
      <c r="G113" s="3417"/>
      <c r="H113" s="3417"/>
      <c r="I113" s="3417"/>
      <c r="J113" s="341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3301</v>
      </c>
      <c r="B116" s="3115">
        <f>G3</f>
        <v>2</v>
      </c>
      <c r="C116" s="3100" t="s">
        <v>3302</v>
      </c>
      <c r="D116" s="3101">
        <f>SUMPRODUCT((A118:A122=F116)*(B117:M117=H116)*B118:M122)</f>
        <v>0.81259999999999999</v>
      </c>
      <c r="E116" s="162" t="s">
        <v>3303</v>
      </c>
      <c r="F116" s="3102" t="str">
        <f>E2</f>
        <v>商业</v>
      </c>
      <c r="G116" s="162" t="s">
        <v>3304</v>
      </c>
      <c r="H116" s="3102" t="str">
        <f>G2</f>
        <v>八级</v>
      </c>
      <c r="I116" s="162"/>
      <c r="J116" s="3103"/>
      <c r="K116" s="3103"/>
      <c r="L116" s="3103"/>
      <c r="M116" s="3103"/>
      <c r="N116" s="3098"/>
    </row>
    <row r="117" spans="1:14">
      <c r="A117" s="3104"/>
      <c r="B117" s="3105" t="s">
        <v>3305</v>
      </c>
      <c r="C117" s="3105" t="s">
        <v>3306</v>
      </c>
      <c r="D117" s="3105" t="s">
        <v>3307</v>
      </c>
      <c r="E117" s="3106" t="s">
        <v>3308</v>
      </c>
      <c r="F117" s="3106" t="s">
        <v>3309</v>
      </c>
      <c r="G117" s="3106" t="s">
        <v>3310</v>
      </c>
      <c r="H117" s="3107" t="s">
        <v>3311</v>
      </c>
      <c r="I117" s="3107" t="s">
        <v>3312</v>
      </c>
      <c r="J117" s="3108" t="s">
        <v>3313</v>
      </c>
      <c r="K117" s="3108" t="s">
        <v>3314</v>
      </c>
      <c r="L117" s="3108" t="s">
        <v>3315</v>
      </c>
      <c r="M117" s="3109" t="s">
        <v>3316</v>
      </c>
      <c r="N117" s="3098"/>
    </row>
    <row r="118" spans="1:14">
      <c r="A118" s="3058" t="s">
        <v>3317</v>
      </c>
      <c r="B118" s="3090">
        <f>ROUND(0.9968-0.011*B116,4)</f>
        <v>0.9748</v>
      </c>
      <c r="C118" s="3090">
        <f>B118</f>
        <v>0.9748</v>
      </c>
      <c r="D118" s="3090">
        <f>ROUND(0.949-0.014*B116,4)</f>
        <v>0.92100000000000004</v>
      </c>
      <c r="E118" s="3090">
        <f>D118</f>
        <v>0.92100000000000004</v>
      </c>
      <c r="F118" s="3090">
        <f>E118</f>
        <v>0.92100000000000004</v>
      </c>
      <c r="G118" s="3090">
        <f>F118</f>
        <v>0.92100000000000004</v>
      </c>
      <c r="H118" s="3090">
        <f>G118</f>
        <v>0.92100000000000004</v>
      </c>
      <c r="I118" s="3090">
        <f>ROUND(0.8486-0.018*B116,4)</f>
        <v>0.81259999999999999</v>
      </c>
      <c r="J118" s="3090">
        <f t="shared" ref="J118:M122" si="36">I118</f>
        <v>0.81259999999999999</v>
      </c>
      <c r="K118" s="3090">
        <f t="shared" si="36"/>
        <v>0.81259999999999999</v>
      </c>
      <c r="L118" s="3090">
        <f t="shared" si="36"/>
        <v>0.81259999999999999</v>
      </c>
      <c r="M118" s="3110">
        <f t="shared" si="36"/>
        <v>0.81259999999999999</v>
      </c>
      <c r="N118" s="3098"/>
    </row>
    <row r="119" spans="1:14">
      <c r="A119" s="3058" t="s">
        <v>3318</v>
      </c>
      <c r="B119" s="3090">
        <f>ROUND(0.993-0.0112*B116,4)</f>
        <v>0.97060000000000002</v>
      </c>
      <c r="C119" s="3090">
        <f>B119</f>
        <v>0.97060000000000002</v>
      </c>
      <c r="D119" s="3090">
        <f>ROUND(0.9415-0.0142*B116,4)</f>
        <v>0.91310000000000002</v>
      </c>
      <c r="E119" s="3090">
        <f t="shared" ref="E119:H120" si="37">D119</f>
        <v>0.91310000000000002</v>
      </c>
      <c r="F119" s="3090">
        <f t="shared" si="37"/>
        <v>0.91310000000000002</v>
      </c>
      <c r="G119" s="3090">
        <f t="shared" si="37"/>
        <v>0.91310000000000002</v>
      </c>
      <c r="H119" s="3090">
        <f t="shared" si="37"/>
        <v>0.91310000000000002</v>
      </c>
      <c r="I119" s="3090">
        <f>ROUND(0.838-0.0182*B116,4)</f>
        <v>0.80159999999999998</v>
      </c>
      <c r="J119" s="3090">
        <f t="shared" si="36"/>
        <v>0.80159999999999998</v>
      </c>
      <c r="K119" s="3090">
        <f t="shared" si="36"/>
        <v>0.80159999999999998</v>
      </c>
      <c r="L119" s="3090">
        <f t="shared" si="36"/>
        <v>0.80159999999999998</v>
      </c>
      <c r="M119" s="3110">
        <f t="shared" si="36"/>
        <v>0.80159999999999998</v>
      </c>
      <c r="N119" s="3098"/>
    </row>
    <row r="120" spans="1:14">
      <c r="A120" s="3058" t="s">
        <v>3319</v>
      </c>
      <c r="B120" s="3090">
        <f>ROUND(0.9448-0.0115*B116,4)</f>
        <v>0.92179999999999995</v>
      </c>
      <c r="C120" s="3090">
        <f>B120</f>
        <v>0.92179999999999995</v>
      </c>
      <c r="D120" s="3090">
        <f>ROUND(0.937-0.0145*B116,4)</f>
        <v>0.90800000000000003</v>
      </c>
      <c r="E120" s="3090">
        <f t="shared" si="37"/>
        <v>0.90800000000000003</v>
      </c>
      <c r="F120" s="3090">
        <f t="shared" si="37"/>
        <v>0.90800000000000003</v>
      </c>
      <c r="G120" s="3090">
        <f t="shared" si="37"/>
        <v>0.90800000000000003</v>
      </c>
      <c r="H120" s="3090">
        <f t="shared" si="37"/>
        <v>0.90800000000000003</v>
      </c>
      <c r="I120" s="3090">
        <f>ROUND(0.7965-0.0185*B116,4)</f>
        <v>0.75949999999999995</v>
      </c>
      <c r="J120" s="3090">
        <f t="shared" si="36"/>
        <v>0.75949999999999995</v>
      </c>
      <c r="K120" s="3090">
        <f t="shared" si="36"/>
        <v>0.75949999999999995</v>
      </c>
      <c r="L120" s="3090">
        <f t="shared" si="36"/>
        <v>0.75949999999999995</v>
      </c>
      <c r="M120" s="3110">
        <f t="shared" si="36"/>
        <v>0.75949999999999995</v>
      </c>
      <c r="N120" s="3098"/>
    </row>
    <row r="121" spans="1:14" ht="13.5" thickBot="1">
      <c r="A121" s="3111" t="s">
        <v>3320</v>
      </c>
      <c r="B121" s="3112">
        <f>ROUND(0.7836-0.012*B116,4)</f>
        <v>0.75960000000000005</v>
      </c>
      <c r="C121" s="3112">
        <f>B121</f>
        <v>0.75960000000000005</v>
      </c>
      <c r="D121" s="3112">
        <f>ROUND(0.753-0.015*B116,4)</f>
        <v>0.72299999999999998</v>
      </c>
      <c r="E121" s="3112">
        <f>D121</f>
        <v>0.72299999999999998</v>
      </c>
      <c r="F121" s="3112">
        <f>E121</f>
        <v>0.72299999999999998</v>
      </c>
      <c r="G121" s="3112">
        <f>ROUND(0.6612-0.018*B116,4)</f>
        <v>0.62519999999999998</v>
      </c>
      <c r="H121" s="3112">
        <f>G121</f>
        <v>0.62519999999999998</v>
      </c>
      <c r="I121" s="3112">
        <f>ROUND(0.5905-0.019*B116,4)</f>
        <v>0.55249999999999999</v>
      </c>
      <c r="J121" s="3112">
        <f t="shared" si="36"/>
        <v>0.55249999999999999</v>
      </c>
      <c r="K121" s="3112">
        <f t="shared" si="36"/>
        <v>0.55249999999999999</v>
      </c>
      <c r="L121" s="3112">
        <f t="shared" si="36"/>
        <v>0.55249999999999999</v>
      </c>
      <c r="M121" s="3113">
        <f t="shared" si="36"/>
        <v>0.55249999999999999</v>
      </c>
      <c r="N121" s="3098"/>
    </row>
    <row r="122" spans="1:14">
      <c r="A122" s="3114" t="s">
        <v>2603</v>
      </c>
      <c r="B122" s="3090">
        <f>ROUND(0.9404-0.0106*B116,4)</f>
        <v>0.91920000000000002</v>
      </c>
      <c r="C122" s="3090">
        <f>B122</f>
        <v>0.91920000000000002</v>
      </c>
      <c r="D122" s="3090">
        <f>ROUND(0.8955-0.0135*B116,4)</f>
        <v>0.86850000000000005</v>
      </c>
      <c r="E122" s="3090">
        <f t="shared" ref="E122:H122" si="38">D122</f>
        <v>0.86850000000000005</v>
      </c>
      <c r="F122" s="3090">
        <f t="shared" si="38"/>
        <v>0.86850000000000005</v>
      </c>
      <c r="G122" s="3090">
        <f t="shared" si="38"/>
        <v>0.86850000000000005</v>
      </c>
      <c r="H122" s="3090">
        <f t="shared" si="38"/>
        <v>0.86850000000000005</v>
      </c>
      <c r="I122" s="3090">
        <f>ROUND(0.7632-0.0166*B116,4)</f>
        <v>0.73</v>
      </c>
      <c r="J122" s="3090">
        <f t="shared" si="36"/>
        <v>0.73</v>
      </c>
      <c r="K122" s="3090">
        <f t="shared" si="36"/>
        <v>0.73</v>
      </c>
      <c r="L122" s="3090">
        <f t="shared" si="36"/>
        <v>0.73</v>
      </c>
      <c r="M122" s="3110">
        <f t="shared" si="36"/>
        <v>0.73</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1" priority="6" stopIfTrue="1" operator="notEqual">
      <formula>"——"</formula>
    </cfRule>
  </conditionalFormatting>
  <conditionalFormatting sqref="F61">
    <cfRule type="cellIs" dxfId="110" priority="5" stopIfTrue="1" operator="notEqual">
      <formula>"——"</formula>
    </cfRule>
  </conditionalFormatting>
  <conditionalFormatting sqref="F72">
    <cfRule type="cellIs" dxfId="109" priority="4" stopIfTrue="1" operator="notEqual">
      <formula>"——"</formula>
    </cfRule>
  </conditionalFormatting>
  <conditionalFormatting sqref="F83">
    <cfRule type="cellIs" dxfId="108" priority="3" stopIfTrue="1" operator="notEqual">
      <formula>"——"</formula>
    </cfRule>
  </conditionalFormatting>
  <conditionalFormatting sqref="H50:H58 H61:H69 H72:H80 H83:H91">
    <cfRule type="cellIs" dxfId="107" priority="2" operator="notEqual">
      <formula>"——"</formula>
    </cfRule>
  </conditionalFormatting>
  <conditionalFormatting sqref="H93:H101">
    <cfRule type="cellIs" dxfId="10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D13" sqref="D1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171.12960000000001</v>
      </c>
      <c r="C2" s="1289" t="s">
        <v>879</v>
      </c>
      <c r="D2" s="1375">
        <f ca="1">C40+J29+L46</f>
        <v>1711296</v>
      </c>
      <c r="E2" s="1295" t="s">
        <v>880</v>
      </c>
      <c r="F2" s="1296"/>
      <c r="G2" s="2479"/>
      <c r="H2" s="2469"/>
      <c r="I2" s="2469"/>
      <c r="J2" s="2469"/>
      <c r="K2" s="2470"/>
      <c r="L2" s="2469"/>
      <c r="M2" s="2469"/>
    </row>
    <row r="3" spans="1:37" ht="18" customHeight="1" thickBot="1">
      <c r="A3" s="1297" t="s">
        <v>881</v>
      </c>
      <c r="B3" s="1298">
        <f ca="1">IF(ISERROR(D2/F43),0,ROUND(D2/F43,0))</f>
        <v>9062</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173921</v>
      </c>
      <c r="D5" s="1273" t="s">
        <v>889</v>
      </c>
      <c r="E5" s="1008"/>
      <c r="F5" s="1009"/>
      <c r="G5" s="1292"/>
      <c r="H5" s="291">
        <v>1</v>
      </c>
      <c r="I5" s="292" t="s">
        <v>888</v>
      </c>
      <c r="J5" s="1007">
        <f ca="1">J6+J10+J12</f>
        <v>0</v>
      </c>
      <c r="K5" s="1273" t="s">
        <v>889</v>
      </c>
      <c r="L5" s="1008"/>
      <c r="M5" s="1009"/>
    </row>
    <row r="6" spans="1:37" ht="18" customHeight="1">
      <c r="A6" s="1006" t="s">
        <v>398</v>
      </c>
      <c r="B6" s="3411" t="s">
        <v>694</v>
      </c>
      <c r="C6" s="1011">
        <f ca="1">ROUND(F6*F8*F7*(1-F9),0)</f>
        <v>173704</v>
      </c>
      <c r="D6" s="147" t="s">
        <v>2106</v>
      </c>
      <c r="E6" s="294" t="s">
        <v>696</v>
      </c>
      <c r="F6" s="295">
        <f ca="1">INDIRECT("'数据-取费表'!u"&amp;$G$1)</f>
        <v>2.8</v>
      </c>
      <c r="G6" s="1292"/>
      <c r="H6" s="1006" t="s">
        <v>398</v>
      </c>
      <c r="I6" s="3411" t="s">
        <v>694</v>
      </c>
      <c r="J6" s="293">
        <f ca="1">ROUND(M6*M8*M7*(1-M9),0)</f>
        <v>0</v>
      </c>
      <c r="K6" s="1284" t="s">
        <v>2107</v>
      </c>
      <c r="L6" s="294" t="s">
        <v>696</v>
      </c>
      <c r="M6" s="295">
        <f ca="1">INDIRECT("'数据-取费表'!z"&amp;$G$1)</f>
        <v>0</v>
      </c>
    </row>
    <row r="7" spans="1:37" ht="18" customHeight="1">
      <c r="A7" s="1010"/>
      <c r="B7" s="3412"/>
      <c r="C7" s="1012"/>
      <c r="D7" s="299"/>
      <c r="E7" s="1013" t="s">
        <v>697</v>
      </c>
      <c r="F7" s="295">
        <f ca="1">IF(INDIRECT("'数据-取费表'!ah"&amp;$G$1)="",INDIRECT("'数据-取费表'!k"&amp;$G$1),INDIRECT("'数据-取费表'!ah"&amp;$G$1))</f>
        <v>188.85</v>
      </c>
      <c r="G7" s="1292"/>
      <c r="H7" s="296"/>
      <c r="I7" s="3412"/>
      <c r="J7" s="298"/>
      <c r="K7" s="299"/>
      <c r="L7" s="294" t="s">
        <v>697</v>
      </c>
      <c r="M7" s="295">
        <f ca="1">F7</f>
        <v>188.85</v>
      </c>
    </row>
    <row r="8" spans="1:37" ht="18" customHeight="1">
      <c r="A8" s="296"/>
      <c r="B8" s="3412"/>
      <c r="C8" s="298"/>
      <c r="D8" s="299"/>
      <c r="E8" s="294" t="s">
        <v>698</v>
      </c>
      <c r="F8" s="295">
        <f ca="1">INDIRECT("'数据-取费表'!ai"&amp;$G$1)</f>
        <v>365</v>
      </c>
      <c r="G8" s="1292"/>
      <c r="H8" s="296"/>
      <c r="I8" s="3412"/>
      <c r="J8" s="298"/>
      <c r="K8" s="299"/>
      <c r="L8" s="294" t="s">
        <v>698</v>
      </c>
      <c r="M8" s="295">
        <f ca="1">INDIRECT("'数据-取费表'!ai"&amp;$G$1)</f>
        <v>365</v>
      </c>
    </row>
    <row r="9" spans="1:37" ht="18" customHeight="1">
      <c r="A9" s="296"/>
      <c r="B9" s="3413"/>
      <c r="C9" s="298"/>
      <c r="D9" s="299"/>
      <c r="E9" s="294" t="s">
        <v>699</v>
      </c>
      <c r="F9" s="304">
        <f ca="1">INDIRECT("'数据-取费表'!w"&amp;$G$1)</f>
        <v>0.1</v>
      </c>
      <c r="G9" s="1292"/>
      <c r="H9" s="296"/>
      <c r="I9" s="3413"/>
      <c r="J9" s="298"/>
      <c r="K9" s="299"/>
      <c r="L9" s="305" t="s">
        <v>699</v>
      </c>
      <c r="M9" s="306">
        <f ca="1">INDIRECT("'数据-取费表'!ab"&amp;$G$1)</f>
        <v>0</v>
      </c>
    </row>
    <row r="10" spans="1:37" ht="18" customHeight="1">
      <c r="A10" s="1006" t="s">
        <v>402</v>
      </c>
      <c r="B10" s="1274" t="s">
        <v>700</v>
      </c>
      <c r="C10" s="308">
        <f ca="1">ROUND(IF(F10="押一",C6/12*F11,IF(F10="押二",C6/12*2*F11,IF(F10="押三",C6/12*3*F11,C11*F11))),0)</f>
        <v>217</v>
      </c>
      <c r="D10" s="150" t="s">
        <v>2116</v>
      </c>
      <c r="E10" s="305" t="s">
        <v>701</v>
      </c>
      <c r="F10" s="1053" t="s">
        <v>3421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719755</v>
      </c>
      <c r="D13" s="1018" t="s">
        <v>705</v>
      </c>
      <c r="E13" s="1018" t="s">
        <v>706</v>
      </c>
      <c r="F13" s="1019">
        <f ca="1">INDIRECT("'数据-取费表'!y"&amp;$G$1)</f>
        <v>0.71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660975</v>
      </c>
      <c r="D14" s="1257" t="s">
        <v>708</v>
      </c>
      <c r="E14" s="1255"/>
      <c r="F14" s="311"/>
      <c r="G14" s="1292"/>
      <c r="H14" s="928" t="s">
        <v>398</v>
      </c>
      <c r="I14" s="294" t="s">
        <v>709</v>
      </c>
      <c r="J14" s="21">
        <f ca="1">C29</f>
        <v>1013740</v>
      </c>
      <c r="K14" s="12"/>
      <c r="L14" s="759"/>
      <c r="M14" s="760"/>
    </row>
    <row r="15" spans="1:37" s="1304" customFormat="1" ht="18" customHeight="1" thickBot="1">
      <c r="A15" s="928" t="s">
        <v>399</v>
      </c>
      <c r="B15" s="294" t="s">
        <v>710</v>
      </c>
      <c r="C15" s="21">
        <f ca="1">ROUND(C14*F15,0)</f>
        <v>33049</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2027</v>
      </c>
      <c r="K16" s="1024" t="s">
        <v>715</v>
      </c>
      <c r="L16" s="1025"/>
      <c r="M16" s="1009"/>
    </row>
    <row r="17" spans="1:37" s="1304" customFormat="1" ht="18" customHeight="1">
      <c r="A17" s="928" t="s">
        <v>681</v>
      </c>
      <c r="B17" s="294" t="s">
        <v>716</v>
      </c>
      <c r="C17" s="21">
        <f ca="1">ROUND(F17*(F43+INDIRECT("'数据-取费表'!S"&amp;$G$1)),0)</f>
        <v>37770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13220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745014</v>
      </c>
      <c r="D19" s="123" t="s">
        <v>726</v>
      </c>
      <c r="E19" s="1269"/>
      <c r="F19" s="23"/>
      <c r="G19" s="1292"/>
      <c r="H19" s="928" t="s">
        <v>399</v>
      </c>
      <c r="I19" s="294" t="s">
        <v>727</v>
      </c>
      <c r="J19" s="21">
        <f ca="1">IF(K19="按租金收入计税",ROUND(J6*M19/(1+'数据-取费表'!C42),0),ROUND(C29*M19*0.7,0))</f>
        <v>0</v>
      </c>
      <c r="K19" s="1278" t="s">
        <v>3324</v>
      </c>
      <c r="L19" s="294" t="s">
        <v>712</v>
      </c>
      <c r="M19" s="314">
        <f>IF(K19="按租金收入计税",'数据-取费表'!B51,'数据-取费表'!B50)</f>
        <v>0.12</v>
      </c>
    </row>
    <row r="20" spans="1:37" s="1304" customFormat="1" ht="18" customHeight="1">
      <c r="A20" s="928" t="s">
        <v>402</v>
      </c>
      <c r="B20" s="294" t="s">
        <v>728</v>
      </c>
      <c r="C20" s="21">
        <f ca="1">ROUND(C19*F20,0)</f>
        <v>14900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2027</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23785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-2027</v>
      </c>
      <c r="K25" s="1032" t="s">
        <v>753</v>
      </c>
      <c r="L25" s="1033"/>
      <c r="M25" s="1034"/>
    </row>
    <row r="26" spans="1:37" ht="18" customHeight="1">
      <c r="A26" s="928" t="s">
        <v>397</v>
      </c>
      <c r="B26" s="294" t="s">
        <v>754</v>
      </c>
      <c r="C26" s="21">
        <f ca="1">ROUND((C19+C20)*F26,0)</f>
        <v>151983</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1013740</v>
      </c>
      <c r="D29" s="1029"/>
      <c r="E29" s="1027"/>
      <c r="F29" s="1030"/>
      <c r="G29" s="1303"/>
      <c r="H29" s="325" t="s">
        <v>396</v>
      </c>
      <c r="I29" s="326" t="s">
        <v>768</v>
      </c>
      <c r="J29" s="327">
        <f ca="1">ROUND(J26/(1+F40)^F41,0)</f>
        <v>0</v>
      </c>
      <c r="K29" s="328" t="s">
        <v>769</v>
      </c>
      <c r="L29" s="329"/>
      <c r="M29" s="330">
        <f ca="1">INDIRECT("'数据-取费表'!k"&amp;$G$1)</f>
        <v>188.85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16066</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11580</v>
      </c>
      <c r="D31" s="1257" t="s">
        <v>720</v>
      </c>
      <c r="E31" s="1256" t="s">
        <v>770</v>
      </c>
      <c r="F31" s="2139">
        <f ca="1">IF(项目基本情况!B11="企业","——",IF(M47="住宅",IF(F6*F7*F8/12/(1+'数据-取费表'!F30)&gt;100000,4%,2.5%),IF(F6*F7*F8/12/(1+'数据-取费表'!F30)&gt;100000,12%,7%)))</f>
        <v>7.0000000000000007E-2</v>
      </c>
      <c r="G31" s="1292"/>
      <c r="H31" s="2570" t="s">
        <v>2297</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3324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2027</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720</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1739</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157855</v>
      </c>
      <c r="D39" s="1032" t="s">
        <v>773</v>
      </c>
      <c r="E39" s="1033"/>
      <c r="F39" s="1034"/>
      <c r="G39" s="1292"/>
      <c r="H39" s="2474"/>
      <c r="I39" s="1305"/>
      <c r="J39" s="1306"/>
      <c r="K39" s="2472"/>
      <c r="L39" s="2474"/>
      <c r="M39" s="2474"/>
    </row>
    <row r="40" spans="1:18" ht="18" customHeight="1">
      <c r="A40" s="291" t="s">
        <v>395</v>
      </c>
      <c r="B40" s="292" t="s">
        <v>774</v>
      </c>
      <c r="C40" s="293">
        <f ca="1">ROUND(C39*(1-((1+F42)/(1+F40))^F41)/(F40-F42),0)</f>
        <v>1552925</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13</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8223</v>
      </c>
      <c r="D43" s="328" t="s">
        <v>777</v>
      </c>
      <c r="E43" s="329" t="s">
        <v>778</v>
      </c>
      <c r="F43" s="330">
        <f ca="1">INDIRECT("'数据-取费表'!k"&amp;$G$1)</f>
        <v>188.85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3340</v>
      </c>
      <c r="B45" s="1307"/>
      <c r="C45" s="1376">
        <f ca="1">ROUND((C68-C40)/10000,4)</f>
        <v>-157.7243</v>
      </c>
      <c r="D45" s="3131" t="s">
        <v>3341</v>
      </c>
      <c r="E45" s="1307"/>
      <c r="F45" s="1307"/>
      <c r="O45" s="1310" t="s">
        <v>808</v>
      </c>
      <c r="P45" s="1366"/>
      <c r="Q45" s="1366"/>
      <c r="R45" s="1366"/>
    </row>
    <row r="46" spans="1:18" s="1292" customFormat="1" ht="13.5" thickBot="1">
      <c r="A46" s="1311" t="s">
        <v>809</v>
      </c>
      <c r="C46" s="1312">
        <f ca="1">ROUND(C45,0)</f>
        <v>-158</v>
      </c>
      <c r="D46" s="1313" t="str">
        <f>C2</f>
        <v>万元</v>
      </c>
      <c r="I46" s="1314" t="s">
        <v>810</v>
      </c>
      <c r="J46" s="1315"/>
      <c r="K46" s="1316"/>
      <c r="L46" s="1317">
        <f ca="1">IF(M47="住宅",0,IF(L48&gt;J51,L60,J60))</f>
        <v>158371</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3423</v>
      </c>
      <c r="K47" s="1323" t="s">
        <v>816</v>
      </c>
      <c r="L47" s="1324">
        <f ca="1">INDIRECT("'数据-取费表'!d"&amp;$G$1)</f>
        <v>40</v>
      </c>
      <c r="M47" s="1288" t="str">
        <f>IF(ISNUMBER(FIND("住宅",C1)),"住宅","非住宅")</f>
        <v>非住宅</v>
      </c>
      <c r="O47" s="1325" t="s">
        <v>403</v>
      </c>
      <c r="P47" s="1326" t="s">
        <v>817</v>
      </c>
      <c r="Q47" s="1327">
        <f ca="1">C40+J29</f>
        <v>1552925</v>
      </c>
      <c r="R47" s="1327" t="s">
        <v>818</v>
      </c>
    </row>
    <row r="48" spans="1:18" s="1292" customFormat="1" ht="28.5" thickBot="1">
      <c r="A48" s="1047" t="s">
        <v>438</v>
      </c>
      <c r="B48" s="292" t="s">
        <v>692</v>
      </c>
      <c r="C48" s="1268">
        <f ca="1">C49+C53+C55</f>
        <v>0</v>
      </c>
      <c r="D48" s="1049"/>
      <c r="E48" s="1050"/>
      <c r="F48" s="908"/>
      <c r="G48" s="681"/>
      <c r="H48" s="682"/>
      <c r="I48" s="1328" t="s">
        <v>819</v>
      </c>
      <c r="J48" s="1329" t="s">
        <v>3424</v>
      </c>
      <c r="K48" s="1330" t="s">
        <v>820</v>
      </c>
      <c r="L48" s="1331">
        <f ca="1">INDIRECT("'数据-取费表'!f"&amp;$G$1)</f>
        <v>13</v>
      </c>
      <c r="O48" s="1325" t="s">
        <v>404</v>
      </c>
      <c r="P48" s="1326" t="s">
        <v>821</v>
      </c>
      <c r="Q48" s="1327">
        <f ca="1">J60</f>
        <v>158371</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2000</v>
      </c>
      <c r="K49" s="1330" t="s">
        <v>824</v>
      </c>
      <c r="L49" s="1333"/>
      <c r="O49" s="1334" t="s">
        <v>405</v>
      </c>
      <c r="P49" s="1326" t="s">
        <v>825</v>
      </c>
      <c r="Q49" s="1327">
        <f ca="1">C29</f>
        <v>1013740</v>
      </c>
      <c r="R49" s="1327" t="s">
        <v>818</v>
      </c>
    </row>
    <row r="50" spans="1:18" s="1292" customFormat="1" ht="13.5" thickBot="1">
      <c r="A50" s="922"/>
      <c r="B50" s="925"/>
      <c r="C50" s="926"/>
      <c r="D50" s="899"/>
      <c r="E50" s="993" t="s">
        <v>697</v>
      </c>
      <c r="F50" s="994">
        <f ca="1">F7</f>
        <v>188.85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35</v>
      </c>
      <c r="K51" s="1339" t="s">
        <v>830</v>
      </c>
      <c r="L51" s="1340">
        <f ca="1">ROUND(-PV(INDIRECT("'数据-取费表'!h"&amp;$G$1),J51,(C39-C13*C76),0),0)</f>
        <v>1654056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13</v>
      </c>
      <c r="K53" s="3409" t="s">
        <v>837</v>
      </c>
      <c r="L53" s="3410"/>
      <c r="O53" s="1325" t="s">
        <v>409</v>
      </c>
      <c r="P53" s="1326" t="s">
        <v>838</v>
      </c>
      <c r="Q53" s="1327">
        <f ca="1">Q47+Q48</f>
        <v>1711296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t="s">
        <v>3425</v>
      </c>
      <c r="O55" s="1318" t="s">
        <v>811</v>
      </c>
      <c r="P55" s="1319" t="s">
        <v>812</v>
      </c>
      <c r="Q55" s="1320" t="s">
        <v>813</v>
      </c>
      <c r="R55" s="1320" t="s">
        <v>814</v>
      </c>
    </row>
    <row r="56" spans="1:18" s="1292" customFormat="1" ht="36" customHeight="1" thickTop="1" thickBot="1">
      <c r="A56" s="903">
        <v>2</v>
      </c>
      <c r="B56" s="904" t="s">
        <v>704</v>
      </c>
      <c r="C56" s="224">
        <f ca="1">C13</f>
        <v>719755</v>
      </c>
      <c r="D56" s="1352"/>
      <c r="E56" s="1353"/>
      <c r="F56" s="1345"/>
      <c r="I56" s="1354" t="s">
        <v>842</v>
      </c>
      <c r="J56" s="1355" t="s">
        <v>3413</v>
      </c>
      <c r="K56" s="1328" t="s">
        <v>843</v>
      </c>
      <c r="L56" s="1331" t="str">
        <f ca="1">IF(L48&lt;J51,"——",L48-J51)</f>
        <v>——</v>
      </c>
      <c r="O56" s="1325" t="s">
        <v>403</v>
      </c>
      <c r="P56" s="1326" t="s">
        <v>817</v>
      </c>
      <c r="Q56" s="1327">
        <f ca="1">C40+J29</f>
        <v>1552925</v>
      </c>
      <c r="R56" s="1327" t="s">
        <v>818</v>
      </c>
    </row>
    <row r="57" spans="1:18" s="1292" customFormat="1" ht="24.75" thickBot="1">
      <c r="A57" s="1356"/>
      <c r="B57" s="896" t="s">
        <v>767</v>
      </c>
      <c r="C57" s="230">
        <f ca="1">C29</f>
        <v>1013740</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2747</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405496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158371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3324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1552925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2027</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720</v>
      </c>
      <c r="D65" s="910" t="s">
        <v>743</v>
      </c>
      <c r="E65" s="896" t="s">
        <v>744</v>
      </c>
      <c r="F65" s="321">
        <f t="shared" ca="1" si="0"/>
        <v>1E-3</v>
      </c>
      <c r="I65" s="1367" t="s">
        <v>867</v>
      </c>
      <c r="J65" s="610">
        <v>40</v>
      </c>
      <c r="K65" s="610">
        <v>30</v>
      </c>
      <c r="L65" s="610">
        <v>50</v>
      </c>
      <c r="M65" s="1369">
        <v>0.02</v>
      </c>
      <c r="O65" s="1325" t="s">
        <v>403</v>
      </c>
      <c r="P65" s="1326" t="s">
        <v>868</v>
      </c>
      <c r="Q65" s="1327">
        <f ca="1">C40+J29</f>
        <v>1552925</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-2747</v>
      </c>
      <c r="D67" s="909" t="s">
        <v>753</v>
      </c>
      <c r="E67" s="914"/>
      <c r="F67" s="915"/>
      <c r="O67" s="1334" t="s">
        <v>405</v>
      </c>
      <c r="P67" s="1326" t="s">
        <v>850</v>
      </c>
      <c r="Q67" s="1370">
        <f ca="1">L51</f>
        <v>1654056</v>
      </c>
      <c r="R67" s="1327" t="s">
        <v>870</v>
      </c>
    </row>
    <row r="68" spans="1:18" s="1292" customFormat="1" ht="16.5" thickBot="1">
      <c r="A68" s="893" t="s">
        <v>395</v>
      </c>
      <c r="B68" s="894" t="s">
        <v>774</v>
      </c>
      <c r="C68" s="293">
        <f ca="1">ROUND(C67*(1-((1+F70)/(1+F68))^F69)/(F68-F70),0)</f>
        <v>-24318</v>
      </c>
      <c r="D68" s="911" t="s">
        <v>758</v>
      </c>
      <c r="E68" s="896" t="s">
        <v>759</v>
      </c>
      <c r="F68" s="304">
        <f ca="1">F40</f>
        <v>0.06</v>
      </c>
      <c r="O68" s="1334" t="s">
        <v>406</v>
      </c>
      <c r="P68" s="1371" t="s">
        <v>871</v>
      </c>
      <c r="Q68" s="1327">
        <f ca="1">ROUND(Q69-Q70*Q71,0)</f>
        <v>107472</v>
      </c>
      <c r="R68" s="1327" t="s">
        <v>414</v>
      </c>
    </row>
    <row r="69" spans="1:18" s="1292" customFormat="1" ht="13.5" thickBot="1">
      <c r="A69" s="897"/>
      <c r="B69" s="898"/>
      <c r="C69" s="298"/>
      <c r="D69" s="916" t="s">
        <v>762</v>
      </c>
      <c r="E69" s="896" t="s">
        <v>763</v>
      </c>
      <c r="F69" s="324">
        <f ca="1">F41</f>
        <v>13</v>
      </c>
      <c r="O69" s="1334" t="s">
        <v>411</v>
      </c>
      <c r="P69" s="1371" t="s">
        <v>872</v>
      </c>
      <c r="Q69" s="1327">
        <f ca="1">C39</f>
        <v>157855</v>
      </c>
      <c r="R69" s="1327" t="s">
        <v>818</v>
      </c>
    </row>
    <row r="70" spans="1:18" s="1292" customFormat="1" ht="13.5" thickBot="1">
      <c r="A70" s="900"/>
      <c r="B70" s="901"/>
      <c r="C70" s="302"/>
      <c r="D70" s="912"/>
      <c r="E70" s="896" t="s">
        <v>766</v>
      </c>
      <c r="F70" s="991"/>
      <c r="O70" s="1334" t="s">
        <v>412</v>
      </c>
      <c r="P70" s="1371" t="s">
        <v>873</v>
      </c>
      <c r="Q70" s="1327">
        <f ca="1">C13</f>
        <v>719755</v>
      </c>
      <c r="R70" s="1327" t="s">
        <v>818</v>
      </c>
    </row>
    <row r="71" spans="1:18" s="1292" customFormat="1" ht="13.5" thickBot="1">
      <c r="A71" s="917" t="s">
        <v>396</v>
      </c>
      <c r="B71" s="918" t="s">
        <v>776</v>
      </c>
      <c r="C71" s="327">
        <f ca="1">ROUND(C68/F71,0)</f>
        <v>-129</v>
      </c>
      <c r="D71" s="919" t="s">
        <v>777</v>
      </c>
      <c r="E71" s="920" t="s">
        <v>778</v>
      </c>
      <c r="F71" s="330">
        <f ca="1">F43</f>
        <v>188.85</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50383</v>
      </c>
      <c r="D75" s="1292"/>
      <c r="E75" s="1292"/>
      <c r="F75" s="1292"/>
      <c r="K75" s="1309"/>
      <c r="L75" s="1292"/>
      <c r="O75" s="1325" t="s">
        <v>409</v>
      </c>
      <c r="P75" s="1326" t="s">
        <v>838</v>
      </c>
      <c r="Q75" s="1327">
        <f ca="1">Q65+Q66</f>
        <v>1552925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0.68100000000000005</v>
      </c>
    </row>
    <row r="80" spans="1:18">
      <c r="B80" s="331" t="s">
        <v>800</v>
      </c>
      <c r="C80" s="266">
        <f ca="1">ROUND(C75/C39,3)</f>
        <v>0.31900000000000001</v>
      </c>
    </row>
    <row r="81" spans="2:3">
      <c r="B81" s="262" t="s">
        <v>801</v>
      </c>
      <c r="C81" s="230"/>
    </row>
    <row r="82" spans="2:3">
      <c r="B82" s="265" t="s">
        <v>802</v>
      </c>
      <c r="C82" s="267">
        <f ca="1">1-C83</f>
        <v>0.53699999999999992</v>
      </c>
    </row>
    <row r="83" spans="2:3">
      <c r="B83" s="265" t="s">
        <v>803</v>
      </c>
      <c r="C83" s="266">
        <f ca="1">ROUND(C13/C40,3)</f>
        <v>0.46300000000000002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DF161-E33C-4550-8561-FAEF80E38771}">
  <dimension ref="A1"/>
  <sheetViews>
    <sheetView workbookViewId="0">
      <selection activeCell="F106" sqref="F106"/>
    </sheetView>
  </sheetViews>
  <sheetFormatPr defaultColWidth="9" defaultRowHeight="13.5"/>
  <cols>
    <col min="1" max="16384" width="9" style="3173"/>
  </cols>
  <sheetData/>
  <phoneticPr fontId="134" type="noConversion"/>
  <pageMargins left="0.7" right="0.7" top="0.75" bottom="0.75" header="0.3" footer="0.3"/>
  <pageSetup paperSize="9"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3347</v>
      </c>
      <c r="E2" s="3140"/>
      <c r="F2" s="2598"/>
      <c r="G2" s="2599"/>
      <c r="H2" s="2600"/>
      <c r="I2" s="2601"/>
      <c r="J2" s="3433" t="s">
        <v>2308</v>
      </c>
      <c r="K2" s="3434"/>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35" t="s">
        <v>2318</v>
      </c>
      <c r="K3" s="3436"/>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35" t="s">
        <v>2320</v>
      </c>
      <c r="K4" s="3436"/>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37" t="s">
        <v>2324</v>
      </c>
      <c r="B6" s="3438"/>
      <c r="C6" s="3439"/>
      <c r="D6" s="2622"/>
      <c r="E6" s="2623"/>
      <c r="F6" s="2624"/>
      <c r="G6" s="2625"/>
      <c r="H6" s="2600"/>
      <c r="I6" s="2601"/>
      <c r="J6" s="3440">
        <v>1</v>
      </c>
      <c r="K6" s="3441"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40"/>
      <c r="K7" s="3442"/>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44" t="s">
        <v>2338</v>
      </c>
      <c r="C8" s="3445"/>
      <c r="D8" s="2641" t="s">
        <v>2339</v>
      </c>
      <c r="E8" s="2642" t="s">
        <v>2340</v>
      </c>
      <c r="F8" s="2643" t="s">
        <v>2341</v>
      </c>
      <c r="G8" s="2644"/>
      <c r="H8" s="2600"/>
      <c r="I8" s="2601"/>
      <c r="J8" s="3440"/>
      <c r="K8" s="3442"/>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44" t="s">
        <v>2344</v>
      </c>
      <c r="C9" s="3445"/>
      <c r="D9" s="2641">
        <f>ROUND(D6*E9,0)</f>
        <v>0</v>
      </c>
      <c r="E9" s="2645"/>
      <c r="F9" s="2646" t="s">
        <v>2345</v>
      </c>
      <c r="G9" s="2625"/>
      <c r="H9" s="2600"/>
      <c r="I9" s="2601"/>
      <c r="J9" s="3440"/>
      <c r="K9" s="3442"/>
      <c r="L9" s="2635" t="s">
        <v>2346</v>
      </c>
      <c r="M9" s="2636"/>
      <c r="N9" s="2612"/>
      <c r="O9" s="2637"/>
      <c r="P9" s="2637"/>
      <c r="Q9" s="2638">
        <v>365</v>
      </c>
      <c r="R9" s="2639">
        <f t="shared" si="0"/>
        <v>0</v>
      </c>
      <c r="S9" s="2593"/>
      <c r="T9" s="2593"/>
      <c r="U9" s="2593"/>
      <c r="V9" s="2601"/>
    </row>
    <row r="10" spans="1:22" s="2605" customFormat="1" ht="13.15" customHeight="1">
      <c r="A10" s="2640">
        <v>2</v>
      </c>
      <c r="B10" s="3444" t="s">
        <v>2347</v>
      </c>
      <c r="C10" s="3445"/>
      <c r="D10" s="2641">
        <f>ROUND(D6*E10,0)</f>
        <v>0</v>
      </c>
      <c r="E10" s="2645"/>
      <c r="F10" s="2646" t="s">
        <v>2348</v>
      </c>
      <c r="G10" s="2625"/>
      <c r="H10" s="2600"/>
      <c r="I10" s="2601"/>
      <c r="J10" s="3440"/>
      <c r="K10" s="3442"/>
      <c r="L10" s="2635" t="s">
        <v>2349</v>
      </c>
      <c r="M10" s="2636"/>
      <c r="N10" s="2612"/>
      <c r="O10" s="2637"/>
      <c r="P10" s="2637"/>
      <c r="Q10" s="2638">
        <v>365</v>
      </c>
      <c r="R10" s="2639">
        <f t="shared" si="0"/>
        <v>0</v>
      </c>
      <c r="S10" s="2593"/>
      <c r="T10" s="2593"/>
      <c r="U10" s="2593"/>
      <c r="V10" s="2601"/>
    </row>
    <row r="11" spans="1:22" s="2605" customFormat="1" ht="13.15" customHeight="1">
      <c r="A11" s="2640">
        <v>3</v>
      </c>
      <c r="B11" s="3444" t="s">
        <v>2350</v>
      </c>
      <c r="C11" s="3445"/>
      <c r="D11" s="2641">
        <f>D12+D14+D15+D16</f>
        <v>0</v>
      </c>
      <c r="E11" s="2647" t="e">
        <f>D11/D6</f>
        <v>#DIV/0!</v>
      </c>
      <c r="F11" s="2643"/>
      <c r="G11" s="2644"/>
      <c r="H11" s="2600"/>
      <c r="I11" s="2601"/>
      <c r="J11" s="3440"/>
      <c r="K11" s="3442"/>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46" t="s">
        <v>2353</v>
      </c>
      <c r="C12" s="3447"/>
      <c r="D12" s="2649">
        <f>ROUND(D13*1.2%*(1-30%),0)</f>
        <v>0</v>
      </c>
      <c r="E12" s="2650">
        <v>1.2E-2</v>
      </c>
      <c r="F12" s="2643" t="s">
        <v>2354</v>
      </c>
      <c r="G12" s="2644"/>
      <c r="H12" s="2600"/>
      <c r="I12" s="2601"/>
      <c r="J12" s="3440"/>
      <c r="K12" s="3442"/>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40"/>
      <c r="K13" s="3442"/>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46" t="s">
        <v>2359</v>
      </c>
      <c r="C14" s="3447"/>
      <c r="D14" s="2649">
        <f>ROUND(E14*B5/10000,0)</f>
        <v>0</v>
      </c>
      <c r="E14" s="2638"/>
      <c r="F14" s="2643" t="s">
        <v>2360</v>
      </c>
      <c r="G14" s="2644"/>
      <c r="H14" s="2600"/>
      <c r="I14" s="2601"/>
      <c r="J14" s="3440"/>
      <c r="K14" s="3443"/>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46" t="s">
        <v>2363</v>
      </c>
      <c r="C15" s="3447"/>
      <c r="D15" s="2649">
        <f>ROUND(D6*E15,0)</f>
        <v>0</v>
      </c>
      <c r="E15" s="2650">
        <v>5.5E-2</v>
      </c>
      <c r="F15" s="2643" t="s">
        <v>2364</v>
      </c>
      <c r="G15" s="2625"/>
      <c r="H15" s="2600"/>
      <c r="I15" s="2601"/>
      <c r="J15" s="3440">
        <v>2</v>
      </c>
      <c r="K15" s="3441"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46" t="s">
        <v>2372</v>
      </c>
      <c r="C16" s="3447"/>
      <c r="D16" s="2660">
        <f>D6*E16</f>
        <v>0</v>
      </c>
      <c r="E16" s="2661"/>
      <c r="F16" s="2646" t="s">
        <v>2373</v>
      </c>
      <c r="G16" s="2625"/>
      <c r="H16" s="2600"/>
      <c r="I16" s="2601"/>
      <c r="J16" s="3440"/>
      <c r="K16" s="3442"/>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48" t="s">
        <v>2375</v>
      </c>
      <c r="C17" s="3449"/>
      <c r="D17" s="2663">
        <f>ROUND(D6*E17,0)</f>
        <v>0</v>
      </c>
      <c r="E17" s="2664"/>
      <c r="F17" s="2665" t="s">
        <v>2376</v>
      </c>
      <c r="G17" s="2625"/>
      <c r="H17" s="2600"/>
      <c r="I17" s="2601"/>
      <c r="J17" s="3440"/>
      <c r="K17" s="3442"/>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40"/>
      <c r="K18" s="3442"/>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40"/>
      <c r="K19" s="3443"/>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40">
        <v>3</v>
      </c>
      <c r="K20" s="3441"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40"/>
      <c r="K21" s="3442"/>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40"/>
      <c r="K22" s="3442"/>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40"/>
      <c r="K23" s="3442"/>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40"/>
      <c r="K24" s="3443"/>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50">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5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33" t="s">
        <v>2308</v>
      </c>
      <c r="K32" s="3434"/>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35" t="s">
        <v>2318</v>
      </c>
      <c r="K33" s="3436"/>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35" t="s">
        <v>2320</v>
      </c>
      <c r="K34" s="343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40">
        <v>1</v>
      </c>
      <c r="K36" s="3441"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40"/>
      <c r="K37" s="3442"/>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40"/>
      <c r="K38" s="3442"/>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40"/>
      <c r="K39" s="3442"/>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40"/>
      <c r="K40" s="3443"/>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50">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5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171.12960000000001</v>
      </c>
      <c r="C2" s="1729" t="s">
        <v>1651</v>
      </c>
      <c r="D2" s="1730" t="s">
        <v>1652</v>
      </c>
      <c r="E2" s="2393">
        <f>SUM(E6:E13)</f>
        <v>188.85</v>
      </c>
      <c r="F2" s="2480"/>
      <c r="G2" s="459"/>
      <c r="H2" s="459"/>
      <c r="I2" s="459"/>
      <c r="J2" s="459"/>
      <c r="K2" s="459"/>
      <c r="L2" s="459"/>
      <c r="M2" s="459"/>
      <c r="N2" s="459"/>
      <c r="O2" s="459"/>
      <c r="P2" s="459"/>
      <c r="Q2" s="459"/>
      <c r="R2" s="459"/>
      <c r="S2" s="459"/>
    </row>
    <row r="3" spans="1:22" ht="15.75">
      <c r="A3" s="1728" t="s">
        <v>686</v>
      </c>
      <c r="B3" s="2387">
        <f ca="1">ROUND(B2*10000/E2,0)</f>
        <v>9062</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52" t="s">
        <v>1654</v>
      </c>
      <c r="C5" s="3453"/>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171.12960000000001</v>
      </c>
      <c r="C6" s="1729" t="s">
        <v>1651</v>
      </c>
      <c r="D6" s="2480"/>
      <c r="E6" s="2392">
        <f>IF(OR(A6=0,F6="否"),0,'数据-取费表'!K6+'数据-取费表'!S6)</f>
        <v>188.85</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估价对象为北京市房地产，为所有。根据《国有土地使用证》[]，估价对象（分摊）出让国有建设用地使用权面积为0平方米，建筑面积为188.85平方米。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估价对象为北京市房地产,属开发建设的，该项目尚在开发建设中。根据《国有土地使用证》[]，估价对象（分摊）出让国有建设用地使用权面积为0平方米，规划建筑面积为188.85平方米。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2025年9月17日（评估专业人员实地查勘之日）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188.85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3" t="s">
        <v>1667</v>
      </c>
      <c r="D4" s="3384"/>
      <c r="E4" s="3385" t="s">
        <v>1668</v>
      </c>
      <c r="F4" s="3386"/>
      <c r="G4" s="3383" t="s">
        <v>1669</v>
      </c>
      <c r="H4" s="3384"/>
      <c r="I4" s="3383" t="s">
        <v>1670</v>
      </c>
      <c r="J4" s="3384"/>
      <c r="K4" s="1744" t="s">
        <v>1671</v>
      </c>
      <c r="L4" s="2487"/>
      <c r="M4" s="2488"/>
      <c r="N4" s="2488"/>
      <c r="O4" s="2488"/>
      <c r="P4" s="3387" t="s">
        <v>1672</v>
      </c>
      <c r="Q4" s="3388"/>
      <c r="R4" s="3369" t="s">
        <v>1668</v>
      </c>
      <c r="S4" s="3370"/>
      <c r="T4" s="3369" t="s">
        <v>1669</v>
      </c>
      <c r="U4" s="3370"/>
      <c r="V4" s="3366" t="s">
        <v>1670</v>
      </c>
      <c r="W4" s="3366"/>
      <c r="X4" s="1265"/>
      <c r="Y4" s="3369" t="s">
        <v>1672</v>
      </c>
      <c r="Z4" s="3370"/>
      <c r="AA4" s="3363" t="s">
        <v>1668</v>
      </c>
      <c r="AB4" s="3363" t="s">
        <v>1669</v>
      </c>
      <c r="AC4" s="3363" t="s">
        <v>1670</v>
      </c>
    </row>
    <row r="5" spans="1:29" ht="15">
      <c r="A5" s="348"/>
      <c r="B5" s="349"/>
      <c r="C5" s="3375" t="s">
        <v>1673</v>
      </c>
      <c r="D5" s="3376"/>
      <c r="E5" s="3454" t="s">
        <v>1674</v>
      </c>
      <c r="F5" s="3374"/>
      <c r="G5" s="3375" t="s">
        <v>1675</v>
      </c>
      <c r="H5" s="3376"/>
      <c r="I5" s="3375" t="s">
        <v>1676</v>
      </c>
      <c r="J5" s="3376"/>
      <c r="K5" s="1745"/>
      <c r="L5" s="2487"/>
      <c r="M5" s="2488"/>
      <c r="N5" s="2488"/>
      <c r="O5" s="2488"/>
      <c r="P5" s="3389"/>
      <c r="Q5" s="3390"/>
      <c r="R5" s="3371"/>
      <c r="S5" s="3372"/>
      <c r="T5" s="3371"/>
      <c r="U5" s="3372"/>
      <c r="V5" s="3366"/>
      <c r="W5" s="3366"/>
      <c r="X5" s="1265"/>
      <c r="Y5" s="3371"/>
      <c r="Z5" s="3372"/>
      <c r="AA5" s="3364"/>
      <c r="AB5" s="3364"/>
      <c r="AC5" s="3364"/>
    </row>
    <row r="6" spans="1:29" ht="15.75" thickBot="1">
      <c r="A6" s="350"/>
      <c r="B6" s="351"/>
      <c r="C6" s="3377" t="s">
        <v>1677</v>
      </c>
      <c r="D6" s="3378"/>
      <c r="E6" s="3380" t="s">
        <v>1677</v>
      </c>
      <c r="F6" s="3381"/>
      <c r="G6" s="3377" t="s">
        <v>1677</v>
      </c>
      <c r="H6" s="3378"/>
      <c r="I6" s="3377" t="s">
        <v>1677</v>
      </c>
      <c r="J6" s="3378"/>
      <c r="K6" s="1745" t="s">
        <v>1678</v>
      </c>
      <c r="L6" s="2487"/>
      <c r="M6" s="2488"/>
      <c r="N6" s="2488"/>
      <c r="O6" s="2488"/>
      <c r="P6" s="3391"/>
      <c r="Q6" s="3392"/>
      <c r="R6" s="3371"/>
      <c r="S6" s="3372"/>
      <c r="T6" s="3393"/>
      <c r="U6" s="3394"/>
      <c r="V6" s="3366"/>
      <c r="W6" s="3366"/>
      <c r="X6" s="1265"/>
      <c r="Y6" s="3393"/>
      <c r="Z6" s="3394"/>
      <c r="AA6" s="3365"/>
      <c r="AB6" s="3365"/>
      <c r="AC6" s="3365"/>
    </row>
    <row r="7" spans="1:29" s="102" customFormat="1" ht="15.75" thickBot="1">
      <c r="A7" s="352" t="s">
        <v>1679</v>
      </c>
      <c r="B7" s="353"/>
      <c r="C7" s="354">
        <f>'数据-取费表'!B2</f>
        <v>45917</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67" t="s">
        <v>1680</v>
      </c>
      <c r="Q7" s="3395"/>
      <c r="R7" s="664" t="s">
        <v>20</v>
      </c>
      <c r="S7" s="665">
        <f t="shared" ref="S7:S15" si="0">F7</f>
        <v>0</v>
      </c>
      <c r="T7" s="664" t="s">
        <v>20</v>
      </c>
      <c r="U7" s="665">
        <f t="shared" ref="U7:U15" si="1">H7</f>
        <v>0</v>
      </c>
      <c r="V7" s="664" t="s">
        <v>20</v>
      </c>
      <c r="W7" s="665">
        <f t="shared" ref="W7:W15" si="2">J7</f>
        <v>0</v>
      </c>
      <c r="X7" s="666"/>
      <c r="Y7" s="3367" t="s">
        <v>1680</v>
      </c>
      <c r="Z7" s="336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67" t="s">
        <v>1683</v>
      </c>
      <c r="Q8" s="3368"/>
      <c r="R8" s="664" t="s">
        <v>20</v>
      </c>
      <c r="S8" s="665">
        <f t="shared" si="0"/>
        <v>100</v>
      </c>
      <c r="T8" s="664" t="s">
        <v>20</v>
      </c>
      <c r="U8" s="665">
        <f t="shared" si="1"/>
        <v>100</v>
      </c>
      <c r="V8" s="664" t="s">
        <v>20</v>
      </c>
      <c r="W8" s="665">
        <f t="shared" si="2"/>
        <v>100</v>
      </c>
      <c r="X8" s="666"/>
      <c r="Y8" s="3367" t="s">
        <v>1683</v>
      </c>
      <c r="Z8" s="336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2"/>
      <c r="Q11" s="530" t="str">
        <f t="shared" si="6"/>
        <v>容积率</v>
      </c>
      <c r="R11" s="664" t="s">
        <v>18</v>
      </c>
      <c r="S11" s="665" t="e">
        <f t="shared" si="0"/>
        <v>#N/A</v>
      </c>
      <c r="T11" s="664" t="s">
        <v>18</v>
      </c>
      <c r="U11" s="665" t="e">
        <f t="shared" si="1"/>
        <v>#N/A</v>
      </c>
      <c r="V11" s="664" t="s">
        <v>18</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2"/>
      <c r="Q12" s="530">
        <f t="shared" si="6"/>
        <v>111</v>
      </c>
      <c r="R12" s="664" t="s">
        <v>18</v>
      </c>
      <c r="S12" s="665">
        <f t="shared" si="0"/>
        <v>100</v>
      </c>
      <c r="T12" s="664" t="s">
        <v>18</v>
      </c>
      <c r="U12" s="665">
        <f t="shared" si="1"/>
        <v>100</v>
      </c>
      <c r="V12" s="664" t="s">
        <v>18</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2"/>
      <c r="Q13" s="530">
        <f t="shared" si="6"/>
        <v>111</v>
      </c>
      <c r="R13" s="664" t="s">
        <v>18</v>
      </c>
      <c r="S13" s="665">
        <f t="shared" si="0"/>
        <v>100</v>
      </c>
      <c r="T13" s="664" t="s">
        <v>18</v>
      </c>
      <c r="U13" s="665">
        <f t="shared" si="1"/>
        <v>100</v>
      </c>
      <c r="V13" s="664" t="s">
        <v>18</v>
      </c>
      <c r="W13" s="665">
        <f t="shared" si="2"/>
        <v>100</v>
      </c>
      <c r="X13" s="666"/>
      <c r="Y13" s="333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2"/>
      <c r="Q14" s="530">
        <f t="shared" si="6"/>
        <v>111</v>
      </c>
      <c r="R14" s="664" t="s">
        <v>18</v>
      </c>
      <c r="S14" s="665">
        <f t="shared" si="0"/>
        <v>100</v>
      </c>
      <c r="T14" s="664" t="s">
        <v>18</v>
      </c>
      <c r="U14" s="665">
        <f t="shared" si="1"/>
        <v>100</v>
      </c>
      <c r="V14" s="664" t="s">
        <v>18</v>
      </c>
      <c r="W14" s="665">
        <f t="shared" si="2"/>
        <v>100</v>
      </c>
      <c r="X14" s="666"/>
      <c r="Y14" s="3336"/>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96" t="s">
        <v>1691</v>
      </c>
      <c r="Q15" s="1263" t="str">
        <f t="shared" si="6"/>
        <v>居住社区成熟度</v>
      </c>
      <c r="R15" s="667" t="s">
        <v>18</v>
      </c>
      <c r="S15" s="668">
        <f t="shared" si="0"/>
        <v>100</v>
      </c>
      <c r="T15" s="667" t="s">
        <v>18</v>
      </c>
      <c r="U15" s="668">
        <f t="shared" si="1"/>
        <v>100</v>
      </c>
      <c r="V15" s="667" t="s">
        <v>18</v>
      </c>
      <c r="W15" s="668">
        <f t="shared" si="2"/>
        <v>100</v>
      </c>
      <c r="X15" s="1265"/>
      <c r="Y15" s="339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97"/>
      <c r="Q16" s="1263"/>
      <c r="R16" s="667"/>
      <c r="S16" s="668"/>
      <c r="T16" s="667"/>
      <c r="U16" s="668"/>
      <c r="V16" s="667"/>
      <c r="W16" s="668"/>
      <c r="X16" s="1265"/>
      <c r="Y16" s="3399"/>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97"/>
      <c r="Q17" s="1263" t="str">
        <f>B17</f>
        <v>交通便捷度</v>
      </c>
      <c r="R17" s="667" t="s">
        <v>18</v>
      </c>
      <c r="S17" s="668">
        <f>F17</f>
        <v>100</v>
      </c>
      <c r="T17" s="667" t="s">
        <v>18</v>
      </c>
      <c r="U17" s="668">
        <f>H17</f>
        <v>100</v>
      </c>
      <c r="V17" s="667" t="s">
        <v>18</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97"/>
      <c r="Q18" s="1263"/>
      <c r="R18" s="667"/>
      <c r="S18" s="668"/>
      <c r="T18" s="667"/>
      <c r="U18" s="668"/>
      <c r="V18" s="667"/>
      <c r="W18" s="668"/>
      <c r="X18" s="1265"/>
      <c r="Y18" s="3399"/>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97"/>
      <c r="Q19" s="1263" t="str">
        <f>B19</f>
        <v>公共配套设施</v>
      </c>
      <c r="R19" s="667" t="s">
        <v>18</v>
      </c>
      <c r="S19" s="668">
        <f>F19</f>
        <v>100</v>
      </c>
      <c r="T19" s="667" t="s">
        <v>18</v>
      </c>
      <c r="U19" s="668">
        <f>H19</f>
        <v>100</v>
      </c>
      <c r="V19" s="667" t="s">
        <v>18</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97"/>
      <c r="Q20" s="1263"/>
      <c r="R20" s="667"/>
      <c r="S20" s="668"/>
      <c r="T20" s="667"/>
      <c r="U20" s="668"/>
      <c r="V20" s="667"/>
      <c r="W20" s="668"/>
      <c r="X20" s="1265"/>
      <c r="Y20" s="3399"/>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97"/>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97"/>
      <c r="Q22" s="1263"/>
      <c r="R22" s="667"/>
      <c r="S22" s="668"/>
      <c r="T22" s="667"/>
      <c r="U22" s="668"/>
      <c r="V22" s="667"/>
      <c r="W22" s="668"/>
      <c r="X22" s="1265"/>
      <c r="Y22" s="3399"/>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97"/>
      <c r="Q23" s="1263" t="str">
        <f>B23</f>
        <v>自然及人文环境</v>
      </c>
      <c r="R23" s="667" t="s">
        <v>18</v>
      </c>
      <c r="S23" s="668">
        <f>F23</f>
        <v>100</v>
      </c>
      <c r="T23" s="667" t="s">
        <v>18</v>
      </c>
      <c r="U23" s="668">
        <f>H23</f>
        <v>100</v>
      </c>
      <c r="V23" s="667" t="s">
        <v>18</v>
      </c>
      <c r="W23" s="668">
        <f>J23</f>
        <v>100</v>
      </c>
      <c r="X23" s="1265"/>
      <c r="Y23" s="339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97"/>
      <c r="Q24" s="1263"/>
      <c r="R24" s="667"/>
      <c r="S24" s="668"/>
      <c r="T24" s="667"/>
      <c r="U24" s="668"/>
      <c r="V24" s="667"/>
      <c r="W24" s="668"/>
      <c r="X24" s="1265"/>
      <c r="Y24" s="339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9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97"/>
      <c r="Q26" s="1263" t="str">
        <f t="shared" si="11"/>
        <v>朝向</v>
      </c>
      <c r="R26" s="667" t="s">
        <v>18</v>
      </c>
      <c r="S26" s="668">
        <f t="shared" si="12"/>
        <v>100</v>
      </c>
      <c r="T26" s="667" t="s">
        <v>18</v>
      </c>
      <c r="U26" s="668">
        <f t="shared" si="13"/>
        <v>100</v>
      </c>
      <c r="V26" s="667" t="s">
        <v>18</v>
      </c>
      <c r="W26" s="668">
        <f t="shared" si="14"/>
        <v>100</v>
      </c>
      <c r="X26" s="1265"/>
      <c r="Y26" s="339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97"/>
      <c r="Q27" s="530">
        <f t="shared" si="11"/>
        <v>111</v>
      </c>
      <c r="R27" s="664" t="s">
        <v>18</v>
      </c>
      <c r="S27" s="665">
        <f t="shared" si="12"/>
        <v>100</v>
      </c>
      <c r="T27" s="664" t="s">
        <v>18</v>
      </c>
      <c r="U27" s="665">
        <f t="shared" si="13"/>
        <v>100</v>
      </c>
      <c r="V27" s="664" t="s">
        <v>18</v>
      </c>
      <c r="W27" s="665">
        <f t="shared" si="14"/>
        <v>100</v>
      </c>
      <c r="X27" s="666"/>
      <c r="Y27" s="339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97"/>
      <c r="Q28" s="1263">
        <f t="shared" si="11"/>
        <v>111</v>
      </c>
      <c r="R28" s="667" t="s">
        <v>18</v>
      </c>
      <c r="S28" s="668">
        <f t="shared" si="12"/>
        <v>100</v>
      </c>
      <c r="T28" s="667" t="s">
        <v>18</v>
      </c>
      <c r="U28" s="668">
        <f t="shared" si="13"/>
        <v>100</v>
      </c>
      <c r="V28" s="667" t="s">
        <v>18</v>
      </c>
      <c r="W28" s="668">
        <f t="shared" si="14"/>
        <v>100</v>
      </c>
      <c r="X28" s="1265"/>
      <c r="Y28" s="339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97"/>
      <c r="Q29" s="1263">
        <f t="shared" si="11"/>
        <v>111</v>
      </c>
      <c r="R29" s="667" t="s">
        <v>18</v>
      </c>
      <c r="S29" s="668">
        <f t="shared" si="12"/>
        <v>100</v>
      </c>
      <c r="T29" s="667" t="s">
        <v>18</v>
      </c>
      <c r="U29" s="668">
        <f t="shared" si="13"/>
        <v>100</v>
      </c>
      <c r="V29" s="667" t="s">
        <v>18</v>
      </c>
      <c r="W29" s="668">
        <f t="shared" si="14"/>
        <v>100</v>
      </c>
      <c r="X29" s="1265"/>
      <c r="Y29" s="339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97"/>
      <c r="Q30" s="1263">
        <f t="shared" si="11"/>
        <v>111</v>
      </c>
      <c r="R30" s="667" t="s">
        <v>18</v>
      </c>
      <c r="S30" s="668">
        <f t="shared" si="12"/>
        <v>100</v>
      </c>
      <c r="T30" s="667" t="s">
        <v>18</v>
      </c>
      <c r="U30" s="668">
        <f t="shared" si="13"/>
        <v>100</v>
      </c>
      <c r="V30" s="667" t="s">
        <v>18</v>
      </c>
      <c r="W30" s="668">
        <f t="shared" si="14"/>
        <v>100</v>
      </c>
      <c r="X30" s="1265"/>
      <c r="Y30" s="339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97"/>
      <c r="Q31" s="1263">
        <f t="shared" si="11"/>
        <v>111</v>
      </c>
      <c r="R31" s="667" t="s">
        <v>18</v>
      </c>
      <c r="S31" s="668">
        <f t="shared" si="12"/>
        <v>100</v>
      </c>
      <c r="T31" s="667" t="s">
        <v>18</v>
      </c>
      <c r="U31" s="668">
        <f t="shared" si="13"/>
        <v>100</v>
      </c>
      <c r="V31" s="667" t="s">
        <v>18</v>
      </c>
      <c r="W31" s="668">
        <f t="shared" si="14"/>
        <v>100</v>
      </c>
      <c r="X31" s="1265"/>
      <c r="Y31" s="339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0" t="s">
        <v>1696</v>
      </c>
      <c r="Q32" s="1263" t="str">
        <f t="shared" si="11"/>
        <v>建筑类型</v>
      </c>
      <c r="R32" s="667" t="s">
        <v>18</v>
      </c>
      <c r="S32" s="668">
        <f t="shared" si="12"/>
        <v>100</v>
      </c>
      <c r="T32" s="667" t="s">
        <v>18</v>
      </c>
      <c r="U32" s="668">
        <f t="shared" si="13"/>
        <v>100</v>
      </c>
      <c r="V32" s="667" t="s">
        <v>18</v>
      </c>
      <c r="W32" s="668">
        <f t="shared" si="14"/>
        <v>100</v>
      </c>
      <c r="X32" s="1265"/>
      <c r="Y32" s="340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1"/>
      <c r="Q33" s="531" t="str">
        <f t="shared" si="11"/>
        <v>项目建筑规模</v>
      </c>
      <c r="R33" s="669" t="s">
        <v>18</v>
      </c>
      <c r="S33" s="670" t="e">
        <f t="shared" si="12"/>
        <v>#N/A</v>
      </c>
      <c r="T33" s="669" t="s">
        <v>18</v>
      </c>
      <c r="U33" s="670" t="e">
        <f t="shared" si="13"/>
        <v>#N/A</v>
      </c>
      <c r="V33" s="669" t="s">
        <v>18</v>
      </c>
      <c r="W33" s="670" t="e">
        <f t="shared" si="14"/>
        <v>#N/A</v>
      </c>
      <c r="X33" s="671"/>
      <c r="Y33" s="3403"/>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1"/>
      <c r="Q34" s="1263" t="str">
        <f t="shared" si="11"/>
        <v>建筑结构</v>
      </c>
      <c r="R34" s="667" t="s">
        <v>18</v>
      </c>
      <c r="S34" s="668">
        <f t="shared" si="12"/>
        <v>100</v>
      </c>
      <c r="T34" s="667" t="s">
        <v>18</v>
      </c>
      <c r="U34" s="668">
        <f t="shared" si="13"/>
        <v>100</v>
      </c>
      <c r="V34" s="667" t="s">
        <v>18</v>
      </c>
      <c r="W34" s="668">
        <f t="shared" si="14"/>
        <v>100</v>
      </c>
      <c r="X34" s="1265"/>
      <c r="Y34" s="340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1"/>
      <c r="Q35" s="1263" t="str">
        <f t="shared" si="11"/>
        <v>建筑品质</v>
      </c>
      <c r="R35" s="667" t="s">
        <v>18</v>
      </c>
      <c r="S35" s="668">
        <f t="shared" si="12"/>
        <v>100</v>
      </c>
      <c r="T35" s="667" t="s">
        <v>18</v>
      </c>
      <c r="U35" s="668">
        <f t="shared" si="13"/>
        <v>100</v>
      </c>
      <c r="V35" s="667" t="s">
        <v>18</v>
      </c>
      <c r="W35" s="668">
        <f t="shared" si="14"/>
        <v>100</v>
      </c>
      <c r="X35" s="1265"/>
      <c r="Y35" s="340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1"/>
      <c r="Q36" s="1263" t="str">
        <f t="shared" si="11"/>
        <v>公共部分装修</v>
      </c>
      <c r="R36" s="667" t="s">
        <v>18</v>
      </c>
      <c r="S36" s="668">
        <f t="shared" si="12"/>
        <v>100</v>
      </c>
      <c r="T36" s="667" t="s">
        <v>18</v>
      </c>
      <c r="U36" s="668">
        <f t="shared" si="13"/>
        <v>100</v>
      </c>
      <c r="V36" s="667" t="s">
        <v>18</v>
      </c>
      <c r="W36" s="668">
        <f t="shared" si="14"/>
        <v>100</v>
      </c>
      <c r="X36" s="1265"/>
      <c r="Y36" s="340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1"/>
      <c r="Q37" s="530" t="str">
        <f t="shared" si="11"/>
        <v>成新度</v>
      </c>
      <c r="R37" s="664" t="s">
        <v>18</v>
      </c>
      <c r="S37" s="665" t="e">
        <f t="shared" si="12"/>
        <v>#N/A</v>
      </c>
      <c r="T37" s="664" t="s">
        <v>18</v>
      </c>
      <c r="U37" s="665" t="e">
        <f t="shared" si="13"/>
        <v>#N/A</v>
      </c>
      <c r="V37" s="664" t="s">
        <v>18</v>
      </c>
      <c r="W37" s="665" t="e">
        <f t="shared" si="14"/>
        <v>#N/A</v>
      </c>
      <c r="X37" s="666"/>
      <c r="Y37" s="340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1" t="s">
        <v>1696</v>
      </c>
      <c r="Q38" s="1263" t="str">
        <f t="shared" si="11"/>
        <v>物业管理</v>
      </c>
      <c r="R38" s="667" t="s">
        <v>18</v>
      </c>
      <c r="S38" s="668">
        <f t="shared" si="12"/>
        <v>100</v>
      </c>
      <c r="T38" s="667" t="s">
        <v>18</v>
      </c>
      <c r="U38" s="668">
        <f t="shared" si="13"/>
        <v>100</v>
      </c>
      <c r="V38" s="667" t="s">
        <v>18</v>
      </c>
      <c r="W38" s="668">
        <f t="shared" si="14"/>
        <v>100</v>
      </c>
      <c r="X38" s="1265"/>
      <c r="Y38" s="340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1"/>
      <c r="Q39" s="1263" t="str">
        <f t="shared" si="11"/>
        <v>市政基础设施</v>
      </c>
      <c r="R39" s="667" t="s">
        <v>18</v>
      </c>
      <c r="S39" s="668">
        <f t="shared" si="12"/>
        <v>100</v>
      </c>
      <c r="T39" s="667" t="s">
        <v>18</v>
      </c>
      <c r="U39" s="668">
        <f t="shared" si="13"/>
        <v>100</v>
      </c>
      <c r="V39" s="667" t="s">
        <v>18</v>
      </c>
      <c r="W39" s="668">
        <f t="shared" si="14"/>
        <v>100</v>
      </c>
      <c r="X39" s="1265"/>
      <c r="Y39" s="340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1"/>
      <c r="Q40" s="1263" t="str">
        <f t="shared" si="11"/>
        <v>房型</v>
      </c>
      <c r="R40" s="667" t="s">
        <v>18</v>
      </c>
      <c r="S40" s="668">
        <f t="shared" si="12"/>
        <v>100</v>
      </c>
      <c r="T40" s="667" t="s">
        <v>18</v>
      </c>
      <c r="U40" s="668">
        <f t="shared" si="13"/>
        <v>100</v>
      </c>
      <c r="V40" s="667" t="s">
        <v>18</v>
      </c>
      <c r="W40" s="668">
        <f t="shared" si="14"/>
        <v>100</v>
      </c>
      <c r="X40" s="1265"/>
      <c r="Y40" s="340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1"/>
      <c r="Q41" s="531" t="str">
        <f t="shared" si="11"/>
        <v>单套/主力户型建筑面积</v>
      </c>
      <c r="R41" s="669" t="s">
        <v>18</v>
      </c>
      <c r="S41" s="670">
        <f t="shared" si="12"/>
        <v>100</v>
      </c>
      <c r="T41" s="669" t="s">
        <v>18</v>
      </c>
      <c r="U41" s="670">
        <f t="shared" si="13"/>
        <v>100</v>
      </c>
      <c r="V41" s="669" t="s">
        <v>18</v>
      </c>
      <c r="W41" s="670">
        <f t="shared" si="14"/>
        <v>100</v>
      </c>
      <c r="X41" s="671"/>
      <c r="Y41" s="3403"/>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1"/>
      <c r="Q42" s="1263" t="str">
        <f t="shared" si="11"/>
        <v>内部装修</v>
      </c>
      <c r="R42" s="667" t="s">
        <v>18</v>
      </c>
      <c r="S42" s="668">
        <f t="shared" si="12"/>
        <v>100</v>
      </c>
      <c r="T42" s="667" t="s">
        <v>18</v>
      </c>
      <c r="U42" s="668">
        <f t="shared" si="13"/>
        <v>100</v>
      </c>
      <c r="V42" s="667" t="s">
        <v>18</v>
      </c>
      <c r="W42" s="668">
        <f t="shared" si="14"/>
        <v>100</v>
      </c>
      <c r="X42" s="1265"/>
      <c r="Y42" s="340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1"/>
      <c r="Q43" s="1263" t="str">
        <f t="shared" si="11"/>
        <v>内部装修维护情况</v>
      </c>
      <c r="R43" s="667" t="s">
        <v>18</v>
      </c>
      <c r="S43" s="668">
        <f t="shared" si="12"/>
        <v>100</v>
      </c>
      <c r="T43" s="667" t="s">
        <v>18</v>
      </c>
      <c r="U43" s="668">
        <f t="shared" si="13"/>
        <v>100</v>
      </c>
      <c r="V43" s="667" t="s">
        <v>18</v>
      </c>
      <c r="W43" s="668">
        <f t="shared" si="14"/>
        <v>100</v>
      </c>
      <c r="X43" s="1265"/>
      <c r="Y43" s="340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1"/>
      <c r="Q44" s="530">
        <f t="shared" si="11"/>
        <v>111</v>
      </c>
      <c r="R44" s="664" t="s">
        <v>18</v>
      </c>
      <c r="S44" s="665">
        <f t="shared" si="12"/>
        <v>100</v>
      </c>
      <c r="T44" s="664" t="s">
        <v>18</v>
      </c>
      <c r="U44" s="665">
        <f t="shared" si="13"/>
        <v>100</v>
      </c>
      <c r="V44" s="664" t="s">
        <v>18</v>
      </c>
      <c r="W44" s="665">
        <f t="shared" si="14"/>
        <v>100</v>
      </c>
      <c r="X44" s="666"/>
      <c r="Y44" s="340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1"/>
      <c r="Q45" s="1263">
        <f t="shared" si="11"/>
        <v>111</v>
      </c>
      <c r="R45" s="667" t="s">
        <v>18</v>
      </c>
      <c r="S45" s="668">
        <f t="shared" si="12"/>
        <v>100</v>
      </c>
      <c r="T45" s="667" t="s">
        <v>18</v>
      </c>
      <c r="U45" s="668">
        <f t="shared" si="13"/>
        <v>100</v>
      </c>
      <c r="V45" s="667" t="s">
        <v>18</v>
      </c>
      <c r="W45" s="668">
        <f t="shared" si="14"/>
        <v>100</v>
      </c>
      <c r="X45" s="1265"/>
      <c r="Y45" s="340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2"/>
      <c r="Q46" s="1263">
        <f t="shared" si="11"/>
        <v>111</v>
      </c>
      <c r="R46" s="667" t="s">
        <v>17</v>
      </c>
      <c r="S46" s="668">
        <f t="shared" si="12"/>
        <v>100</v>
      </c>
      <c r="T46" s="667" t="s">
        <v>17</v>
      </c>
      <c r="U46" s="668">
        <f t="shared" si="13"/>
        <v>100</v>
      </c>
      <c r="V46" s="667" t="s">
        <v>17</v>
      </c>
      <c r="W46" s="668">
        <f t="shared" si="14"/>
        <v>100</v>
      </c>
      <c r="X46" s="1265"/>
      <c r="Y46" s="340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5" t="str">
        <f>A47</f>
        <v>成交单价（元/平方米）</v>
      </c>
      <c r="Q47" s="3405"/>
      <c r="R47" s="3366">
        <f>E47</f>
        <v>0</v>
      </c>
      <c r="S47" s="3366"/>
      <c r="T47" s="3366">
        <f>G47</f>
        <v>0</v>
      </c>
      <c r="U47" s="3366"/>
      <c r="V47" s="3366">
        <f>I47</f>
        <v>0</v>
      </c>
      <c r="W47" s="336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05" t="str">
        <f>A48</f>
        <v>比较价值（元/平方米）</v>
      </c>
      <c r="Q48" s="3405"/>
      <c r="R48" s="3366" t="e">
        <f>IF(F1="售价",ROUND(PRODUCT(R47,AA7:AA46),0),ROUND(PRODUCT(R47,AA7:AA46),1))</f>
        <v>#DIV/0!</v>
      </c>
      <c r="S48" s="3366"/>
      <c r="T48" s="3366" t="e">
        <f>IF(F1="售价",ROUND(PRODUCT(T47,AB7:AB46),0),ROUND(PRODUCT(T47,AB7:AB46),1))</f>
        <v>#DIV/0!</v>
      </c>
      <c r="U48" s="3366"/>
      <c r="V48" s="3366" t="e">
        <f>IF(F1="售价",ROUND(PRODUCT(V47,AC7:AC46),0),ROUND(PRODUCT(V47,AC7:AC46),1))</f>
        <v>#DIV/0!</v>
      </c>
      <c r="W48" s="336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2025-9</v>
      </c>
      <c r="D58" s="1104">
        <f>EDATE(C58,-1)</f>
        <v>45870</v>
      </c>
      <c r="E58" s="1104">
        <f>EDATE(D58,-1)</f>
        <v>45839</v>
      </c>
      <c r="F58" s="1104">
        <f t="shared" ref="F58:O58" si="19">EDATE(E58,-1)</f>
        <v>45809</v>
      </c>
      <c r="G58" s="1104">
        <f t="shared" si="19"/>
        <v>45778</v>
      </c>
      <c r="H58" s="1104">
        <f t="shared" si="19"/>
        <v>45748</v>
      </c>
      <c r="I58" s="1104">
        <f t="shared" si="19"/>
        <v>45717</v>
      </c>
      <c r="J58" s="1104">
        <f t="shared" si="19"/>
        <v>45689</v>
      </c>
      <c r="K58" s="1104">
        <f t="shared" si="19"/>
        <v>45658</v>
      </c>
      <c r="L58" s="1104">
        <f t="shared" si="19"/>
        <v>45627</v>
      </c>
      <c r="M58" s="1104">
        <f t="shared" si="19"/>
        <v>45597</v>
      </c>
      <c r="N58" s="1104">
        <f t="shared" si="19"/>
        <v>45566</v>
      </c>
      <c r="O58" s="1104">
        <f t="shared" si="19"/>
        <v>45536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188.85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461" t="s">
        <v>1775</v>
      </c>
      <c r="Q4" s="3462"/>
      <c r="R4" s="3456" t="s">
        <v>1771</v>
      </c>
      <c r="S4" s="3457"/>
      <c r="T4" s="3456" t="s">
        <v>1772</v>
      </c>
      <c r="U4" s="3457"/>
      <c r="V4" s="3465" t="s">
        <v>1773</v>
      </c>
      <c r="W4" s="3465"/>
      <c r="X4" s="1809"/>
      <c r="Y4" s="3456" t="s">
        <v>1775</v>
      </c>
      <c r="Z4" s="3457"/>
      <c r="AA4" s="3455" t="s">
        <v>1771</v>
      </c>
      <c r="AB4" s="3455" t="s">
        <v>1772</v>
      </c>
      <c r="AC4" s="3458" t="s">
        <v>1773</v>
      </c>
    </row>
    <row r="5" spans="1:29" ht="15">
      <c r="A5" s="348"/>
      <c r="B5" s="349"/>
      <c r="C5" s="3375" t="s">
        <v>1673</v>
      </c>
      <c r="D5" s="3376"/>
      <c r="E5" s="3454" t="s">
        <v>1674</v>
      </c>
      <c r="F5" s="3374"/>
      <c r="G5" s="3375" t="s">
        <v>1675</v>
      </c>
      <c r="H5" s="3376"/>
      <c r="I5" s="3375" t="s">
        <v>1676</v>
      </c>
      <c r="J5" s="3376"/>
      <c r="K5" s="537"/>
      <c r="L5" s="2487"/>
      <c r="M5" s="2488"/>
      <c r="N5" s="2488"/>
      <c r="O5" s="2488"/>
      <c r="P5" s="3463"/>
      <c r="Q5" s="3390"/>
      <c r="R5" s="3371"/>
      <c r="S5" s="3372"/>
      <c r="T5" s="3371"/>
      <c r="U5" s="3372"/>
      <c r="V5" s="3366"/>
      <c r="W5" s="3366"/>
      <c r="X5" s="1265"/>
      <c r="Y5" s="3371"/>
      <c r="Z5" s="3372"/>
      <c r="AA5" s="3364"/>
      <c r="AB5" s="3364"/>
      <c r="AC5" s="3459"/>
    </row>
    <row r="6" spans="1:29" ht="15.75" thickBot="1">
      <c r="A6" s="350"/>
      <c r="B6" s="351"/>
      <c r="C6" s="3377" t="s">
        <v>1677</v>
      </c>
      <c r="D6" s="3378"/>
      <c r="E6" s="3380" t="s">
        <v>1677</v>
      </c>
      <c r="F6" s="3381"/>
      <c r="G6" s="3377" t="s">
        <v>1677</v>
      </c>
      <c r="H6" s="3378"/>
      <c r="I6" s="3377" t="s">
        <v>1677</v>
      </c>
      <c r="J6" s="3378"/>
      <c r="K6" s="537" t="s">
        <v>1678</v>
      </c>
      <c r="L6" s="2487"/>
      <c r="M6" s="2488"/>
      <c r="N6" s="2488"/>
      <c r="O6" s="2488"/>
      <c r="P6" s="3464"/>
      <c r="Q6" s="3392"/>
      <c r="R6" s="3371"/>
      <c r="S6" s="3372"/>
      <c r="T6" s="3393"/>
      <c r="U6" s="3394"/>
      <c r="V6" s="3366"/>
      <c r="W6" s="3366"/>
      <c r="X6" s="1265"/>
      <c r="Y6" s="3393"/>
      <c r="Z6" s="3394"/>
      <c r="AA6" s="3365"/>
      <c r="AB6" s="3365"/>
      <c r="AC6" s="3460"/>
    </row>
    <row r="7" spans="1:29" s="102" customFormat="1" ht="15.75" thickBot="1">
      <c r="A7" s="352" t="s">
        <v>1679</v>
      </c>
      <c r="B7" s="353"/>
      <c r="C7" s="354">
        <f>'数据-取费表'!B2</f>
        <v>45917</v>
      </c>
      <c r="D7" s="355">
        <v>100</v>
      </c>
      <c r="E7" s="356"/>
      <c r="F7" s="357">
        <f>SUMIF(59:59,YEAR(E7)&amp;"-"&amp;MONTH(E7),60:60)</f>
        <v>0</v>
      </c>
      <c r="G7" s="356"/>
      <c r="H7" s="355">
        <f>SUMIF(59:59,YEAR(G7)&amp;"-"&amp;MONTH(G7),60:60)</f>
        <v>0</v>
      </c>
      <c r="I7" s="356"/>
      <c r="J7" s="355">
        <f>SUMIF(59:59,YEAR(I7)&amp;"-"&amp;MONTH(I7),60:60)</f>
        <v>0</v>
      </c>
      <c r="K7" s="38"/>
      <c r="L7" s="2489"/>
      <c r="M7" s="2440"/>
      <c r="N7" s="2440"/>
      <c r="O7" s="2440"/>
      <c r="P7" s="3466" t="s">
        <v>1680</v>
      </c>
      <c r="Q7" s="3395"/>
      <c r="R7" s="664" t="s">
        <v>14</v>
      </c>
      <c r="S7" s="665">
        <f t="shared" ref="S7:S15" si="0">F7</f>
        <v>0</v>
      </c>
      <c r="T7" s="664" t="s">
        <v>14</v>
      </c>
      <c r="U7" s="665">
        <f t="shared" ref="U7:U15" si="1">H7</f>
        <v>0</v>
      </c>
      <c r="V7" s="664" t="s">
        <v>14</v>
      </c>
      <c r="W7" s="665">
        <f t="shared" ref="W7:W15" si="2">J7</f>
        <v>0</v>
      </c>
      <c r="X7" s="666"/>
      <c r="Y7" s="3367" t="s">
        <v>1680</v>
      </c>
      <c r="Z7" s="336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66" t="s">
        <v>1683</v>
      </c>
      <c r="Q8" s="3368"/>
      <c r="R8" s="664" t="s">
        <v>14</v>
      </c>
      <c r="S8" s="665">
        <f t="shared" si="0"/>
        <v>100</v>
      </c>
      <c r="T8" s="664" t="s">
        <v>14</v>
      </c>
      <c r="U8" s="665">
        <f t="shared" si="1"/>
        <v>100</v>
      </c>
      <c r="V8" s="664" t="s">
        <v>14</v>
      </c>
      <c r="W8" s="665">
        <f t="shared" si="2"/>
        <v>100</v>
      </c>
      <c r="X8" s="666"/>
      <c r="Y8" s="3367" t="s">
        <v>1683</v>
      </c>
      <c r="Z8" s="336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2"/>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2"/>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96" t="s">
        <v>1691</v>
      </c>
      <c r="Q15" s="1263" t="str">
        <f t="shared" si="6"/>
        <v>办公集聚程度</v>
      </c>
      <c r="R15" s="667" t="s">
        <v>14</v>
      </c>
      <c r="S15" s="668">
        <f t="shared" si="0"/>
        <v>100</v>
      </c>
      <c r="T15" s="667" t="s">
        <v>14</v>
      </c>
      <c r="U15" s="668">
        <f t="shared" si="1"/>
        <v>100</v>
      </c>
      <c r="V15" s="667" t="s">
        <v>14</v>
      </c>
      <c r="W15" s="668">
        <f t="shared" si="2"/>
        <v>100</v>
      </c>
      <c r="X15" s="1265"/>
      <c r="Y15" s="3398"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97"/>
      <c r="Q16" s="1263"/>
      <c r="R16" s="667"/>
      <c r="S16" s="668"/>
      <c r="T16" s="667"/>
      <c r="U16" s="668"/>
      <c r="V16" s="667"/>
      <c r="W16" s="668"/>
      <c r="X16" s="1265"/>
      <c r="Y16" s="3399"/>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97"/>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97"/>
      <c r="Q18" s="1263"/>
      <c r="R18" s="667"/>
      <c r="S18" s="668"/>
      <c r="T18" s="667"/>
      <c r="U18" s="668"/>
      <c r="V18" s="667"/>
      <c r="W18" s="668"/>
      <c r="X18" s="1265"/>
      <c r="Y18" s="3399"/>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97"/>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97"/>
      <c r="Q20" s="1263"/>
      <c r="R20" s="667"/>
      <c r="S20" s="668"/>
      <c r="T20" s="667"/>
      <c r="U20" s="668"/>
      <c r="V20" s="667"/>
      <c r="W20" s="668"/>
      <c r="X20" s="1265"/>
      <c r="Y20" s="3399"/>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97"/>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97"/>
      <c r="Q22" s="1263"/>
      <c r="R22" s="667"/>
      <c r="S22" s="668"/>
      <c r="T22" s="667"/>
      <c r="U22" s="668"/>
      <c r="V22" s="667"/>
      <c r="W22" s="668"/>
      <c r="X22" s="1265"/>
      <c r="Y22" s="3399"/>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97"/>
      <c r="Q23" s="1263" t="str">
        <f>B23</f>
        <v>环境质量</v>
      </c>
      <c r="R23" s="667" t="s">
        <v>14</v>
      </c>
      <c r="S23" s="668">
        <f>F23</f>
        <v>100</v>
      </c>
      <c r="T23" s="667" t="s">
        <v>14</v>
      </c>
      <c r="U23" s="668">
        <f>H23</f>
        <v>100</v>
      </c>
      <c r="V23" s="667" t="s">
        <v>14</v>
      </c>
      <c r="W23" s="668">
        <f>J23</f>
        <v>100</v>
      </c>
      <c r="X23" s="1265"/>
      <c r="Y23" s="3399"/>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97"/>
      <c r="Q24" s="1263"/>
      <c r="R24" s="667"/>
      <c r="S24" s="668"/>
      <c r="T24" s="667"/>
      <c r="U24" s="668"/>
      <c r="V24" s="667"/>
      <c r="W24" s="668"/>
      <c r="X24" s="1265"/>
      <c r="Y24" s="339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97"/>
      <c r="Q25" s="1263" t="str">
        <f>B25</f>
        <v>毗邻道路的类型与等级</v>
      </c>
      <c r="R25" s="667" t="s">
        <v>14</v>
      </c>
      <c r="S25" s="668">
        <f>F25</f>
        <v>100</v>
      </c>
      <c r="T25" s="667" t="s">
        <v>14</v>
      </c>
      <c r="U25" s="668">
        <f>H25</f>
        <v>100</v>
      </c>
      <c r="V25" s="667" t="s">
        <v>14</v>
      </c>
      <c r="W25" s="668">
        <f>J25</f>
        <v>100</v>
      </c>
      <c r="X25" s="1265"/>
      <c r="Y25" s="339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97"/>
      <c r="Q26" s="1263"/>
      <c r="R26" s="667"/>
      <c r="S26" s="668"/>
      <c r="T26" s="667"/>
      <c r="U26" s="668"/>
      <c r="V26" s="667"/>
      <c r="W26" s="668"/>
      <c r="X26" s="1265"/>
      <c r="Y26" s="3399"/>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97"/>
      <c r="Q27" s="1263" t="str">
        <f t="shared" ref="Q27:Q47" si="11">B27</f>
        <v>楼层</v>
      </c>
      <c r="R27" s="667" t="s">
        <v>14</v>
      </c>
      <c r="S27" s="668">
        <f>F27</f>
        <v>100</v>
      </c>
      <c r="T27" s="667" t="s">
        <v>14</v>
      </c>
      <c r="U27" s="668">
        <f>H27</f>
        <v>100</v>
      </c>
      <c r="V27" s="667" t="s">
        <v>14</v>
      </c>
      <c r="W27" s="668">
        <f>J27</f>
        <v>100</v>
      </c>
      <c r="X27" s="1265"/>
      <c r="Y27" s="339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97"/>
      <c r="Q28" s="530" t="str">
        <f t="shared" si="11"/>
        <v>朝向</v>
      </c>
      <c r="R28" s="664" t="s">
        <v>14</v>
      </c>
      <c r="S28" s="665">
        <f>F28</f>
        <v>100</v>
      </c>
      <c r="T28" s="664" t="s">
        <v>14</v>
      </c>
      <c r="U28" s="665">
        <f>H28</f>
        <v>100</v>
      </c>
      <c r="V28" s="664" t="s">
        <v>14</v>
      </c>
      <c r="W28" s="665">
        <f>J28</f>
        <v>100</v>
      </c>
      <c r="X28" s="666"/>
      <c r="Y28" s="339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97"/>
      <c r="Q29" s="1263">
        <f t="shared" si="11"/>
        <v>111</v>
      </c>
      <c r="R29" s="667" t="s">
        <v>14</v>
      </c>
      <c r="S29" s="668">
        <f t="shared" ref="S29:S47" si="12">F29</f>
        <v>100</v>
      </c>
      <c r="T29" s="667" t="s">
        <v>14</v>
      </c>
      <c r="U29" s="668">
        <f t="shared" ref="U29:U47" si="13">H29</f>
        <v>100</v>
      </c>
      <c r="V29" s="667" t="s">
        <v>14</v>
      </c>
      <c r="W29" s="668">
        <f t="shared" ref="W29:W47" si="14">J29</f>
        <v>100</v>
      </c>
      <c r="X29" s="1265"/>
      <c r="Y29" s="339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97"/>
      <c r="Q30" s="1263">
        <f t="shared" si="11"/>
        <v>111</v>
      </c>
      <c r="R30" s="667" t="s">
        <v>14</v>
      </c>
      <c r="S30" s="668">
        <f t="shared" si="12"/>
        <v>100</v>
      </c>
      <c r="T30" s="667" t="s">
        <v>14</v>
      </c>
      <c r="U30" s="668">
        <f t="shared" si="13"/>
        <v>100</v>
      </c>
      <c r="V30" s="667" t="s">
        <v>14</v>
      </c>
      <c r="W30" s="668">
        <f t="shared" si="14"/>
        <v>100</v>
      </c>
      <c r="X30" s="1265"/>
      <c r="Y30" s="339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97"/>
      <c r="Q31" s="1263">
        <f t="shared" si="11"/>
        <v>111</v>
      </c>
      <c r="R31" s="667" t="s">
        <v>14</v>
      </c>
      <c r="S31" s="668">
        <f t="shared" si="12"/>
        <v>100</v>
      </c>
      <c r="T31" s="667" t="s">
        <v>14</v>
      </c>
      <c r="U31" s="668">
        <f t="shared" si="13"/>
        <v>100</v>
      </c>
      <c r="V31" s="667" t="s">
        <v>14</v>
      </c>
      <c r="W31" s="668">
        <f t="shared" si="14"/>
        <v>100</v>
      </c>
      <c r="X31" s="1265"/>
      <c r="Y31" s="339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97"/>
      <c r="Q32" s="1263">
        <f t="shared" si="11"/>
        <v>111</v>
      </c>
      <c r="R32" s="667" t="s">
        <v>14</v>
      </c>
      <c r="S32" s="668">
        <f t="shared" si="12"/>
        <v>100</v>
      </c>
      <c r="T32" s="667" t="s">
        <v>14</v>
      </c>
      <c r="U32" s="668">
        <f t="shared" si="13"/>
        <v>100</v>
      </c>
      <c r="V32" s="667" t="s">
        <v>14</v>
      </c>
      <c r="W32" s="668">
        <f t="shared" si="14"/>
        <v>100</v>
      </c>
      <c r="X32" s="1265"/>
      <c r="Y32" s="3399"/>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00" t="s">
        <v>1696</v>
      </c>
      <c r="Q33" s="1263" t="str">
        <f t="shared" si="11"/>
        <v>建筑类型</v>
      </c>
      <c r="R33" s="667" t="s">
        <v>14</v>
      </c>
      <c r="S33" s="668">
        <f t="shared" si="12"/>
        <v>100</v>
      </c>
      <c r="T33" s="667" t="s">
        <v>14</v>
      </c>
      <c r="U33" s="668">
        <f t="shared" si="13"/>
        <v>100</v>
      </c>
      <c r="V33" s="667" t="s">
        <v>14</v>
      </c>
      <c r="W33" s="668">
        <f t="shared" si="14"/>
        <v>100</v>
      </c>
      <c r="X33" s="1265"/>
      <c r="Y33" s="3403"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1"/>
      <c r="Q34" s="531" t="str">
        <f t="shared" si="11"/>
        <v>项目建筑规模</v>
      </c>
      <c r="R34" s="669" t="s">
        <v>14</v>
      </c>
      <c r="S34" s="670" t="e">
        <f t="shared" si="12"/>
        <v>#N/A</v>
      </c>
      <c r="T34" s="669" t="s">
        <v>14</v>
      </c>
      <c r="U34" s="670" t="e">
        <f t="shared" si="13"/>
        <v>#N/A</v>
      </c>
      <c r="V34" s="669" t="s">
        <v>14</v>
      </c>
      <c r="W34" s="670" t="e">
        <f t="shared" si="14"/>
        <v>#N/A</v>
      </c>
      <c r="X34" s="671"/>
      <c r="Y34" s="3403"/>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1"/>
      <c r="Q35" s="1263" t="str">
        <f t="shared" si="11"/>
        <v>建筑结构</v>
      </c>
      <c r="R35" s="667" t="s">
        <v>14</v>
      </c>
      <c r="S35" s="668">
        <f t="shared" si="12"/>
        <v>100</v>
      </c>
      <c r="T35" s="667" t="s">
        <v>14</v>
      </c>
      <c r="U35" s="668">
        <f t="shared" si="13"/>
        <v>100</v>
      </c>
      <c r="V35" s="667" t="s">
        <v>14</v>
      </c>
      <c r="W35" s="668">
        <f t="shared" si="14"/>
        <v>100</v>
      </c>
      <c r="X35" s="1265"/>
      <c r="Y35" s="3403"/>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1"/>
      <c r="Q36" s="1263" t="str">
        <f t="shared" si="11"/>
        <v>公共部分装修</v>
      </c>
      <c r="R36" s="667" t="s">
        <v>14</v>
      </c>
      <c r="S36" s="668">
        <f t="shared" si="12"/>
        <v>100</v>
      </c>
      <c r="T36" s="667" t="s">
        <v>14</v>
      </c>
      <c r="U36" s="668">
        <f t="shared" si="13"/>
        <v>100</v>
      </c>
      <c r="V36" s="667" t="s">
        <v>14</v>
      </c>
      <c r="W36" s="668">
        <f t="shared" si="14"/>
        <v>100</v>
      </c>
      <c r="X36" s="1265"/>
      <c r="Y36" s="3403"/>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1"/>
      <c r="Q37" s="1263" t="str">
        <f t="shared" si="11"/>
        <v>成新度</v>
      </c>
      <c r="R37" s="667" t="s">
        <v>14</v>
      </c>
      <c r="S37" s="668" t="e">
        <f t="shared" si="12"/>
        <v>#N/A</v>
      </c>
      <c r="T37" s="667" t="s">
        <v>14</v>
      </c>
      <c r="U37" s="668" t="e">
        <f t="shared" si="13"/>
        <v>#N/A</v>
      </c>
      <c r="V37" s="667" t="s">
        <v>14</v>
      </c>
      <c r="W37" s="668" t="e">
        <f t="shared" si="14"/>
        <v>#N/A</v>
      </c>
      <c r="X37" s="1265"/>
      <c r="Y37" s="3403"/>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1"/>
      <c r="Q38" s="530" t="str">
        <f t="shared" si="11"/>
        <v>写字楼等级</v>
      </c>
      <c r="R38" s="664" t="s">
        <v>14</v>
      </c>
      <c r="S38" s="665">
        <f t="shared" si="12"/>
        <v>100</v>
      </c>
      <c r="T38" s="664" t="s">
        <v>14</v>
      </c>
      <c r="U38" s="665">
        <f t="shared" si="13"/>
        <v>100</v>
      </c>
      <c r="V38" s="664" t="s">
        <v>14</v>
      </c>
      <c r="W38" s="665">
        <f t="shared" si="14"/>
        <v>100</v>
      </c>
      <c r="X38" s="666"/>
      <c r="Y38" s="340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1" t="s">
        <v>1696</v>
      </c>
      <c r="Q39" s="1263" t="str">
        <f t="shared" si="11"/>
        <v>物业管理</v>
      </c>
      <c r="R39" s="667" t="s">
        <v>14</v>
      </c>
      <c r="S39" s="668">
        <f t="shared" si="12"/>
        <v>100</v>
      </c>
      <c r="T39" s="667" t="s">
        <v>14</v>
      </c>
      <c r="U39" s="668">
        <f t="shared" si="13"/>
        <v>100</v>
      </c>
      <c r="V39" s="667" t="s">
        <v>14</v>
      </c>
      <c r="W39" s="668">
        <f t="shared" si="14"/>
        <v>100</v>
      </c>
      <c r="X39" s="1265"/>
      <c r="Y39" s="3403"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1"/>
      <c r="Q40" s="1263" t="str">
        <f t="shared" si="11"/>
        <v>市政基础设施</v>
      </c>
      <c r="R40" s="667" t="s">
        <v>14</v>
      </c>
      <c r="S40" s="668">
        <f t="shared" si="12"/>
        <v>100</v>
      </c>
      <c r="T40" s="667" t="s">
        <v>14</v>
      </c>
      <c r="U40" s="668">
        <f t="shared" si="13"/>
        <v>100</v>
      </c>
      <c r="V40" s="667" t="s">
        <v>14</v>
      </c>
      <c r="W40" s="668">
        <f t="shared" si="14"/>
        <v>100</v>
      </c>
      <c r="X40" s="1265"/>
      <c r="Y40" s="3403"/>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1"/>
      <c r="Q41" s="1263" t="str">
        <f t="shared" si="11"/>
        <v>层高</v>
      </c>
      <c r="R41" s="667" t="s">
        <v>14</v>
      </c>
      <c r="S41" s="668">
        <f t="shared" si="12"/>
        <v>100</v>
      </c>
      <c r="T41" s="667" t="s">
        <v>14</v>
      </c>
      <c r="U41" s="668">
        <f t="shared" si="13"/>
        <v>100</v>
      </c>
      <c r="V41" s="667" t="s">
        <v>14</v>
      </c>
      <c r="W41" s="668">
        <f t="shared" si="14"/>
        <v>100</v>
      </c>
      <c r="X41" s="1265"/>
      <c r="Y41" s="3403"/>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1"/>
      <c r="Q42" s="531" t="str">
        <f t="shared" si="11"/>
        <v>单套建筑面积</v>
      </c>
      <c r="R42" s="669" t="s">
        <v>14</v>
      </c>
      <c r="S42" s="670">
        <f t="shared" si="12"/>
        <v>100</v>
      </c>
      <c r="T42" s="669" t="s">
        <v>14</v>
      </c>
      <c r="U42" s="670">
        <f t="shared" si="13"/>
        <v>100</v>
      </c>
      <c r="V42" s="669" t="s">
        <v>14</v>
      </c>
      <c r="W42" s="670">
        <f t="shared" si="14"/>
        <v>100</v>
      </c>
      <c r="X42" s="671"/>
      <c r="Y42" s="3403"/>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1"/>
      <c r="Q43" s="1263" t="str">
        <f t="shared" si="11"/>
        <v>内部装修</v>
      </c>
      <c r="R43" s="667" t="s">
        <v>14</v>
      </c>
      <c r="S43" s="668">
        <f t="shared" si="12"/>
        <v>100</v>
      </c>
      <c r="T43" s="667" t="s">
        <v>14</v>
      </c>
      <c r="U43" s="668">
        <f t="shared" si="13"/>
        <v>100</v>
      </c>
      <c r="V43" s="667" t="s">
        <v>14</v>
      </c>
      <c r="W43" s="668">
        <f t="shared" si="14"/>
        <v>100</v>
      </c>
      <c r="X43" s="1265"/>
      <c r="Y43" s="3403"/>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1"/>
      <c r="Q44" s="1263" t="str">
        <f t="shared" si="11"/>
        <v>内部装修维护情况</v>
      </c>
      <c r="R44" s="667" t="s">
        <v>14</v>
      </c>
      <c r="S44" s="668">
        <f t="shared" si="12"/>
        <v>100</v>
      </c>
      <c r="T44" s="667" t="s">
        <v>14</v>
      </c>
      <c r="U44" s="668">
        <f t="shared" si="13"/>
        <v>100</v>
      </c>
      <c r="V44" s="667" t="s">
        <v>14</v>
      </c>
      <c r="W44" s="668">
        <f t="shared" si="14"/>
        <v>100</v>
      </c>
      <c r="X44" s="1265"/>
      <c r="Y44" s="340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1"/>
      <c r="Q45" s="530">
        <f t="shared" si="11"/>
        <v>111</v>
      </c>
      <c r="R45" s="664" t="s">
        <v>14</v>
      </c>
      <c r="S45" s="665">
        <f t="shared" si="12"/>
        <v>100</v>
      </c>
      <c r="T45" s="664" t="s">
        <v>14</v>
      </c>
      <c r="U45" s="665">
        <f t="shared" si="13"/>
        <v>100</v>
      </c>
      <c r="V45" s="664" t="s">
        <v>14</v>
      </c>
      <c r="W45" s="665">
        <f t="shared" si="14"/>
        <v>100</v>
      </c>
      <c r="X45" s="666"/>
      <c r="Y45" s="340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1"/>
      <c r="Q46" s="1263">
        <f t="shared" si="11"/>
        <v>111</v>
      </c>
      <c r="R46" s="667" t="s">
        <v>14</v>
      </c>
      <c r="S46" s="668">
        <f t="shared" si="12"/>
        <v>100</v>
      </c>
      <c r="T46" s="667" t="s">
        <v>14</v>
      </c>
      <c r="U46" s="668">
        <f t="shared" si="13"/>
        <v>100</v>
      </c>
      <c r="V46" s="667" t="s">
        <v>14</v>
      </c>
      <c r="W46" s="668">
        <f t="shared" si="14"/>
        <v>100</v>
      </c>
      <c r="X46" s="1265"/>
      <c r="Y46" s="340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2"/>
      <c r="Q47" s="1263">
        <f t="shared" si="11"/>
        <v>111</v>
      </c>
      <c r="R47" s="667" t="s">
        <v>14</v>
      </c>
      <c r="S47" s="668">
        <f t="shared" si="12"/>
        <v>100</v>
      </c>
      <c r="T47" s="667" t="s">
        <v>14</v>
      </c>
      <c r="U47" s="668">
        <f t="shared" si="13"/>
        <v>100</v>
      </c>
      <c r="V47" s="667" t="s">
        <v>14</v>
      </c>
      <c r="W47" s="668">
        <f t="shared" si="14"/>
        <v>100</v>
      </c>
      <c r="X47" s="1265"/>
      <c r="Y47" s="3404"/>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82" t="str">
        <f>A48</f>
        <v>成交单价（元/平方米）</v>
      </c>
      <c r="Q48" s="3405"/>
      <c r="R48" s="3366">
        <f>E48</f>
        <v>0</v>
      </c>
      <c r="S48" s="3366"/>
      <c r="T48" s="3366">
        <f>G48</f>
        <v>0</v>
      </c>
      <c r="U48" s="3366"/>
      <c r="V48" s="3366">
        <f>I48</f>
        <v>0</v>
      </c>
      <c r="W48" s="336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82" t="str">
        <f>A49</f>
        <v>比较价值（元/平方米）</v>
      </c>
      <c r="Q49" s="3405"/>
      <c r="R49" s="3366" t="e">
        <f>IF(F1="售价",ROUND(PRODUCT(R48,AA7:AA47),0),ROUND(PRODUCT(R48,AA7:AA47),1))</f>
        <v>#DIV/0!</v>
      </c>
      <c r="S49" s="3366"/>
      <c r="T49" s="3366" t="e">
        <f>IF(F1="售价",ROUND(PRODUCT(T48,AB7:AB47),0),ROUND(PRODUCT(T48,AB7:AB47),1))</f>
        <v>#DIV/0!</v>
      </c>
      <c r="U49" s="3366"/>
      <c r="V49" s="3366" t="e">
        <f>IF(F1="售价",ROUND(PRODUCT(V48,AC7:AC47),0),ROUND(PRODUCT(V48,AC7:AC47),1))</f>
        <v>#DIV/0!</v>
      </c>
      <c r="W49" s="336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67" t="str">
        <f>A50</f>
        <v>估价对象XX用房的比较价值（楼面单价，元/平方米）</v>
      </c>
      <c r="Q50" s="3468"/>
      <c r="R50" s="3469" t="e">
        <f>IF(F1="售价",ROUND(IF(D49="简单平均",AVERAGE(R49:V49),R49*F49+T49*H49+V49*J49),0),ROUND(IF(D49="简单平均",AVERAGE(R49:V49),R49*F49+T49*H49+V49*J49),1))</f>
        <v>#DIV/0!</v>
      </c>
      <c r="S50" s="3469"/>
      <c r="T50" s="3469"/>
      <c r="U50" s="3469"/>
      <c r="V50" s="3469"/>
      <c r="W50" s="3469"/>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2025-9</v>
      </c>
      <c r="D59" s="1104">
        <f>EDATE(C59,-1)</f>
        <v>45870</v>
      </c>
      <c r="E59" s="1104">
        <f>EDATE(D59,-1)</f>
        <v>45839</v>
      </c>
      <c r="F59" s="1104">
        <f t="shared" ref="F59:O59" si="16">EDATE(E59,-1)</f>
        <v>45809</v>
      </c>
      <c r="G59" s="1104">
        <f t="shared" si="16"/>
        <v>45778</v>
      </c>
      <c r="H59" s="1104">
        <f t="shared" si="16"/>
        <v>45748</v>
      </c>
      <c r="I59" s="1104">
        <f t="shared" si="16"/>
        <v>45717</v>
      </c>
      <c r="J59" s="1104">
        <f t="shared" si="16"/>
        <v>45689</v>
      </c>
      <c r="K59" s="1104">
        <f t="shared" si="16"/>
        <v>45658</v>
      </c>
      <c r="L59" s="1104">
        <f t="shared" si="16"/>
        <v>45627</v>
      </c>
      <c r="M59" s="1104">
        <f t="shared" si="16"/>
        <v>45597</v>
      </c>
      <c r="N59" s="1104">
        <f t="shared" si="16"/>
        <v>45566</v>
      </c>
      <c r="O59" s="1104">
        <f t="shared" si="16"/>
        <v>45536</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188.85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860"/>
      <c r="M4" s="861"/>
      <c r="N4" s="861"/>
      <c r="O4" s="861"/>
      <c r="P4" s="3387" t="s">
        <v>1775</v>
      </c>
      <c r="Q4" s="3388"/>
      <c r="R4" s="3369" t="s">
        <v>1771</v>
      </c>
      <c r="S4" s="3370"/>
      <c r="T4" s="3369" t="s">
        <v>1772</v>
      </c>
      <c r="U4" s="3370"/>
      <c r="V4" s="3366" t="s">
        <v>1773</v>
      </c>
      <c r="W4" s="3366"/>
      <c r="X4" s="1265"/>
      <c r="Y4" s="3369" t="s">
        <v>1775</v>
      </c>
      <c r="Z4" s="3370"/>
      <c r="AA4" s="3363" t="s">
        <v>1771</v>
      </c>
      <c r="AB4" s="3364" t="s">
        <v>1772</v>
      </c>
      <c r="AC4" s="3363" t="s">
        <v>1773</v>
      </c>
    </row>
    <row r="5" spans="1:29" ht="15">
      <c r="A5" s="348"/>
      <c r="B5" s="349"/>
      <c r="C5" s="3375" t="s">
        <v>1673</v>
      </c>
      <c r="D5" s="3376"/>
      <c r="E5" s="3454" t="s">
        <v>1674</v>
      </c>
      <c r="F5" s="3374"/>
      <c r="G5" s="3375" t="s">
        <v>1675</v>
      </c>
      <c r="H5" s="3376"/>
      <c r="I5" s="3375" t="s">
        <v>1676</v>
      </c>
      <c r="J5" s="3376"/>
      <c r="K5" s="537"/>
      <c r="L5" s="860"/>
      <c r="M5" s="861"/>
      <c r="N5" s="861"/>
      <c r="O5" s="861"/>
      <c r="P5" s="3389"/>
      <c r="Q5" s="3390"/>
      <c r="R5" s="3371"/>
      <c r="S5" s="3372"/>
      <c r="T5" s="3371"/>
      <c r="U5" s="3372"/>
      <c r="V5" s="3366"/>
      <c r="W5" s="3366"/>
      <c r="X5" s="1265"/>
      <c r="Y5" s="3371"/>
      <c r="Z5" s="3372"/>
      <c r="AA5" s="3364"/>
      <c r="AB5" s="3364"/>
      <c r="AC5" s="3364"/>
    </row>
    <row r="6" spans="1:29" ht="15.75" thickBot="1">
      <c r="A6" s="350"/>
      <c r="B6" s="351"/>
      <c r="C6" s="3377" t="s">
        <v>1677</v>
      </c>
      <c r="D6" s="3378"/>
      <c r="E6" s="3380" t="s">
        <v>1677</v>
      </c>
      <c r="F6" s="3381"/>
      <c r="G6" s="3377" t="s">
        <v>1677</v>
      </c>
      <c r="H6" s="3378"/>
      <c r="I6" s="3377" t="s">
        <v>1677</v>
      </c>
      <c r="J6" s="3378"/>
      <c r="K6" s="537" t="s">
        <v>1678</v>
      </c>
      <c r="L6" s="860"/>
      <c r="M6" s="861"/>
      <c r="N6" s="861"/>
      <c r="O6" s="861"/>
      <c r="P6" s="3391"/>
      <c r="Q6" s="3392"/>
      <c r="R6" s="3371"/>
      <c r="S6" s="3372"/>
      <c r="T6" s="3393"/>
      <c r="U6" s="3394"/>
      <c r="V6" s="3366"/>
      <c r="W6" s="3366"/>
      <c r="X6" s="1265"/>
      <c r="Y6" s="3393"/>
      <c r="Z6" s="3394"/>
      <c r="AA6" s="3365"/>
      <c r="AB6" s="3365"/>
      <c r="AC6" s="3365"/>
    </row>
    <row r="7" spans="1:29" s="102" customFormat="1" ht="15.75" thickBot="1">
      <c r="A7" s="352" t="s">
        <v>1679</v>
      </c>
      <c r="B7" s="353"/>
      <c r="C7" s="354">
        <f>'数据-取费表'!B2</f>
        <v>45917</v>
      </c>
      <c r="D7" s="355">
        <v>100</v>
      </c>
      <c r="E7" s="356"/>
      <c r="F7" s="357">
        <f>SUMIF(52:52,YEAR(E7)&amp;"-"&amp;MONTH(E7),53:53)</f>
        <v>0</v>
      </c>
      <c r="G7" s="356"/>
      <c r="H7" s="355">
        <f>SUMIF(52:52,YEAR(G7)&amp;"-"&amp;MONTH(G7),53:53)</f>
        <v>0</v>
      </c>
      <c r="I7" s="356"/>
      <c r="J7" s="355">
        <f>SUMIF(52:52,YEAR(I7)&amp;"-"&amp;MONTH(I7),53:53)</f>
        <v>0</v>
      </c>
      <c r="K7" s="38"/>
      <c r="L7" s="862"/>
      <c r="M7" s="863"/>
      <c r="N7" s="863"/>
      <c r="O7" s="863"/>
      <c r="P7" s="3367" t="s">
        <v>1680</v>
      </c>
      <c r="Q7" s="3395"/>
      <c r="R7" s="664" t="s">
        <v>14</v>
      </c>
      <c r="S7" s="665">
        <f t="shared" ref="S7:S15" si="0">F7</f>
        <v>0</v>
      </c>
      <c r="T7" s="664" t="s">
        <v>14</v>
      </c>
      <c r="U7" s="665">
        <f t="shared" ref="U7:U15" si="1">H7</f>
        <v>0</v>
      </c>
      <c r="V7" s="664" t="s">
        <v>14</v>
      </c>
      <c r="W7" s="665">
        <f t="shared" ref="W7:W15" si="2">J7</f>
        <v>0</v>
      </c>
      <c r="X7" s="666"/>
      <c r="Y7" s="3367" t="s">
        <v>1680</v>
      </c>
      <c r="Z7" s="336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7" t="s">
        <v>1683</v>
      </c>
      <c r="Q8" s="3368"/>
      <c r="R8" s="664" t="s">
        <v>14</v>
      </c>
      <c r="S8" s="665">
        <f t="shared" si="0"/>
        <v>100</v>
      </c>
      <c r="T8" s="664" t="s">
        <v>14</v>
      </c>
      <c r="U8" s="665">
        <f t="shared" si="1"/>
        <v>100</v>
      </c>
      <c r="V8" s="664" t="s">
        <v>14</v>
      </c>
      <c r="W8" s="665">
        <f t="shared" si="2"/>
        <v>100</v>
      </c>
      <c r="X8" s="666"/>
      <c r="Y8" s="3367" t="s">
        <v>1683</v>
      </c>
      <c r="Z8" s="336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5"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5"/>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5"/>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5"/>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5"/>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5"/>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8" t="s">
        <v>1691</v>
      </c>
      <c r="Q15" s="1263" t="str">
        <f t="shared" si="6"/>
        <v>产业集聚程度</v>
      </c>
      <c r="R15" s="667" t="s">
        <v>14</v>
      </c>
      <c r="S15" s="668">
        <f t="shared" si="0"/>
        <v>100</v>
      </c>
      <c r="T15" s="667" t="s">
        <v>14</v>
      </c>
      <c r="U15" s="668">
        <f t="shared" si="1"/>
        <v>100</v>
      </c>
      <c r="V15" s="667" t="s">
        <v>14</v>
      </c>
      <c r="W15" s="668">
        <f t="shared" si="2"/>
        <v>100</v>
      </c>
      <c r="X15" s="1265"/>
      <c r="Y15" s="339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9"/>
      <c r="Q16" s="1263"/>
      <c r="R16" s="667"/>
      <c r="S16" s="668"/>
      <c r="T16" s="667"/>
      <c r="U16" s="668"/>
      <c r="V16" s="667"/>
      <c r="W16" s="668"/>
      <c r="X16" s="1265"/>
      <c r="Y16" s="3399"/>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9"/>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9"/>
      <c r="Q18" s="1263"/>
      <c r="R18" s="667"/>
      <c r="S18" s="668"/>
      <c r="T18" s="667"/>
      <c r="U18" s="668"/>
      <c r="V18" s="667"/>
      <c r="W18" s="668"/>
      <c r="X18" s="1265"/>
      <c r="Y18" s="3399"/>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9"/>
      <c r="Q19" s="1263" t="str">
        <f>B19</f>
        <v>公共配套设施</v>
      </c>
      <c r="R19" s="667" t="s">
        <v>14</v>
      </c>
      <c r="S19" s="668">
        <f>F19</f>
        <v>100</v>
      </c>
      <c r="T19" s="667" t="s">
        <v>14</v>
      </c>
      <c r="U19" s="668">
        <f>H19</f>
        <v>100</v>
      </c>
      <c r="V19" s="667" t="s">
        <v>14</v>
      </c>
      <c r="W19" s="668">
        <f>J19</f>
        <v>100</v>
      </c>
      <c r="X19" s="1265"/>
      <c r="Y19" s="339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9"/>
      <c r="Q20" s="1263"/>
      <c r="R20" s="667"/>
      <c r="S20" s="668"/>
      <c r="T20" s="667"/>
      <c r="U20" s="668"/>
      <c r="V20" s="667"/>
      <c r="W20" s="668"/>
      <c r="X20" s="1265"/>
      <c r="Y20" s="3399"/>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9"/>
      <c r="Q21" s="1263" t="str">
        <f>B21</f>
        <v>基础设施水平</v>
      </c>
      <c r="R21" s="667" t="s">
        <v>14</v>
      </c>
      <c r="S21" s="668">
        <f>F21</f>
        <v>100</v>
      </c>
      <c r="T21" s="667" t="s">
        <v>14</v>
      </c>
      <c r="U21" s="668">
        <f>H21</f>
        <v>100</v>
      </c>
      <c r="V21" s="667" t="s">
        <v>14</v>
      </c>
      <c r="W21" s="668">
        <f>J21</f>
        <v>100</v>
      </c>
      <c r="X21" s="1265"/>
      <c r="Y21" s="339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9"/>
      <c r="Q22" s="1263"/>
      <c r="R22" s="667"/>
      <c r="S22" s="668"/>
      <c r="T22" s="667"/>
      <c r="U22" s="668"/>
      <c r="V22" s="667"/>
      <c r="W22" s="668"/>
      <c r="X22" s="1265"/>
      <c r="Y22" s="3399"/>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9"/>
      <c r="Q23" s="1263" t="str">
        <f>B23</f>
        <v>环境质量</v>
      </c>
      <c r="R23" s="667" t="s">
        <v>14</v>
      </c>
      <c r="S23" s="668">
        <f>F23</f>
        <v>100</v>
      </c>
      <c r="T23" s="667" t="s">
        <v>14</v>
      </c>
      <c r="U23" s="668">
        <f>H23</f>
        <v>100</v>
      </c>
      <c r="V23" s="667" t="s">
        <v>14</v>
      </c>
      <c r="W23" s="668">
        <f>J23</f>
        <v>100</v>
      </c>
      <c r="X23" s="1265"/>
      <c r="Y23" s="339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9"/>
      <c r="Q24" s="1263"/>
      <c r="R24" s="667"/>
      <c r="S24" s="668"/>
      <c r="T24" s="667"/>
      <c r="U24" s="668"/>
      <c r="V24" s="667"/>
      <c r="W24" s="668"/>
      <c r="X24" s="1265"/>
      <c r="Y24" s="339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9"/>
      <c r="Q25" s="1263">
        <f>B25</f>
        <v>111</v>
      </c>
      <c r="R25" s="667" t="s">
        <v>14</v>
      </c>
      <c r="S25" s="668">
        <f>F25</f>
        <v>100</v>
      </c>
      <c r="T25" s="667" t="s">
        <v>14</v>
      </c>
      <c r="U25" s="668">
        <f>H25</f>
        <v>100</v>
      </c>
      <c r="V25" s="667" t="s">
        <v>14</v>
      </c>
      <c r="W25" s="668">
        <f>J25</f>
        <v>100</v>
      </c>
      <c r="X25" s="1265"/>
      <c r="Y25" s="339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9"/>
      <c r="Q26" s="1263">
        <f t="shared" ref="Q26:Q40" si="11">B26</f>
        <v>111</v>
      </c>
      <c r="R26" s="667" t="s">
        <v>14</v>
      </c>
      <c r="S26" s="668">
        <f>F26</f>
        <v>100</v>
      </c>
      <c r="T26" s="667" t="s">
        <v>14</v>
      </c>
      <c r="U26" s="668">
        <f>H26</f>
        <v>100</v>
      </c>
      <c r="V26" s="667" t="s">
        <v>14</v>
      </c>
      <c r="W26" s="668">
        <f>J26</f>
        <v>100</v>
      </c>
      <c r="X26" s="1265"/>
      <c r="Y26" s="339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9"/>
      <c r="Q27" s="530">
        <f t="shared" si="11"/>
        <v>111</v>
      </c>
      <c r="R27" s="664" t="s">
        <v>14</v>
      </c>
      <c r="S27" s="665">
        <f>F27</f>
        <v>100</v>
      </c>
      <c r="T27" s="664" t="s">
        <v>14</v>
      </c>
      <c r="U27" s="665">
        <f>H27</f>
        <v>100</v>
      </c>
      <c r="V27" s="664" t="s">
        <v>14</v>
      </c>
      <c r="W27" s="665">
        <f>J27</f>
        <v>100</v>
      </c>
      <c r="X27" s="666"/>
      <c r="Y27" s="339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9"/>
      <c r="Q28" s="1263">
        <f t="shared" si="11"/>
        <v>111</v>
      </c>
      <c r="R28" s="667" t="s">
        <v>14</v>
      </c>
      <c r="S28" s="668">
        <f t="shared" ref="S28:S40" si="12">F28</f>
        <v>100</v>
      </c>
      <c r="T28" s="667" t="s">
        <v>14</v>
      </c>
      <c r="U28" s="668">
        <f t="shared" ref="U28:U40" si="13">H28</f>
        <v>100</v>
      </c>
      <c r="V28" s="667" t="s">
        <v>14</v>
      </c>
      <c r="W28" s="668">
        <f t="shared" ref="W28:W40" si="14">J28</f>
        <v>100</v>
      </c>
      <c r="X28" s="1265"/>
      <c r="Y28" s="339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70" t="s">
        <v>1696</v>
      </c>
      <c r="Q29" s="1263" t="str">
        <f t="shared" si="11"/>
        <v>建筑类型</v>
      </c>
      <c r="R29" s="667" t="s">
        <v>14</v>
      </c>
      <c r="S29" s="668">
        <f t="shared" si="12"/>
        <v>100</v>
      </c>
      <c r="T29" s="667" t="s">
        <v>14</v>
      </c>
      <c r="U29" s="668">
        <f t="shared" si="13"/>
        <v>100</v>
      </c>
      <c r="V29" s="667" t="s">
        <v>14</v>
      </c>
      <c r="W29" s="668">
        <f t="shared" si="14"/>
        <v>100</v>
      </c>
      <c r="X29" s="1265"/>
      <c r="Y29" s="340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3"/>
      <c r="Q30" s="531" t="str">
        <f t="shared" si="11"/>
        <v>项目建筑规模</v>
      </c>
      <c r="R30" s="669" t="s">
        <v>14</v>
      </c>
      <c r="S30" s="670" t="e">
        <f t="shared" si="12"/>
        <v>#N/A</v>
      </c>
      <c r="T30" s="669" t="s">
        <v>14</v>
      </c>
      <c r="U30" s="670" t="e">
        <f t="shared" si="13"/>
        <v>#N/A</v>
      </c>
      <c r="V30" s="669" t="s">
        <v>14</v>
      </c>
      <c r="W30" s="670" t="e">
        <f t="shared" si="14"/>
        <v>#N/A</v>
      </c>
      <c r="X30" s="671"/>
      <c r="Y30" s="340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3"/>
      <c r="Q31" s="1263" t="str">
        <f t="shared" si="11"/>
        <v>建筑结构</v>
      </c>
      <c r="R31" s="667" t="s">
        <v>14</v>
      </c>
      <c r="S31" s="668">
        <f t="shared" si="12"/>
        <v>100</v>
      </c>
      <c r="T31" s="667" t="s">
        <v>14</v>
      </c>
      <c r="U31" s="668">
        <f t="shared" si="13"/>
        <v>100</v>
      </c>
      <c r="V31" s="667" t="s">
        <v>14</v>
      </c>
      <c r="W31" s="668">
        <f t="shared" si="14"/>
        <v>100</v>
      </c>
      <c r="X31" s="1265"/>
      <c r="Y31" s="340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3"/>
      <c r="Q32" s="1263" t="str">
        <f t="shared" si="11"/>
        <v>公共部分装修</v>
      </c>
      <c r="R32" s="667" t="s">
        <v>14</v>
      </c>
      <c r="S32" s="668">
        <f t="shared" si="12"/>
        <v>100</v>
      </c>
      <c r="T32" s="667" t="s">
        <v>14</v>
      </c>
      <c r="U32" s="668">
        <f t="shared" si="13"/>
        <v>100</v>
      </c>
      <c r="V32" s="667" t="s">
        <v>14</v>
      </c>
      <c r="W32" s="668">
        <f t="shared" si="14"/>
        <v>100</v>
      </c>
      <c r="X32" s="1265"/>
      <c r="Y32" s="340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3"/>
      <c r="Q33" s="1263" t="str">
        <f t="shared" si="11"/>
        <v>成新度</v>
      </c>
      <c r="R33" s="667" t="s">
        <v>14</v>
      </c>
      <c r="S33" s="668" t="e">
        <f t="shared" si="12"/>
        <v>#N/A</v>
      </c>
      <c r="T33" s="667" t="s">
        <v>14</v>
      </c>
      <c r="U33" s="668" t="e">
        <f t="shared" si="13"/>
        <v>#N/A</v>
      </c>
      <c r="V33" s="667" t="s">
        <v>14</v>
      </c>
      <c r="W33" s="668" t="e">
        <f t="shared" si="14"/>
        <v>#N/A</v>
      </c>
      <c r="X33" s="1265"/>
      <c r="Y33" s="340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3"/>
      <c r="Q34" s="530" t="str">
        <f t="shared" si="11"/>
        <v>物业管理</v>
      </c>
      <c r="R34" s="664" t="s">
        <v>14</v>
      </c>
      <c r="S34" s="665">
        <f t="shared" si="12"/>
        <v>100</v>
      </c>
      <c r="T34" s="664" t="s">
        <v>14</v>
      </c>
      <c r="U34" s="665">
        <f t="shared" si="13"/>
        <v>100</v>
      </c>
      <c r="V34" s="664" t="s">
        <v>14</v>
      </c>
      <c r="W34" s="665">
        <f t="shared" si="14"/>
        <v>100</v>
      </c>
      <c r="X34" s="666"/>
      <c r="Y34" s="340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3" t="s">
        <v>1696</v>
      </c>
      <c r="Q35" s="1263" t="str">
        <f t="shared" si="11"/>
        <v>市政基础设施</v>
      </c>
      <c r="R35" s="667" t="s">
        <v>14</v>
      </c>
      <c r="S35" s="668">
        <f t="shared" si="12"/>
        <v>100</v>
      </c>
      <c r="T35" s="667" t="s">
        <v>14</v>
      </c>
      <c r="U35" s="668">
        <f t="shared" si="13"/>
        <v>100</v>
      </c>
      <c r="V35" s="667" t="s">
        <v>14</v>
      </c>
      <c r="W35" s="668">
        <f t="shared" si="14"/>
        <v>100</v>
      </c>
      <c r="X35" s="1265"/>
      <c r="Y35" s="340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3"/>
      <c r="Q36" s="1263" t="str">
        <f t="shared" si="11"/>
        <v>内部装修</v>
      </c>
      <c r="R36" s="667" t="s">
        <v>14</v>
      </c>
      <c r="S36" s="668">
        <f t="shared" si="12"/>
        <v>100</v>
      </c>
      <c r="T36" s="667" t="s">
        <v>14</v>
      </c>
      <c r="U36" s="668">
        <f t="shared" si="13"/>
        <v>100</v>
      </c>
      <c r="V36" s="667" t="s">
        <v>14</v>
      </c>
      <c r="W36" s="668">
        <f t="shared" si="14"/>
        <v>100</v>
      </c>
      <c r="X36" s="1265"/>
      <c r="Y36" s="340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3"/>
      <c r="Q37" s="1263" t="str">
        <f t="shared" si="11"/>
        <v>内部装修状况</v>
      </c>
      <c r="R37" s="667" t="s">
        <v>14</v>
      </c>
      <c r="S37" s="668">
        <f t="shared" si="12"/>
        <v>100</v>
      </c>
      <c r="T37" s="667" t="s">
        <v>14</v>
      </c>
      <c r="U37" s="668">
        <f t="shared" si="13"/>
        <v>100</v>
      </c>
      <c r="V37" s="667" t="s">
        <v>14</v>
      </c>
      <c r="W37" s="668">
        <f t="shared" si="14"/>
        <v>100</v>
      </c>
      <c r="X37" s="1265"/>
      <c r="Y37" s="340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3"/>
      <c r="Q38" s="531">
        <f t="shared" si="11"/>
        <v>111</v>
      </c>
      <c r="R38" s="669" t="s">
        <v>14</v>
      </c>
      <c r="S38" s="670">
        <f t="shared" si="12"/>
        <v>100</v>
      </c>
      <c r="T38" s="669" t="s">
        <v>14</v>
      </c>
      <c r="U38" s="670">
        <f t="shared" si="13"/>
        <v>100</v>
      </c>
      <c r="V38" s="669" t="s">
        <v>14</v>
      </c>
      <c r="W38" s="670">
        <f t="shared" si="14"/>
        <v>100</v>
      </c>
      <c r="X38" s="671"/>
      <c r="Y38" s="340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3"/>
      <c r="Q39" s="1263">
        <f t="shared" si="11"/>
        <v>111</v>
      </c>
      <c r="R39" s="667" t="s">
        <v>14</v>
      </c>
      <c r="S39" s="668">
        <f t="shared" si="12"/>
        <v>100</v>
      </c>
      <c r="T39" s="667" t="s">
        <v>14</v>
      </c>
      <c r="U39" s="668">
        <f t="shared" si="13"/>
        <v>100</v>
      </c>
      <c r="V39" s="667" t="s">
        <v>14</v>
      </c>
      <c r="W39" s="668">
        <f t="shared" si="14"/>
        <v>100</v>
      </c>
      <c r="X39" s="1265"/>
      <c r="Y39" s="340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4"/>
      <c r="Q40" s="1263">
        <f t="shared" si="11"/>
        <v>111</v>
      </c>
      <c r="R40" s="667" t="s">
        <v>14</v>
      </c>
      <c r="S40" s="668">
        <f t="shared" si="12"/>
        <v>100</v>
      </c>
      <c r="T40" s="667" t="s">
        <v>14</v>
      </c>
      <c r="U40" s="668">
        <f t="shared" si="13"/>
        <v>100</v>
      </c>
      <c r="V40" s="667" t="s">
        <v>14</v>
      </c>
      <c r="W40" s="668">
        <f t="shared" si="14"/>
        <v>100</v>
      </c>
      <c r="X40" s="1265"/>
      <c r="Y40" s="340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5" t="str">
        <f>A41</f>
        <v>成交单价（元/平方米）</v>
      </c>
      <c r="Q41" s="3405"/>
      <c r="R41" s="3366">
        <f>E41</f>
        <v>0</v>
      </c>
      <c r="S41" s="3366"/>
      <c r="T41" s="3366">
        <f>G41</f>
        <v>0</v>
      </c>
      <c r="U41" s="3366"/>
      <c r="V41" s="3366">
        <f>I41</f>
        <v>0</v>
      </c>
      <c r="W41" s="336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05" t="str">
        <f>A42</f>
        <v>比较价值（元/平方米）</v>
      </c>
      <c r="Q42" s="3405"/>
      <c r="R42" s="3366" t="e">
        <f>IF(F1="售价",ROUND(PRODUCT(R41,AA7:AA40),0),ROUND(PRODUCT(R41,AA7:AA40),1))</f>
        <v>#DIV/0!</v>
      </c>
      <c r="S42" s="3366"/>
      <c r="T42" s="3366" t="e">
        <f>IF(F1="售价",ROUND(PRODUCT(T41,AB7:AB40),0),ROUND(PRODUCT(T41,AB7:AB40),1))</f>
        <v>#DIV/0!</v>
      </c>
      <c r="U42" s="3366"/>
      <c r="V42" s="3366" t="e">
        <f>IF(F1="售价",ROUND(PRODUCT(V41,AC7:AC40),0),ROUND(PRODUCT(V41,AC7:AC40),1))</f>
        <v>#DIV/0!</v>
      </c>
      <c r="W42" s="336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6" t="str">
        <f>A43</f>
        <v>估价对象XX用房的比较价值（楼面单价，元/平方米）</v>
      </c>
      <c r="Q43" s="3407"/>
      <c r="R43" s="3408" t="e">
        <f>IF(F1="售价",ROUND(IF(D42="简单平均",AVERAGE(R42:V42),R42*F42+T42*H42+V42*J42),0),ROUND(IF(D42="简单平均",AVERAGE(R42:V42),R42*F42+T42*H42+V42*J42),1))</f>
        <v>#DIV/0!</v>
      </c>
      <c r="S43" s="3408"/>
      <c r="T43" s="3408"/>
      <c r="U43" s="3408"/>
      <c r="V43" s="3408"/>
      <c r="W43" s="340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2025-9</v>
      </c>
      <c r="D52" s="1104">
        <f>EDATE(C52,-1)</f>
        <v>45870</v>
      </c>
      <c r="E52" s="1104">
        <f t="shared" ref="E52:O52" si="16">EDATE(D52,-1)</f>
        <v>45839</v>
      </c>
      <c r="F52" s="1104">
        <f t="shared" si="16"/>
        <v>45809</v>
      </c>
      <c r="G52" s="1104">
        <f t="shared" si="16"/>
        <v>45778</v>
      </c>
      <c r="H52" s="1104">
        <f t="shared" si="16"/>
        <v>45748</v>
      </c>
      <c r="I52" s="1104">
        <f t="shared" si="16"/>
        <v>45717</v>
      </c>
      <c r="J52" s="1104">
        <f t="shared" si="16"/>
        <v>45689</v>
      </c>
      <c r="K52" s="1104">
        <f t="shared" si="16"/>
        <v>45658</v>
      </c>
      <c r="L52" s="1104">
        <f t="shared" si="16"/>
        <v>45627</v>
      </c>
      <c r="M52" s="1104">
        <f t="shared" si="16"/>
        <v>45597</v>
      </c>
      <c r="N52" s="1104">
        <f t="shared" si="16"/>
        <v>45566</v>
      </c>
      <c r="O52" s="1104">
        <f t="shared" si="16"/>
        <v>45536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69" t="s">
        <v>1771</v>
      </c>
      <c r="S4" s="3370"/>
      <c r="T4" s="3369" t="s">
        <v>1772</v>
      </c>
      <c r="U4" s="3370"/>
      <c r="V4" s="3366" t="s">
        <v>1773</v>
      </c>
      <c r="W4" s="3366"/>
      <c r="X4" s="1265"/>
      <c r="Y4" s="3369" t="s">
        <v>1775</v>
      </c>
      <c r="Z4" s="3370"/>
      <c r="AA4" s="3363" t="s">
        <v>1771</v>
      </c>
      <c r="AB4" s="3364" t="s">
        <v>1772</v>
      </c>
      <c r="AC4" s="3363" t="s">
        <v>1773</v>
      </c>
    </row>
    <row r="5" spans="1:29" ht="15">
      <c r="A5" s="348"/>
      <c r="B5" s="349"/>
      <c r="C5" s="3375" t="s">
        <v>1673</v>
      </c>
      <c r="D5" s="3376"/>
      <c r="E5" s="3454" t="s">
        <v>1674</v>
      </c>
      <c r="F5" s="3374"/>
      <c r="G5" s="3375" t="s">
        <v>1675</v>
      </c>
      <c r="H5" s="3376"/>
      <c r="I5" s="3375" t="s">
        <v>1676</v>
      </c>
      <c r="J5" s="3376"/>
      <c r="K5" s="537"/>
      <c r="L5" s="2487"/>
      <c r="M5" s="2488"/>
      <c r="N5" s="2488"/>
      <c r="O5" s="2488"/>
      <c r="P5" s="3389"/>
      <c r="Q5" s="3390"/>
      <c r="R5" s="3371"/>
      <c r="S5" s="3372"/>
      <c r="T5" s="3371"/>
      <c r="U5" s="3372"/>
      <c r="V5" s="3366"/>
      <c r="W5" s="3366"/>
      <c r="X5" s="1265"/>
      <c r="Y5" s="3371"/>
      <c r="Z5" s="3372"/>
      <c r="AA5" s="3364"/>
      <c r="AB5" s="3364"/>
      <c r="AC5" s="3364"/>
    </row>
    <row r="6" spans="1:29" ht="15.75" thickBot="1">
      <c r="A6" s="350"/>
      <c r="B6" s="351"/>
      <c r="C6" s="3377" t="s">
        <v>1677</v>
      </c>
      <c r="D6" s="3378"/>
      <c r="E6" s="3380" t="s">
        <v>1677</v>
      </c>
      <c r="F6" s="3381"/>
      <c r="G6" s="3377" t="s">
        <v>1677</v>
      </c>
      <c r="H6" s="3378"/>
      <c r="I6" s="3377" t="s">
        <v>1677</v>
      </c>
      <c r="J6" s="3378"/>
      <c r="K6" s="537" t="s">
        <v>1678</v>
      </c>
      <c r="L6" s="2487"/>
      <c r="M6" s="2488"/>
      <c r="N6" s="2488"/>
      <c r="O6" s="2488"/>
      <c r="P6" s="3391"/>
      <c r="Q6" s="3392"/>
      <c r="R6" s="3371"/>
      <c r="S6" s="3372"/>
      <c r="T6" s="3393"/>
      <c r="U6" s="3394"/>
      <c r="V6" s="3366"/>
      <c r="W6" s="3366"/>
      <c r="X6" s="1265"/>
      <c r="Y6" s="3393"/>
      <c r="Z6" s="3394"/>
      <c r="AA6" s="3365"/>
      <c r="AB6" s="3365"/>
      <c r="AC6" s="3365"/>
    </row>
    <row r="7" spans="1:29" s="102" customFormat="1" ht="15.75" thickBot="1">
      <c r="A7" s="352" t="s">
        <v>1679</v>
      </c>
      <c r="B7" s="353"/>
      <c r="C7" s="354">
        <f>'数据-取费表'!B2</f>
        <v>45917</v>
      </c>
      <c r="D7" s="355">
        <v>100</v>
      </c>
      <c r="E7" s="356"/>
      <c r="F7" s="357">
        <f>SUMIF(48:48,YEAR(E7)&amp;"-"&amp;MONTH(E7),49:49)</f>
        <v>0</v>
      </c>
      <c r="G7" s="356"/>
      <c r="H7" s="355">
        <f>SUMIF(48:48,YEAR(G7)&amp;"-"&amp;MONTH(G7),49:49)</f>
        <v>0</v>
      </c>
      <c r="I7" s="356"/>
      <c r="J7" s="355">
        <f>SUMIF(48:48,YEAR(I7)&amp;"-"&amp;MONTH(I7),49:49)</f>
        <v>0</v>
      </c>
      <c r="K7" s="38"/>
      <c r="L7" s="2489"/>
      <c r="M7" s="2440"/>
      <c r="N7" s="2440"/>
      <c r="O7" s="2440"/>
      <c r="P7" s="3367" t="s">
        <v>1680</v>
      </c>
      <c r="Q7" s="3395"/>
      <c r="R7" s="664" t="s">
        <v>14</v>
      </c>
      <c r="S7" s="665">
        <f t="shared" ref="S7:S14" si="0">F7</f>
        <v>0</v>
      </c>
      <c r="T7" s="664" t="s">
        <v>14</v>
      </c>
      <c r="U7" s="665">
        <f t="shared" ref="U7:U14" si="1">H7</f>
        <v>0</v>
      </c>
      <c r="V7" s="664" t="s">
        <v>14</v>
      </c>
      <c r="W7" s="665">
        <f t="shared" ref="W7:W14" si="2">J7</f>
        <v>0</v>
      </c>
      <c r="X7" s="666"/>
      <c r="Y7" s="3367" t="s">
        <v>1680</v>
      </c>
      <c r="Z7" s="336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67" t="s">
        <v>1683</v>
      </c>
      <c r="Q8" s="3368"/>
      <c r="R8" s="664" t="s">
        <v>14</v>
      </c>
      <c r="S8" s="665">
        <f t="shared" si="0"/>
        <v>100</v>
      </c>
      <c r="T8" s="664" t="s">
        <v>14</v>
      </c>
      <c r="U8" s="665">
        <f t="shared" si="1"/>
        <v>100</v>
      </c>
      <c r="V8" s="664" t="s">
        <v>14</v>
      </c>
      <c r="W8" s="665">
        <f t="shared" si="2"/>
        <v>100</v>
      </c>
      <c r="X8" s="666"/>
      <c r="Y8" s="3367" t="s">
        <v>1683</v>
      </c>
      <c r="Z8" s="336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5"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5"/>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5"/>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5"/>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5"/>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8" t="s">
        <v>1691</v>
      </c>
      <c r="Q14" s="1263" t="str">
        <f t="shared" si="6"/>
        <v>交通便捷度</v>
      </c>
      <c r="R14" s="667" t="s">
        <v>14</v>
      </c>
      <c r="S14" s="668">
        <f t="shared" si="0"/>
        <v>100</v>
      </c>
      <c r="T14" s="667" t="s">
        <v>14</v>
      </c>
      <c r="U14" s="668">
        <f t="shared" si="1"/>
        <v>100</v>
      </c>
      <c r="V14" s="667" t="s">
        <v>14</v>
      </c>
      <c r="W14" s="668">
        <f t="shared" si="2"/>
        <v>100</v>
      </c>
      <c r="X14" s="1265"/>
      <c r="Y14" s="339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9"/>
      <c r="Q15" s="1263"/>
      <c r="R15" s="667"/>
      <c r="S15" s="668"/>
      <c r="T15" s="667"/>
      <c r="U15" s="668"/>
      <c r="V15" s="667"/>
      <c r="W15" s="668"/>
      <c r="X15" s="1265"/>
      <c r="Y15" s="3399"/>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9"/>
      <c r="Q16" s="1263" t="str">
        <f>B16</f>
        <v>公共配套设施</v>
      </c>
      <c r="R16" s="667" t="s">
        <v>14</v>
      </c>
      <c r="S16" s="668">
        <f>F16</f>
        <v>100</v>
      </c>
      <c r="T16" s="667" t="s">
        <v>14</v>
      </c>
      <c r="U16" s="668">
        <f>H16</f>
        <v>100</v>
      </c>
      <c r="V16" s="667" t="s">
        <v>14</v>
      </c>
      <c r="W16" s="668">
        <f>J16</f>
        <v>100</v>
      </c>
      <c r="X16" s="1265"/>
      <c r="Y16" s="339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9"/>
      <c r="Q17" s="1263"/>
      <c r="R17" s="667"/>
      <c r="S17" s="668"/>
      <c r="T17" s="667"/>
      <c r="U17" s="668"/>
      <c r="V17" s="667"/>
      <c r="W17" s="668"/>
      <c r="X17" s="1265"/>
      <c r="Y17" s="3399"/>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9"/>
      <c r="Q18" s="1263" t="str">
        <f>B18</f>
        <v>基础设施水平</v>
      </c>
      <c r="R18" s="667" t="s">
        <v>14</v>
      </c>
      <c r="S18" s="668">
        <f>F18</f>
        <v>100</v>
      </c>
      <c r="T18" s="667" t="s">
        <v>14</v>
      </c>
      <c r="U18" s="668">
        <f>H18</f>
        <v>100</v>
      </c>
      <c r="V18" s="667" t="s">
        <v>14</v>
      </c>
      <c r="W18" s="668">
        <f>J18</f>
        <v>100</v>
      </c>
      <c r="X18" s="1265"/>
      <c r="Y18" s="339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9"/>
      <c r="Q19" s="1263"/>
      <c r="R19" s="667"/>
      <c r="S19" s="668"/>
      <c r="T19" s="667"/>
      <c r="U19" s="668"/>
      <c r="V19" s="667"/>
      <c r="W19" s="668"/>
      <c r="X19" s="1265"/>
      <c r="Y19" s="3399"/>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9"/>
      <c r="Q20" s="1263" t="str">
        <f>B20</f>
        <v>自然及人文环境</v>
      </c>
      <c r="R20" s="667" t="s">
        <v>14</v>
      </c>
      <c r="S20" s="668">
        <f>F20</f>
        <v>100</v>
      </c>
      <c r="T20" s="667" t="s">
        <v>14</v>
      </c>
      <c r="U20" s="668">
        <f>H20</f>
        <v>100</v>
      </c>
      <c r="V20" s="667" t="s">
        <v>14</v>
      </c>
      <c r="W20" s="668">
        <f>J20</f>
        <v>100</v>
      </c>
      <c r="X20" s="1265"/>
      <c r="Y20" s="339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9"/>
      <c r="Q21" s="1263"/>
      <c r="R21" s="667"/>
      <c r="S21" s="668"/>
      <c r="T21" s="667"/>
      <c r="U21" s="668"/>
      <c r="V21" s="667"/>
      <c r="W21" s="668"/>
      <c r="X21" s="1265"/>
      <c r="Y21" s="339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9"/>
      <c r="Q22" s="1263" t="str">
        <f>B22</f>
        <v>楼层</v>
      </c>
      <c r="R22" s="667" t="s">
        <v>14</v>
      </c>
      <c r="S22" s="668">
        <f>F22</f>
        <v>100</v>
      </c>
      <c r="T22" s="667" t="s">
        <v>14</v>
      </c>
      <c r="U22" s="668">
        <f>H22</f>
        <v>100</v>
      </c>
      <c r="V22" s="667" t="s">
        <v>14</v>
      </c>
      <c r="W22" s="668">
        <f>J22</f>
        <v>100</v>
      </c>
      <c r="X22" s="1265"/>
      <c r="Y22" s="339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9"/>
      <c r="Q23" s="1263">
        <f>B23</f>
        <v>111</v>
      </c>
      <c r="R23" s="667" t="s">
        <v>14</v>
      </c>
      <c r="S23" s="668">
        <f>F23</f>
        <v>100</v>
      </c>
      <c r="T23" s="667" t="s">
        <v>14</v>
      </c>
      <c r="U23" s="668">
        <f>H23</f>
        <v>100</v>
      </c>
      <c r="V23" s="667" t="s">
        <v>14</v>
      </c>
      <c r="W23" s="668">
        <f>J23</f>
        <v>100</v>
      </c>
      <c r="X23" s="1265"/>
      <c r="Y23" s="339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9"/>
      <c r="Q24" s="1263">
        <f t="shared" ref="Q24:Q36" si="11">B24</f>
        <v>111</v>
      </c>
      <c r="R24" s="667" t="s">
        <v>14</v>
      </c>
      <c r="S24" s="668">
        <f>F24</f>
        <v>100</v>
      </c>
      <c r="T24" s="667" t="s">
        <v>14</v>
      </c>
      <c r="U24" s="668">
        <f>H24</f>
        <v>100</v>
      </c>
      <c r="V24" s="667" t="s">
        <v>14</v>
      </c>
      <c r="W24" s="668">
        <f>J24</f>
        <v>100</v>
      </c>
      <c r="X24" s="1265"/>
      <c r="Y24" s="339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9"/>
      <c r="Q25" s="530">
        <f t="shared" si="11"/>
        <v>111</v>
      </c>
      <c r="R25" s="664" t="s">
        <v>14</v>
      </c>
      <c r="S25" s="665">
        <f>F25</f>
        <v>100</v>
      </c>
      <c r="T25" s="664" t="s">
        <v>14</v>
      </c>
      <c r="U25" s="665">
        <f>H25</f>
        <v>100</v>
      </c>
      <c r="V25" s="664" t="s">
        <v>14</v>
      </c>
      <c r="W25" s="665">
        <f>J25</f>
        <v>100</v>
      </c>
      <c r="X25" s="666"/>
      <c r="Y25" s="339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7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3"/>
      <c r="Q27" s="531" t="str">
        <f t="shared" si="11"/>
        <v>项目停车位配比</v>
      </c>
      <c r="R27" s="669" t="s">
        <v>14</v>
      </c>
      <c r="S27" s="670">
        <f t="shared" si="12"/>
        <v>100</v>
      </c>
      <c r="T27" s="669" t="s">
        <v>14</v>
      </c>
      <c r="U27" s="670">
        <f t="shared" si="13"/>
        <v>100</v>
      </c>
      <c r="V27" s="669" t="s">
        <v>14</v>
      </c>
      <c r="W27" s="670">
        <f t="shared" si="14"/>
        <v>100</v>
      </c>
      <c r="X27" s="671"/>
      <c r="Y27" s="340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3"/>
      <c r="Q28" s="1263" t="str">
        <f t="shared" si="11"/>
        <v>公共部分装修</v>
      </c>
      <c r="R28" s="667" t="s">
        <v>14</v>
      </c>
      <c r="S28" s="668">
        <f t="shared" si="12"/>
        <v>100</v>
      </c>
      <c r="T28" s="667" t="s">
        <v>14</v>
      </c>
      <c r="U28" s="668">
        <f t="shared" si="13"/>
        <v>100</v>
      </c>
      <c r="V28" s="667" t="s">
        <v>14</v>
      </c>
      <c r="W28" s="668">
        <f t="shared" si="14"/>
        <v>100</v>
      </c>
      <c r="X28" s="1265"/>
      <c r="Y28" s="340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3"/>
      <c r="Q29" s="1263" t="str">
        <f t="shared" si="11"/>
        <v>成新率</v>
      </c>
      <c r="R29" s="667" t="s">
        <v>14</v>
      </c>
      <c r="S29" s="668" t="e">
        <f t="shared" si="12"/>
        <v>#N/A</v>
      </c>
      <c r="T29" s="667" t="s">
        <v>14</v>
      </c>
      <c r="U29" s="668" t="e">
        <f t="shared" si="13"/>
        <v>#N/A</v>
      </c>
      <c r="V29" s="667" t="s">
        <v>14</v>
      </c>
      <c r="W29" s="668" t="e">
        <f t="shared" si="14"/>
        <v>#N/A</v>
      </c>
      <c r="X29" s="1265"/>
      <c r="Y29" s="340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3"/>
      <c r="Q30" s="1263" t="str">
        <f t="shared" si="11"/>
        <v>物业等级</v>
      </c>
      <c r="R30" s="667" t="s">
        <v>14</v>
      </c>
      <c r="S30" s="668">
        <f t="shared" si="12"/>
        <v>100</v>
      </c>
      <c r="T30" s="667" t="s">
        <v>14</v>
      </c>
      <c r="U30" s="668">
        <f t="shared" si="13"/>
        <v>100</v>
      </c>
      <c r="V30" s="667" t="s">
        <v>14</v>
      </c>
      <c r="W30" s="668">
        <f t="shared" si="14"/>
        <v>100</v>
      </c>
      <c r="X30" s="1265"/>
      <c r="Y30" s="340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3"/>
      <c r="Q31" s="530" t="str">
        <f t="shared" si="11"/>
        <v>停车位面积</v>
      </c>
      <c r="R31" s="664" t="s">
        <v>14</v>
      </c>
      <c r="S31" s="665" t="e">
        <f t="shared" si="12"/>
        <v>#N/A</v>
      </c>
      <c r="T31" s="664" t="s">
        <v>14</v>
      </c>
      <c r="U31" s="665" t="e">
        <f t="shared" si="13"/>
        <v>#N/A</v>
      </c>
      <c r="V31" s="664" t="s">
        <v>14</v>
      </c>
      <c r="W31" s="665" t="e">
        <f t="shared" si="14"/>
        <v>#N/A</v>
      </c>
      <c r="X31" s="666"/>
      <c r="Y31" s="340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3" t="s">
        <v>1696</v>
      </c>
      <c r="Q32" s="1263" t="str">
        <f t="shared" si="11"/>
        <v>车位类型</v>
      </c>
      <c r="R32" s="667" t="s">
        <v>14</v>
      </c>
      <c r="S32" s="668">
        <f t="shared" si="12"/>
        <v>100</v>
      </c>
      <c r="T32" s="667" t="s">
        <v>14</v>
      </c>
      <c r="U32" s="668">
        <f t="shared" si="13"/>
        <v>100</v>
      </c>
      <c r="V32" s="667" t="s">
        <v>14</v>
      </c>
      <c r="W32" s="668">
        <f t="shared" si="14"/>
        <v>100</v>
      </c>
      <c r="X32" s="1265"/>
      <c r="Y32" s="340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3"/>
      <c r="Q33" s="1263" t="str">
        <f t="shared" si="11"/>
        <v>是否直接入户</v>
      </c>
      <c r="R33" s="667" t="s">
        <v>14</v>
      </c>
      <c r="S33" s="668">
        <f t="shared" si="12"/>
        <v>100</v>
      </c>
      <c r="T33" s="667" t="s">
        <v>14</v>
      </c>
      <c r="U33" s="668">
        <f t="shared" si="13"/>
        <v>100</v>
      </c>
      <c r="V33" s="667" t="s">
        <v>14</v>
      </c>
      <c r="W33" s="668">
        <f t="shared" si="14"/>
        <v>100</v>
      </c>
      <c r="X33" s="1265"/>
      <c r="Y33" s="340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3"/>
      <c r="Q34" s="1263">
        <f t="shared" si="11"/>
        <v>111</v>
      </c>
      <c r="R34" s="667" t="s">
        <v>14</v>
      </c>
      <c r="S34" s="668">
        <f t="shared" si="12"/>
        <v>100</v>
      </c>
      <c r="T34" s="667" t="s">
        <v>14</v>
      </c>
      <c r="U34" s="668">
        <f t="shared" si="13"/>
        <v>100</v>
      </c>
      <c r="V34" s="667" t="s">
        <v>14</v>
      </c>
      <c r="W34" s="668">
        <f t="shared" si="14"/>
        <v>100</v>
      </c>
      <c r="X34" s="1265"/>
      <c r="Y34" s="340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3"/>
      <c r="Q35" s="531">
        <f t="shared" si="11"/>
        <v>111</v>
      </c>
      <c r="R35" s="669" t="s">
        <v>14</v>
      </c>
      <c r="S35" s="670">
        <f t="shared" si="12"/>
        <v>100</v>
      </c>
      <c r="T35" s="669" t="s">
        <v>14</v>
      </c>
      <c r="U35" s="670">
        <f t="shared" si="13"/>
        <v>100</v>
      </c>
      <c r="V35" s="669" t="s">
        <v>14</v>
      </c>
      <c r="W35" s="670">
        <f t="shared" si="14"/>
        <v>100</v>
      </c>
      <c r="X35" s="671"/>
      <c r="Y35" s="340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3"/>
      <c r="Q36" s="1263">
        <f t="shared" si="11"/>
        <v>111</v>
      </c>
      <c r="R36" s="667" t="s">
        <v>14</v>
      </c>
      <c r="S36" s="668">
        <f t="shared" si="12"/>
        <v>100</v>
      </c>
      <c r="T36" s="667" t="s">
        <v>14</v>
      </c>
      <c r="U36" s="668">
        <f t="shared" si="13"/>
        <v>100</v>
      </c>
      <c r="V36" s="667" t="s">
        <v>14</v>
      </c>
      <c r="W36" s="668">
        <f t="shared" si="14"/>
        <v>100</v>
      </c>
      <c r="X36" s="1265"/>
      <c r="Y36" s="3403"/>
      <c r="Z36" s="1264">
        <f t="shared" si="15"/>
        <v>111</v>
      </c>
      <c r="AA36" s="1264">
        <f t="shared" si="3"/>
        <v>1</v>
      </c>
      <c r="AB36" s="1264">
        <f t="shared" si="4"/>
        <v>1</v>
      </c>
      <c r="AC36" s="1264">
        <f t="shared" si="5"/>
        <v>1</v>
      </c>
    </row>
    <row r="37" spans="1:29" ht="15">
      <c r="A37" s="416" t="s">
        <v>1844</v>
      </c>
      <c r="B37" s="1821" t="s">
        <v>3342</v>
      </c>
      <c r="C37" s="1081" t="s">
        <v>0</v>
      </c>
      <c r="D37" s="418"/>
      <c r="E37" s="419"/>
      <c r="F37" s="420"/>
      <c r="G37" s="421"/>
      <c r="H37" s="422"/>
      <c r="I37" s="419"/>
      <c r="J37" s="422"/>
      <c r="K37" s="545"/>
      <c r="L37" s="2495"/>
      <c r="M37" s="2488"/>
      <c r="N37" s="2488"/>
      <c r="O37" s="2488"/>
      <c r="P37" s="3405" t="str">
        <f>A37</f>
        <v>成交单价</v>
      </c>
      <c r="Q37" s="3405"/>
      <c r="R37" s="3366">
        <f>E37</f>
        <v>0</v>
      </c>
      <c r="S37" s="3366"/>
      <c r="T37" s="3366">
        <f>G37</f>
        <v>0</v>
      </c>
      <c r="U37" s="3366"/>
      <c r="V37" s="3366">
        <f>I37</f>
        <v>0</v>
      </c>
      <c r="W37" s="336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05" t="str">
        <f>A38</f>
        <v>比较价值（元/平方米）</v>
      </c>
      <c r="Q38" s="3405"/>
      <c r="R38" s="3366" t="e">
        <f>IF(F1="售价",ROUND(PRODUCT(R37,AA7:AA36),0),ROUND(PRODUCT(R37,AA7:AA36),1))</f>
        <v>#DIV/0!</v>
      </c>
      <c r="S38" s="3366"/>
      <c r="T38" s="3366" t="e">
        <f>IF(F1="售价",ROUND(PRODUCT(T37,AB7:AB36),0),ROUND(PRODUCT(T37,AB7:AB36),1))</f>
        <v>#DIV/0!</v>
      </c>
      <c r="U38" s="3366"/>
      <c r="V38" s="3366" t="e">
        <f>IF(F1="售价",ROUND(PRODUCT(V37,AC7:AC36),0),ROUND(PRODUCT(V37,AC7:AC36),1))</f>
        <v>#DIV/0!</v>
      </c>
      <c r="W38" s="336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6" t="str">
        <f>A39</f>
        <v>估价对象XX用房的比较价值（楼面单价，元/平方米）</v>
      </c>
      <c r="Q39" s="3407"/>
      <c r="R39" s="3471" t="e">
        <f>IF(F1="售价",ROUND(IF(D38="简单平均",AVERAGE(R38:W38),R38*F38+T38*H38+V38*J38),0),ROUND(IF(D38="简单平均",AVERAGE(R38:V38),R38*F38+T38*H38+V38*J38),1))</f>
        <v>#DIV/0!</v>
      </c>
      <c r="S39" s="3471"/>
      <c r="T39" s="3471"/>
      <c r="U39" s="3471"/>
      <c r="V39" s="3471"/>
      <c r="W39" s="347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2025-9</v>
      </c>
      <c r="D48" s="1104">
        <f>EDATE(C48,-1)</f>
        <v>45870</v>
      </c>
      <c r="E48" s="1104">
        <f t="shared" ref="E48:O48" si="16">EDATE(D48,-1)</f>
        <v>45839</v>
      </c>
      <c r="F48" s="1104">
        <f t="shared" si="16"/>
        <v>45809</v>
      </c>
      <c r="G48" s="1104">
        <f t="shared" si="16"/>
        <v>45778</v>
      </c>
      <c r="H48" s="1104">
        <f t="shared" si="16"/>
        <v>45748</v>
      </c>
      <c r="I48" s="1104">
        <f t="shared" si="16"/>
        <v>45717</v>
      </c>
      <c r="J48" s="1104">
        <f t="shared" si="16"/>
        <v>45689</v>
      </c>
      <c r="K48" s="1104">
        <f t="shared" si="16"/>
        <v>45658</v>
      </c>
      <c r="L48" s="1104">
        <f t="shared" si="16"/>
        <v>45627</v>
      </c>
      <c r="M48" s="1104">
        <f t="shared" si="16"/>
        <v>45597</v>
      </c>
      <c r="N48" s="1104">
        <f t="shared" si="16"/>
        <v>45566</v>
      </c>
      <c r="O48" s="1104">
        <f t="shared" si="16"/>
        <v>45536</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69" t="s">
        <v>1771</v>
      </c>
      <c r="S4" s="3370"/>
      <c r="T4" s="3369" t="s">
        <v>1772</v>
      </c>
      <c r="U4" s="3370"/>
      <c r="V4" s="3366" t="s">
        <v>1773</v>
      </c>
      <c r="W4" s="3366"/>
      <c r="X4" s="1265"/>
      <c r="Y4" s="3369" t="s">
        <v>1775</v>
      </c>
      <c r="Z4" s="3370"/>
      <c r="AA4" s="3363" t="s">
        <v>1771</v>
      </c>
      <c r="AB4" s="3364" t="s">
        <v>1772</v>
      </c>
      <c r="AC4" s="3363" t="s">
        <v>1773</v>
      </c>
    </row>
    <row r="5" spans="1:29" ht="15">
      <c r="A5" s="348"/>
      <c r="B5" s="349"/>
      <c r="C5" s="3375" t="s">
        <v>1673</v>
      </c>
      <c r="D5" s="3376"/>
      <c r="E5" s="3454" t="s">
        <v>1674</v>
      </c>
      <c r="F5" s="3374"/>
      <c r="G5" s="3375" t="s">
        <v>1675</v>
      </c>
      <c r="H5" s="3376"/>
      <c r="I5" s="3375" t="s">
        <v>1676</v>
      </c>
      <c r="J5" s="3376"/>
      <c r="K5" s="537"/>
      <c r="L5" s="2487"/>
      <c r="M5" s="2488"/>
      <c r="N5" s="2488"/>
      <c r="O5" s="2488"/>
      <c r="P5" s="3389"/>
      <c r="Q5" s="3390"/>
      <c r="R5" s="3371"/>
      <c r="S5" s="3372"/>
      <c r="T5" s="3371"/>
      <c r="U5" s="3372"/>
      <c r="V5" s="3366"/>
      <c r="W5" s="3366"/>
      <c r="X5" s="1265"/>
      <c r="Y5" s="3371"/>
      <c r="Z5" s="3372"/>
      <c r="AA5" s="3364"/>
      <c r="AB5" s="3364"/>
      <c r="AC5" s="3364"/>
    </row>
    <row r="6" spans="1:29" ht="15.75" thickBot="1">
      <c r="A6" s="350"/>
      <c r="B6" s="351"/>
      <c r="C6" s="3377" t="s">
        <v>1677</v>
      </c>
      <c r="D6" s="3378"/>
      <c r="E6" s="3380" t="s">
        <v>1677</v>
      </c>
      <c r="F6" s="3381"/>
      <c r="G6" s="3377" t="s">
        <v>1677</v>
      </c>
      <c r="H6" s="3378"/>
      <c r="I6" s="3377" t="s">
        <v>1677</v>
      </c>
      <c r="J6" s="3378"/>
      <c r="K6" s="537" t="s">
        <v>1678</v>
      </c>
      <c r="L6" s="2487"/>
      <c r="M6" s="2488"/>
      <c r="N6" s="2488"/>
      <c r="O6" s="2488"/>
      <c r="P6" s="3391"/>
      <c r="Q6" s="3392"/>
      <c r="R6" s="3371"/>
      <c r="S6" s="3372"/>
      <c r="T6" s="3393"/>
      <c r="U6" s="3394"/>
      <c r="V6" s="3366"/>
      <c r="W6" s="3366"/>
      <c r="X6" s="1265"/>
      <c r="Y6" s="3393"/>
      <c r="Z6" s="3394"/>
      <c r="AA6" s="3365"/>
      <c r="AB6" s="3365"/>
      <c r="AC6" s="3365"/>
    </row>
    <row r="7" spans="1:29" s="102" customFormat="1" ht="15.75" thickBot="1">
      <c r="A7" s="352" t="s">
        <v>1679</v>
      </c>
      <c r="B7" s="353"/>
      <c r="C7" s="354">
        <f>'数据-取费表'!B2</f>
        <v>45917</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67" t="s">
        <v>1680</v>
      </c>
      <c r="Q7" s="3395"/>
      <c r="R7" s="664" t="s">
        <v>14</v>
      </c>
      <c r="S7" s="665">
        <f t="shared" ref="S7:S14" si="0">F7</f>
        <v>0</v>
      </c>
      <c r="T7" s="664" t="s">
        <v>14</v>
      </c>
      <c r="U7" s="665">
        <f t="shared" ref="U7:U14" si="1">H7</f>
        <v>0</v>
      </c>
      <c r="V7" s="664" t="s">
        <v>14</v>
      </c>
      <c r="W7" s="665">
        <f t="shared" ref="W7:W14" si="2">J7</f>
        <v>0</v>
      </c>
      <c r="X7" s="666"/>
      <c r="Y7" s="3367" t="s">
        <v>1680</v>
      </c>
      <c r="Z7" s="336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67" t="s">
        <v>1683</v>
      </c>
      <c r="Q8" s="3368"/>
      <c r="R8" s="664" t="s">
        <v>14</v>
      </c>
      <c r="S8" s="665">
        <f t="shared" si="0"/>
        <v>100</v>
      </c>
      <c r="T8" s="664" t="s">
        <v>14</v>
      </c>
      <c r="U8" s="665">
        <f t="shared" si="1"/>
        <v>100</v>
      </c>
      <c r="V8" s="664" t="s">
        <v>14</v>
      </c>
      <c r="W8" s="665">
        <f t="shared" si="2"/>
        <v>100</v>
      </c>
      <c r="X8" s="666"/>
      <c r="Y8" s="3367" t="s">
        <v>1683</v>
      </c>
      <c r="Z8" s="336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5"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5"/>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5"/>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5"/>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5"/>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8" t="s">
        <v>1691</v>
      </c>
      <c r="Q14" s="1263" t="str">
        <f t="shared" si="6"/>
        <v>交通便捷度</v>
      </c>
      <c r="R14" s="667" t="s">
        <v>14</v>
      </c>
      <c r="S14" s="668">
        <f t="shared" si="0"/>
        <v>100</v>
      </c>
      <c r="T14" s="667" t="s">
        <v>14</v>
      </c>
      <c r="U14" s="668">
        <f t="shared" si="1"/>
        <v>100</v>
      </c>
      <c r="V14" s="667" t="s">
        <v>14</v>
      </c>
      <c r="W14" s="668">
        <f t="shared" si="2"/>
        <v>100</v>
      </c>
      <c r="X14" s="1265"/>
      <c r="Y14" s="339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9"/>
      <c r="Q15" s="1263"/>
      <c r="R15" s="667"/>
      <c r="S15" s="668"/>
      <c r="T15" s="667"/>
      <c r="U15" s="668"/>
      <c r="V15" s="667"/>
      <c r="W15" s="668"/>
      <c r="X15" s="1265"/>
      <c r="Y15" s="3399"/>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9"/>
      <c r="Q16" s="1263" t="str">
        <f>B16</f>
        <v>公共配套设施</v>
      </c>
      <c r="R16" s="667" t="s">
        <v>14</v>
      </c>
      <c r="S16" s="668">
        <f>F16</f>
        <v>100</v>
      </c>
      <c r="T16" s="667" t="s">
        <v>14</v>
      </c>
      <c r="U16" s="668">
        <f>H16</f>
        <v>100</v>
      </c>
      <c r="V16" s="667" t="s">
        <v>14</v>
      </c>
      <c r="W16" s="668">
        <f>J16</f>
        <v>100</v>
      </c>
      <c r="X16" s="1265"/>
      <c r="Y16" s="339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9"/>
      <c r="Q17" s="1263"/>
      <c r="R17" s="667"/>
      <c r="S17" s="668"/>
      <c r="T17" s="667"/>
      <c r="U17" s="668"/>
      <c r="V17" s="667"/>
      <c r="W17" s="668"/>
      <c r="X17" s="1265"/>
      <c r="Y17" s="3399"/>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9"/>
      <c r="Q18" s="1263" t="str">
        <f>B18</f>
        <v>基础设施水平</v>
      </c>
      <c r="R18" s="667" t="s">
        <v>14</v>
      </c>
      <c r="S18" s="668">
        <f>F18</f>
        <v>100</v>
      </c>
      <c r="T18" s="667" t="s">
        <v>14</v>
      </c>
      <c r="U18" s="668">
        <f>H18</f>
        <v>100</v>
      </c>
      <c r="V18" s="667" t="s">
        <v>14</v>
      </c>
      <c r="W18" s="668">
        <f>J18</f>
        <v>100</v>
      </c>
      <c r="X18" s="1265"/>
      <c r="Y18" s="339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9"/>
      <c r="Q19" s="1263"/>
      <c r="R19" s="667"/>
      <c r="S19" s="668"/>
      <c r="T19" s="667"/>
      <c r="U19" s="668"/>
      <c r="V19" s="667"/>
      <c r="W19" s="668"/>
      <c r="X19" s="1265"/>
      <c r="Y19" s="3399"/>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9"/>
      <c r="Q20" s="1263" t="str">
        <f>B20</f>
        <v>自然及人文环境</v>
      </c>
      <c r="R20" s="667" t="s">
        <v>14</v>
      </c>
      <c r="S20" s="668">
        <f>F20</f>
        <v>100</v>
      </c>
      <c r="T20" s="667" t="s">
        <v>14</v>
      </c>
      <c r="U20" s="668">
        <f>H20</f>
        <v>100</v>
      </c>
      <c r="V20" s="667" t="s">
        <v>14</v>
      </c>
      <c r="W20" s="668">
        <f>J20</f>
        <v>100</v>
      </c>
      <c r="X20" s="1265"/>
      <c r="Y20" s="339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9"/>
      <c r="Q21" s="1263"/>
      <c r="R21" s="667"/>
      <c r="S21" s="668"/>
      <c r="T21" s="667"/>
      <c r="U21" s="668"/>
      <c r="V21" s="667"/>
      <c r="W21" s="668"/>
      <c r="X21" s="1265"/>
      <c r="Y21" s="339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9"/>
      <c r="Q22" s="1263" t="str">
        <f>B22</f>
        <v>楼层</v>
      </c>
      <c r="R22" s="667" t="s">
        <v>14</v>
      </c>
      <c r="S22" s="668">
        <f>F22</f>
        <v>100</v>
      </c>
      <c r="T22" s="667" t="s">
        <v>14</v>
      </c>
      <c r="U22" s="668">
        <f>H22</f>
        <v>100</v>
      </c>
      <c r="V22" s="667" t="s">
        <v>14</v>
      </c>
      <c r="W22" s="668">
        <f>J22</f>
        <v>100</v>
      </c>
      <c r="X22" s="1265"/>
      <c r="Y22" s="339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9"/>
      <c r="Q23" s="1263">
        <f>B23</f>
        <v>111</v>
      </c>
      <c r="R23" s="667" t="s">
        <v>14</v>
      </c>
      <c r="S23" s="668">
        <f>F23</f>
        <v>100</v>
      </c>
      <c r="T23" s="667" t="s">
        <v>14</v>
      </c>
      <c r="U23" s="668">
        <f>H23</f>
        <v>100</v>
      </c>
      <c r="V23" s="667" t="s">
        <v>14</v>
      </c>
      <c r="W23" s="668">
        <f>J23</f>
        <v>100</v>
      </c>
      <c r="X23" s="1265"/>
      <c r="Y23" s="339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9"/>
      <c r="Q24" s="1263">
        <f t="shared" ref="Q24:Q34" si="11">B24</f>
        <v>111</v>
      </c>
      <c r="R24" s="667" t="s">
        <v>14</v>
      </c>
      <c r="S24" s="668">
        <f>F24</f>
        <v>100</v>
      </c>
      <c r="T24" s="667" t="s">
        <v>14</v>
      </c>
      <c r="U24" s="668">
        <f>H24</f>
        <v>100</v>
      </c>
      <c r="V24" s="667" t="s">
        <v>14</v>
      </c>
      <c r="W24" s="668">
        <f>J24</f>
        <v>100</v>
      </c>
      <c r="X24" s="1265"/>
      <c r="Y24" s="339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9"/>
      <c r="Q25" s="530">
        <f t="shared" si="11"/>
        <v>111</v>
      </c>
      <c r="R25" s="664" t="s">
        <v>14</v>
      </c>
      <c r="S25" s="665">
        <f>F25</f>
        <v>100</v>
      </c>
      <c r="T25" s="664" t="s">
        <v>14</v>
      </c>
      <c r="U25" s="665">
        <f>H25</f>
        <v>100</v>
      </c>
      <c r="V25" s="664" t="s">
        <v>14</v>
      </c>
      <c r="W25" s="665">
        <f>J25</f>
        <v>100</v>
      </c>
      <c r="X25" s="666"/>
      <c r="Y25" s="339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7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3"/>
      <c r="Q27" s="531" t="str">
        <f t="shared" si="11"/>
        <v>成新率</v>
      </c>
      <c r="R27" s="669" t="s">
        <v>14</v>
      </c>
      <c r="S27" s="670" t="e">
        <f t="shared" si="12"/>
        <v>#N/A</v>
      </c>
      <c r="T27" s="669" t="s">
        <v>14</v>
      </c>
      <c r="U27" s="670" t="e">
        <f t="shared" si="13"/>
        <v>#N/A</v>
      </c>
      <c r="V27" s="669" t="s">
        <v>14</v>
      </c>
      <c r="W27" s="670" t="e">
        <f t="shared" si="14"/>
        <v>#N/A</v>
      </c>
      <c r="X27" s="671"/>
      <c r="Y27" s="340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3"/>
      <c r="Q28" s="1263" t="str">
        <f t="shared" si="11"/>
        <v>物业等级</v>
      </c>
      <c r="R28" s="667" t="s">
        <v>14</v>
      </c>
      <c r="S28" s="668">
        <f t="shared" si="12"/>
        <v>100</v>
      </c>
      <c r="T28" s="667" t="s">
        <v>14</v>
      </c>
      <c r="U28" s="668">
        <f t="shared" si="13"/>
        <v>100</v>
      </c>
      <c r="V28" s="667" t="s">
        <v>14</v>
      </c>
      <c r="W28" s="668">
        <f t="shared" si="14"/>
        <v>100</v>
      </c>
      <c r="X28" s="1265"/>
      <c r="Y28" s="340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3"/>
      <c r="Q29" s="1263" t="str">
        <f t="shared" si="11"/>
        <v>有无电梯</v>
      </c>
      <c r="R29" s="667" t="s">
        <v>14</v>
      </c>
      <c r="S29" s="668">
        <f t="shared" si="12"/>
        <v>100</v>
      </c>
      <c r="T29" s="667" t="s">
        <v>14</v>
      </c>
      <c r="U29" s="668">
        <f t="shared" si="13"/>
        <v>100</v>
      </c>
      <c r="V29" s="667" t="s">
        <v>14</v>
      </c>
      <c r="W29" s="668">
        <f t="shared" si="14"/>
        <v>100</v>
      </c>
      <c r="X29" s="1265"/>
      <c r="Y29" s="340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3"/>
      <c r="Q30" s="1263" t="str">
        <f t="shared" si="11"/>
        <v>建筑面积</v>
      </c>
      <c r="R30" s="667" t="s">
        <v>14</v>
      </c>
      <c r="S30" s="668" t="e">
        <f t="shared" si="12"/>
        <v>#N/A</v>
      </c>
      <c r="T30" s="667" t="s">
        <v>14</v>
      </c>
      <c r="U30" s="668" t="e">
        <f t="shared" si="13"/>
        <v>#N/A</v>
      </c>
      <c r="V30" s="667" t="s">
        <v>14</v>
      </c>
      <c r="W30" s="668" t="e">
        <f t="shared" si="14"/>
        <v>#N/A</v>
      </c>
      <c r="X30" s="1265"/>
      <c r="Y30" s="340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3"/>
      <c r="Q31" s="530" t="str">
        <f t="shared" si="11"/>
        <v>是否封闭</v>
      </c>
      <c r="R31" s="664" t="s">
        <v>14</v>
      </c>
      <c r="S31" s="665">
        <f t="shared" si="12"/>
        <v>100</v>
      </c>
      <c r="T31" s="664" t="s">
        <v>14</v>
      </c>
      <c r="U31" s="665">
        <f t="shared" si="13"/>
        <v>100</v>
      </c>
      <c r="V31" s="664" t="s">
        <v>14</v>
      </c>
      <c r="W31" s="665">
        <f t="shared" si="14"/>
        <v>100</v>
      </c>
      <c r="X31" s="666"/>
      <c r="Y31" s="340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3" t="s">
        <v>1696</v>
      </c>
      <c r="Q32" s="1263">
        <f t="shared" si="11"/>
        <v>111</v>
      </c>
      <c r="R32" s="667" t="s">
        <v>14</v>
      </c>
      <c r="S32" s="668">
        <f t="shared" si="12"/>
        <v>100</v>
      </c>
      <c r="T32" s="667" t="s">
        <v>14</v>
      </c>
      <c r="U32" s="668">
        <f t="shared" si="13"/>
        <v>100</v>
      </c>
      <c r="V32" s="667" t="s">
        <v>14</v>
      </c>
      <c r="W32" s="668">
        <f t="shared" si="14"/>
        <v>100</v>
      </c>
      <c r="X32" s="1265"/>
      <c r="Y32" s="340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3"/>
      <c r="Q33" s="1263">
        <f t="shared" si="11"/>
        <v>111</v>
      </c>
      <c r="R33" s="667" t="s">
        <v>14</v>
      </c>
      <c r="S33" s="668">
        <f t="shared" si="12"/>
        <v>100</v>
      </c>
      <c r="T33" s="667" t="s">
        <v>14</v>
      </c>
      <c r="U33" s="668">
        <f t="shared" si="13"/>
        <v>100</v>
      </c>
      <c r="V33" s="667" t="s">
        <v>14</v>
      </c>
      <c r="W33" s="668">
        <f t="shared" si="14"/>
        <v>100</v>
      </c>
      <c r="X33" s="1265"/>
      <c r="Y33" s="340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3"/>
      <c r="Q34" s="1263">
        <f t="shared" si="11"/>
        <v>111</v>
      </c>
      <c r="R34" s="667" t="s">
        <v>14</v>
      </c>
      <c r="S34" s="668">
        <f t="shared" si="12"/>
        <v>100</v>
      </c>
      <c r="T34" s="667" t="s">
        <v>14</v>
      </c>
      <c r="U34" s="668">
        <f t="shared" si="13"/>
        <v>100</v>
      </c>
      <c r="V34" s="667" t="s">
        <v>14</v>
      </c>
      <c r="W34" s="668">
        <f t="shared" si="14"/>
        <v>100</v>
      </c>
      <c r="X34" s="1265"/>
      <c r="Y34" s="340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5" t="str">
        <f>A35</f>
        <v>成交单价（元/平方米）</v>
      </c>
      <c r="Q35" s="3405"/>
      <c r="R35" s="3366">
        <f>E35</f>
        <v>0</v>
      </c>
      <c r="S35" s="3366"/>
      <c r="T35" s="3366">
        <f>G35</f>
        <v>0</v>
      </c>
      <c r="U35" s="3366"/>
      <c r="V35" s="3366">
        <f>I35</f>
        <v>0</v>
      </c>
      <c r="W35" s="336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05" t="str">
        <f>A36</f>
        <v>比较价值（元/平方米）</v>
      </c>
      <c r="Q36" s="3405"/>
      <c r="R36" s="3366" t="e">
        <f>IF(F1="售价",ROUND(PRODUCT(R35,AA7:AA34),0),ROUND(PRODUCT(R35,AA7:AA34),1))</f>
        <v>#DIV/0!</v>
      </c>
      <c r="S36" s="3366"/>
      <c r="T36" s="3366" t="e">
        <f>IF(F1="售价",ROUND(PRODUCT(T35,AB7:AB34),0),ROUND(PRODUCT(T35,AB7:AB34),1))</f>
        <v>#DIV/0!</v>
      </c>
      <c r="U36" s="3366"/>
      <c r="V36" s="3366" t="e">
        <f>IF(F1="售价",ROUND(PRODUCT(V35,AC7:AC34),0),ROUND(PRODUCT(V35,AC7:AC34),1))</f>
        <v>#DIV/0!</v>
      </c>
      <c r="W36" s="336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6" t="str">
        <f>A37</f>
        <v>估价对象XX用房的比较价值（楼面单价，元/平方米）</v>
      </c>
      <c r="Q37" s="3407"/>
      <c r="R37" s="3471" t="e">
        <f>IF(F1="售价",ROUND(IF(D36="简单平均",AVERAGE(R36:W36),R36*F36+T36*H36+V36*J36),0),ROUND(IF(D36="简单平均",AVERAGE(R36:V36),R36*F36+T36*H36+V36*J36),1))</f>
        <v>#DIV/0!</v>
      </c>
      <c r="S37" s="3471"/>
      <c r="T37" s="3471"/>
      <c r="U37" s="3471"/>
      <c r="V37" s="3471"/>
      <c r="W37" s="347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2025-9</v>
      </c>
      <c r="D46" s="1104">
        <f>EDATE(C46,-1)</f>
        <v>45870</v>
      </c>
      <c r="E46" s="1104">
        <f t="shared" ref="E46:O46" si="16">EDATE(D46,-1)</f>
        <v>45839</v>
      </c>
      <c r="F46" s="1104">
        <f t="shared" si="16"/>
        <v>45809</v>
      </c>
      <c r="G46" s="1104">
        <f t="shared" si="16"/>
        <v>45778</v>
      </c>
      <c r="H46" s="1104">
        <f t="shared" si="16"/>
        <v>45748</v>
      </c>
      <c r="I46" s="1104">
        <f t="shared" si="16"/>
        <v>45717</v>
      </c>
      <c r="J46" s="1104">
        <f t="shared" si="16"/>
        <v>45689</v>
      </c>
      <c r="K46" s="1104">
        <f t="shared" si="16"/>
        <v>45658</v>
      </c>
      <c r="L46" s="1104">
        <f t="shared" si="16"/>
        <v>45627</v>
      </c>
      <c r="M46" s="1104">
        <f t="shared" si="16"/>
        <v>45597</v>
      </c>
      <c r="N46" s="1104">
        <f t="shared" si="16"/>
        <v>45566</v>
      </c>
      <c r="O46" s="1104">
        <f t="shared" si="16"/>
        <v>45536</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69" t="s">
        <v>1771</v>
      </c>
      <c r="S4" s="3370"/>
      <c r="T4" s="3369" t="s">
        <v>1772</v>
      </c>
      <c r="U4" s="3370"/>
      <c r="V4" s="3366" t="s">
        <v>1773</v>
      </c>
      <c r="W4" s="3366"/>
      <c r="X4" s="1265"/>
      <c r="Y4" s="3369" t="s">
        <v>1775</v>
      </c>
      <c r="Z4" s="3370"/>
      <c r="AA4" s="3363" t="s">
        <v>1771</v>
      </c>
      <c r="AB4" s="3364" t="s">
        <v>1772</v>
      </c>
      <c r="AC4" s="3363" t="s">
        <v>1773</v>
      </c>
    </row>
    <row r="5" spans="1:29" ht="15">
      <c r="A5" s="348"/>
      <c r="B5" s="349"/>
      <c r="C5" s="3375" t="s">
        <v>1673</v>
      </c>
      <c r="D5" s="3376"/>
      <c r="E5" s="3454" t="s">
        <v>1674</v>
      </c>
      <c r="F5" s="3374"/>
      <c r="G5" s="3375" t="s">
        <v>1675</v>
      </c>
      <c r="H5" s="3376"/>
      <c r="I5" s="3375" t="s">
        <v>1676</v>
      </c>
      <c r="J5" s="3376"/>
      <c r="K5" s="537"/>
      <c r="L5" s="2487"/>
      <c r="M5" s="2488"/>
      <c r="N5" s="2488"/>
      <c r="O5" s="2488"/>
      <c r="P5" s="3389"/>
      <c r="Q5" s="3390"/>
      <c r="R5" s="3371"/>
      <c r="S5" s="3372"/>
      <c r="T5" s="3371"/>
      <c r="U5" s="3372"/>
      <c r="V5" s="3366"/>
      <c r="W5" s="3366"/>
      <c r="X5" s="1265"/>
      <c r="Y5" s="3371"/>
      <c r="Z5" s="3372"/>
      <c r="AA5" s="3364"/>
      <c r="AB5" s="3364"/>
      <c r="AC5" s="3364"/>
    </row>
    <row r="6" spans="1:29" ht="15.75" thickBot="1">
      <c r="A6" s="350"/>
      <c r="B6" s="351"/>
      <c r="C6" s="3377" t="s">
        <v>1677</v>
      </c>
      <c r="D6" s="3378"/>
      <c r="E6" s="3380" t="s">
        <v>1677</v>
      </c>
      <c r="F6" s="3381"/>
      <c r="G6" s="3377" t="s">
        <v>1677</v>
      </c>
      <c r="H6" s="3378"/>
      <c r="I6" s="3377" t="s">
        <v>1677</v>
      </c>
      <c r="J6" s="3378"/>
      <c r="K6" s="537" t="s">
        <v>1678</v>
      </c>
      <c r="L6" s="2487"/>
      <c r="M6" s="2488"/>
      <c r="N6" s="2488"/>
      <c r="O6" s="2488"/>
      <c r="P6" s="3391"/>
      <c r="Q6" s="3392"/>
      <c r="R6" s="3371"/>
      <c r="S6" s="3372"/>
      <c r="T6" s="3393"/>
      <c r="U6" s="3394"/>
      <c r="V6" s="3366"/>
      <c r="W6" s="3366"/>
      <c r="X6" s="1265"/>
      <c r="Y6" s="3393"/>
      <c r="Z6" s="3394"/>
      <c r="AA6" s="3365"/>
      <c r="AB6" s="3365"/>
      <c r="AC6" s="3365"/>
    </row>
    <row r="7" spans="1:29" s="102" customFormat="1" ht="15.75" thickBot="1">
      <c r="A7" s="352" t="s">
        <v>1679</v>
      </c>
      <c r="B7" s="353"/>
      <c r="C7" s="354">
        <f>'数据-取费表'!B2</f>
        <v>45917</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67" t="s">
        <v>1680</v>
      </c>
      <c r="Q7" s="3395"/>
      <c r="R7" s="664" t="s">
        <v>14</v>
      </c>
      <c r="S7" s="665">
        <f t="shared" ref="S7:S15" si="0">F7</f>
        <v>0</v>
      </c>
      <c r="T7" s="664" t="s">
        <v>14</v>
      </c>
      <c r="U7" s="665">
        <f t="shared" ref="U7:U15" si="1">H7</f>
        <v>0</v>
      </c>
      <c r="V7" s="664" t="s">
        <v>14</v>
      </c>
      <c r="W7" s="665">
        <f t="shared" ref="W7:W15" si="2">J7</f>
        <v>0</v>
      </c>
      <c r="X7" s="666"/>
      <c r="Y7" s="3367" t="s">
        <v>1680</v>
      </c>
      <c r="Z7" s="336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67" t="s">
        <v>1683</v>
      </c>
      <c r="Q8" s="3368"/>
      <c r="R8" s="664" t="s">
        <v>14</v>
      </c>
      <c r="S8" s="665">
        <f t="shared" si="0"/>
        <v>0</v>
      </c>
      <c r="T8" s="664" t="s">
        <v>14</v>
      </c>
      <c r="U8" s="665">
        <f t="shared" si="1"/>
        <v>0</v>
      </c>
      <c r="V8" s="664" t="s">
        <v>14</v>
      </c>
      <c r="W8" s="665">
        <f t="shared" si="2"/>
        <v>0</v>
      </c>
      <c r="X8" s="666"/>
      <c r="Y8" s="3367" t="s">
        <v>1683</v>
      </c>
      <c r="Z8" s="336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5"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176</v>
      </c>
      <c r="G10" s="402"/>
      <c r="H10" s="119">
        <f>ROUND(100/'数据-取费表'!G16,0)</f>
        <v>176</v>
      </c>
      <c r="I10" s="402"/>
      <c r="J10" s="119">
        <f>ROUND(100/'数据-取费表'!G16,0)</f>
        <v>176</v>
      </c>
      <c r="K10" s="592"/>
      <c r="L10" s="2490"/>
      <c r="M10" s="2491"/>
      <c r="N10" s="2491"/>
      <c r="O10" s="2542"/>
      <c r="P10" s="3405"/>
      <c r="Q10" s="530" t="str">
        <f t="shared" si="6"/>
        <v>土地使用年限（年）</v>
      </c>
      <c r="R10" s="664" t="s">
        <v>14</v>
      </c>
      <c r="S10" s="665">
        <f t="shared" si="0"/>
        <v>176</v>
      </c>
      <c r="T10" s="664" t="s">
        <v>14</v>
      </c>
      <c r="U10" s="665">
        <f t="shared" si="1"/>
        <v>176</v>
      </c>
      <c r="V10" s="664" t="s">
        <v>14</v>
      </c>
      <c r="W10" s="665">
        <f t="shared" si="2"/>
        <v>176</v>
      </c>
      <c r="X10" s="666"/>
      <c r="Y10" s="3336"/>
      <c r="Z10" s="50" t="str">
        <f t="shared" si="7"/>
        <v>土地使用年限（年）</v>
      </c>
      <c r="AA10" s="50">
        <f t="shared" si="3"/>
        <v>0.56818181818181823</v>
      </c>
      <c r="AB10" s="50">
        <f t="shared" si="4"/>
        <v>0.56818181818181823</v>
      </c>
      <c r="AC10" s="50">
        <f t="shared" si="5"/>
        <v>0.56818181818181823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5"/>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5"/>
      <c r="Q12" s="530" t="str">
        <f t="shared" si="6"/>
        <v>配建</v>
      </c>
      <c r="R12" s="664" t="s">
        <v>14</v>
      </c>
      <c r="S12" s="665">
        <f t="shared" si="0"/>
        <v>100</v>
      </c>
      <c r="T12" s="664" t="s">
        <v>14</v>
      </c>
      <c r="U12" s="665">
        <f t="shared" si="1"/>
        <v>100</v>
      </c>
      <c r="V12" s="664" t="s">
        <v>14</v>
      </c>
      <c r="W12" s="665">
        <f t="shared" si="2"/>
        <v>100</v>
      </c>
      <c r="X12" s="666"/>
      <c r="Y12" s="333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5"/>
      <c r="Q13" s="530">
        <f t="shared" si="6"/>
        <v>111</v>
      </c>
      <c r="R13" s="664" t="s">
        <v>14</v>
      </c>
      <c r="S13" s="665">
        <f t="shared" si="0"/>
        <v>100</v>
      </c>
      <c r="T13" s="664" t="s">
        <v>14</v>
      </c>
      <c r="U13" s="665">
        <f t="shared" si="1"/>
        <v>100</v>
      </c>
      <c r="V13" s="664" t="s">
        <v>14</v>
      </c>
      <c r="W13" s="665">
        <f t="shared" si="2"/>
        <v>100</v>
      </c>
      <c r="X13" s="666"/>
      <c r="Y13" s="333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5"/>
      <c r="Q14" s="530">
        <f t="shared" si="6"/>
        <v>111</v>
      </c>
      <c r="R14" s="664" t="s">
        <v>14</v>
      </c>
      <c r="S14" s="665">
        <f t="shared" si="0"/>
        <v>100</v>
      </c>
      <c r="T14" s="664" t="s">
        <v>14</v>
      </c>
      <c r="U14" s="665">
        <f t="shared" si="1"/>
        <v>100</v>
      </c>
      <c r="V14" s="664" t="s">
        <v>14</v>
      </c>
      <c r="W14" s="665">
        <f t="shared" si="2"/>
        <v>100</v>
      </c>
      <c r="X14" s="666"/>
      <c r="Y14" s="3336"/>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8" t="s">
        <v>1691</v>
      </c>
      <c r="Q15" s="1263" t="str">
        <f t="shared" si="6"/>
        <v>居住社区成熟度</v>
      </c>
      <c r="R15" s="667" t="s">
        <v>14</v>
      </c>
      <c r="S15" s="668">
        <f t="shared" si="0"/>
        <v>100</v>
      </c>
      <c r="T15" s="667" t="s">
        <v>14</v>
      </c>
      <c r="U15" s="668">
        <f t="shared" si="1"/>
        <v>100</v>
      </c>
      <c r="V15" s="667" t="s">
        <v>14</v>
      </c>
      <c r="W15" s="668">
        <f t="shared" si="2"/>
        <v>100</v>
      </c>
      <c r="X15" s="1265"/>
      <c r="Y15" s="339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9"/>
      <c r="Q16" s="1263"/>
      <c r="R16" s="667"/>
      <c r="S16" s="668"/>
      <c r="T16" s="667"/>
      <c r="U16" s="668"/>
      <c r="V16" s="667"/>
      <c r="W16" s="668"/>
      <c r="X16" s="1265"/>
      <c r="Y16" s="3399"/>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9"/>
      <c r="Q17" s="1263" t="str">
        <f>B17</f>
        <v>商业繁华度</v>
      </c>
      <c r="R17" s="667" t="s">
        <v>14</v>
      </c>
      <c r="S17" s="668">
        <f>F17</f>
        <v>100</v>
      </c>
      <c r="T17" s="667" t="s">
        <v>14</v>
      </c>
      <c r="U17" s="668">
        <f>H17</f>
        <v>100</v>
      </c>
      <c r="V17" s="667" t="s">
        <v>14</v>
      </c>
      <c r="W17" s="668">
        <f>J17</f>
        <v>100</v>
      </c>
      <c r="X17" s="1265"/>
      <c r="Y17" s="339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9"/>
      <c r="Q18" s="1263"/>
      <c r="R18" s="667"/>
      <c r="S18" s="668"/>
      <c r="T18" s="667"/>
      <c r="U18" s="668"/>
      <c r="V18" s="667"/>
      <c r="W18" s="668"/>
      <c r="X18" s="1265"/>
      <c r="Y18" s="3399"/>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9"/>
      <c r="Q19" s="1263" t="str">
        <f>B19</f>
        <v>办公集聚程度</v>
      </c>
      <c r="R19" s="667" t="s">
        <v>14</v>
      </c>
      <c r="S19" s="668">
        <f>F19</f>
        <v>100</v>
      </c>
      <c r="T19" s="667" t="s">
        <v>14</v>
      </c>
      <c r="U19" s="668">
        <f>H19</f>
        <v>100</v>
      </c>
      <c r="V19" s="667" t="s">
        <v>14</v>
      </c>
      <c r="W19" s="668">
        <f>J19</f>
        <v>100</v>
      </c>
      <c r="X19" s="1265"/>
      <c r="Y19" s="339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9"/>
      <c r="Q20" s="1263"/>
      <c r="R20" s="667"/>
      <c r="S20" s="668"/>
      <c r="T20" s="667"/>
      <c r="U20" s="668"/>
      <c r="V20" s="667"/>
      <c r="W20" s="668"/>
      <c r="X20" s="1265"/>
      <c r="Y20" s="3399"/>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9"/>
      <c r="Q21" s="1263" t="str">
        <f>B21</f>
        <v>交通便捷度</v>
      </c>
      <c r="R21" s="667" t="s">
        <v>14</v>
      </c>
      <c r="S21" s="668">
        <f>F21</f>
        <v>100</v>
      </c>
      <c r="T21" s="667" t="s">
        <v>14</v>
      </c>
      <c r="U21" s="668">
        <f>H21</f>
        <v>100</v>
      </c>
      <c r="V21" s="667" t="s">
        <v>14</v>
      </c>
      <c r="W21" s="668">
        <f>J21</f>
        <v>100</v>
      </c>
      <c r="X21" s="1265"/>
      <c r="Y21" s="339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9"/>
      <c r="Q22" s="1263"/>
      <c r="R22" s="667"/>
      <c r="S22" s="668"/>
      <c r="T22" s="667"/>
      <c r="U22" s="668"/>
      <c r="V22" s="667"/>
      <c r="W22" s="668"/>
      <c r="X22" s="1265"/>
      <c r="Y22" s="339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9"/>
      <c r="Q23" s="1263" t="str">
        <f t="shared" ref="Q23:Q37" si="8">B23</f>
        <v>区域土地利用方向</v>
      </c>
      <c r="R23" s="667" t="s">
        <v>14</v>
      </c>
      <c r="S23" s="668">
        <f>F23</f>
        <v>100</v>
      </c>
      <c r="T23" s="667" t="s">
        <v>14</v>
      </c>
      <c r="U23" s="668">
        <f>H23</f>
        <v>100</v>
      </c>
      <c r="V23" s="667" t="s">
        <v>14</v>
      </c>
      <c r="W23" s="668">
        <f>J23</f>
        <v>100</v>
      </c>
      <c r="X23" s="1265"/>
      <c r="Y23" s="339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9"/>
      <c r="Q24" s="1263"/>
      <c r="R24" s="667"/>
      <c r="S24" s="668"/>
      <c r="T24" s="667"/>
      <c r="U24" s="668"/>
      <c r="V24" s="667"/>
      <c r="W24" s="668"/>
      <c r="X24" s="1265"/>
      <c r="Y24" s="3399"/>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9"/>
      <c r="Q25" s="1263" t="str">
        <f t="shared" si="8"/>
        <v>自然及人文环境状况</v>
      </c>
      <c r="R25" s="667" t="s">
        <v>14</v>
      </c>
      <c r="S25" s="668">
        <f>F25</f>
        <v>100</v>
      </c>
      <c r="T25" s="667" t="s">
        <v>14</v>
      </c>
      <c r="U25" s="668">
        <f>H25</f>
        <v>100</v>
      </c>
      <c r="V25" s="667" t="s">
        <v>14</v>
      </c>
      <c r="W25" s="668">
        <f>J25</f>
        <v>100</v>
      </c>
      <c r="X25" s="1265"/>
      <c r="Y25" s="339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9"/>
      <c r="Q26" s="1263"/>
      <c r="R26" s="667"/>
      <c r="S26" s="668"/>
      <c r="T26" s="667"/>
      <c r="U26" s="668"/>
      <c r="V26" s="667"/>
      <c r="W26" s="668"/>
      <c r="X26" s="1265"/>
      <c r="Y26" s="3399"/>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9"/>
      <c r="Q27" s="530" t="str">
        <f t="shared" si="8"/>
        <v>公共配套设施</v>
      </c>
      <c r="R27" s="664" t="s">
        <v>14</v>
      </c>
      <c r="S27" s="665">
        <f>F27</f>
        <v>100</v>
      </c>
      <c r="T27" s="664" t="s">
        <v>14</v>
      </c>
      <c r="U27" s="665">
        <f>H27</f>
        <v>100</v>
      </c>
      <c r="V27" s="664" t="s">
        <v>14</v>
      </c>
      <c r="W27" s="665">
        <f>J27</f>
        <v>100</v>
      </c>
      <c r="X27" s="666"/>
      <c r="Y27" s="339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9"/>
      <c r="Q28" s="530"/>
      <c r="R28" s="664"/>
      <c r="S28" s="665"/>
      <c r="T28" s="664"/>
      <c r="U28" s="665"/>
      <c r="V28" s="664"/>
      <c r="W28" s="665"/>
      <c r="X28" s="666"/>
      <c r="Y28" s="3399"/>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9"/>
      <c r="Q29" s="530" t="str">
        <f t="shared" ref="Q29" si="9">B29</f>
        <v>基础设施水平</v>
      </c>
      <c r="R29" s="664" t="s">
        <v>14</v>
      </c>
      <c r="S29" s="665">
        <f>F29</f>
        <v>100</v>
      </c>
      <c r="T29" s="664" t="s">
        <v>14</v>
      </c>
      <c r="U29" s="665">
        <f>H29</f>
        <v>100</v>
      </c>
      <c r="V29" s="664" t="s">
        <v>14</v>
      </c>
      <c r="W29" s="665">
        <f>J29</f>
        <v>100</v>
      </c>
      <c r="X29" s="666"/>
      <c r="Y29" s="339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9"/>
      <c r="Q30" s="530"/>
      <c r="R30" s="664"/>
      <c r="S30" s="665"/>
      <c r="T30" s="664"/>
      <c r="U30" s="665"/>
      <c r="V30" s="664"/>
      <c r="W30" s="665"/>
      <c r="X30" s="666"/>
      <c r="Y30" s="339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9"/>
      <c r="Q32" s="1263" t="str">
        <f t="shared" si="8"/>
        <v>毗邻道路的类型与等级</v>
      </c>
      <c r="R32" s="667" t="s">
        <v>14</v>
      </c>
      <c r="S32" s="668">
        <f t="shared" si="10"/>
        <v>100</v>
      </c>
      <c r="T32" s="667" t="s">
        <v>14</v>
      </c>
      <c r="U32" s="668">
        <f t="shared" si="11"/>
        <v>100</v>
      </c>
      <c r="V32" s="667" t="s">
        <v>14</v>
      </c>
      <c r="W32" s="668">
        <f t="shared" si="12"/>
        <v>100</v>
      </c>
      <c r="X32" s="1265"/>
      <c r="Y32" s="339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9"/>
      <c r="Q33" s="1263"/>
      <c r="R33" s="667"/>
      <c r="S33" s="668"/>
      <c r="T33" s="667"/>
      <c r="U33" s="668"/>
      <c r="V33" s="667"/>
      <c r="W33" s="668"/>
      <c r="X33" s="1265"/>
      <c r="Y33" s="339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9"/>
      <c r="Q34" s="1263" t="str">
        <f t="shared" si="8"/>
        <v>土地级别</v>
      </c>
      <c r="R34" s="667" t="s">
        <v>14</v>
      </c>
      <c r="S34" s="668">
        <f t="shared" si="10"/>
        <v>100</v>
      </c>
      <c r="T34" s="667" t="s">
        <v>14</v>
      </c>
      <c r="U34" s="668">
        <f t="shared" si="11"/>
        <v>100</v>
      </c>
      <c r="V34" s="667" t="s">
        <v>14</v>
      </c>
      <c r="W34" s="668">
        <f t="shared" si="12"/>
        <v>100</v>
      </c>
      <c r="X34" s="1265"/>
      <c r="Y34" s="339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9"/>
      <c r="Q35" s="1263">
        <f t="shared" si="8"/>
        <v>111</v>
      </c>
      <c r="R35" s="667" t="s">
        <v>14</v>
      </c>
      <c r="S35" s="668">
        <f t="shared" si="10"/>
        <v>100</v>
      </c>
      <c r="T35" s="667" t="s">
        <v>14</v>
      </c>
      <c r="U35" s="668">
        <f t="shared" si="11"/>
        <v>100</v>
      </c>
      <c r="V35" s="667" t="s">
        <v>14</v>
      </c>
      <c r="W35" s="668">
        <f t="shared" si="12"/>
        <v>100</v>
      </c>
      <c r="X35" s="1265"/>
      <c r="Y35" s="339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70" t="s">
        <v>1696</v>
      </c>
      <c r="Q36" s="1263">
        <f t="shared" si="8"/>
        <v>111</v>
      </c>
      <c r="R36" s="667" t="s">
        <v>14</v>
      </c>
      <c r="S36" s="668">
        <f t="shared" si="10"/>
        <v>100</v>
      </c>
      <c r="T36" s="667" t="s">
        <v>14</v>
      </c>
      <c r="U36" s="668">
        <f t="shared" si="11"/>
        <v>100</v>
      </c>
      <c r="V36" s="667" t="s">
        <v>14</v>
      </c>
      <c r="W36" s="668">
        <f t="shared" si="12"/>
        <v>100</v>
      </c>
      <c r="X36" s="1265"/>
      <c r="Y36" s="340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3"/>
      <c r="Q37" s="1263">
        <f t="shared" si="8"/>
        <v>111</v>
      </c>
      <c r="R37" s="669" t="s">
        <v>14</v>
      </c>
      <c r="S37" s="670">
        <f t="shared" si="10"/>
        <v>100</v>
      </c>
      <c r="T37" s="669" t="s">
        <v>14</v>
      </c>
      <c r="U37" s="670">
        <f t="shared" si="11"/>
        <v>100</v>
      </c>
      <c r="V37" s="669" t="s">
        <v>14</v>
      </c>
      <c r="W37" s="670">
        <f t="shared" si="12"/>
        <v>100</v>
      </c>
      <c r="X37" s="671"/>
      <c r="Y37" s="340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3"/>
      <c r="Q38" s="1263" t="str">
        <f>B38</f>
        <v>宗地面积</v>
      </c>
      <c r="R38" s="667" t="s">
        <v>14</v>
      </c>
      <c r="S38" s="668" t="e">
        <f t="shared" si="10"/>
        <v>#N/A</v>
      </c>
      <c r="T38" s="667" t="s">
        <v>14</v>
      </c>
      <c r="U38" s="668" t="e">
        <f t="shared" si="11"/>
        <v>#N/A</v>
      </c>
      <c r="V38" s="667" t="s">
        <v>14</v>
      </c>
      <c r="W38" s="668" t="e">
        <f t="shared" si="12"/>
        <v>#N/A</v>
      </c>
      <c r="X38" s="1265"/>
      <c r="Y38" s="340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3"/>
      <c r="Q39" s="1263" t="str">
        <f t="shared" ref="Q39:Q45" si="14">B39</f>
        <v>宗地形状</v>
      </c>
      <c r="R39" s="667" t="s">
        <v>14</v>
      </c>
      <c r="S39" s="668">
        <f t="shared" si="10"/>
        <v>100</v>
      </c>
      <c r="T39" s="667" t="s">
        <v>14</v>
      </c>
      <c r="U39" s="668">
        <f t="shared" si="11"/>
        <v>100</v>
      </c>
      <c r="V39" s="667" t="s">
        <v>14</v>
      </c>
      <c r="W39" s="668">
        <f t="shared" si="12"/>
        <v>100</v>
      </c>
      <c r="X39" s="1265"/>
      <c r="Y39" s="340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3"/>
      <c r="Q40" s="1263" t="str">
        <f t="shared" si="14"/>
        <v>临街宽度及深度</v>
      </c>
      <c r="R40" s="667" t="s">
        <v>14</v>
      </c>
      <c r="S40" s="668">
        <f t="shared" si="10"/>
        <v>100</v>
      </c>
      <c r="T40" s="667" t="s">
        <v>14</v>
      </c>
      <c r="U40" s="668">
        <f t="shared" si="11"/>
        <v>100</v>
      </c>
      <c r="V40" s="667" t="s">
        <v>14</v>
      </c>
      <c r="W40" s="668">
        <f t="shared" si="12"/>
        <v>100</v>
      </c>
      <c r="X40" s="1265"/>
      <c r="Y40" s="340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3"/>
      <c r="Q41" s="1263" t="str">
        <f t="shared" si="14"/>
        <v>宗地开发程度</v>
      </c>
      <c r="R41" s="664" t="s">
        <v>14</v>
      </c>
      <c r="S41" s="665">
        <f t="shared" si="10"/>
        <v>100</v>
      </c>
      <c r="T41" s="664" t="s">
        <v>14</v>
      </c>
      <c r="U41" s="665">
        <f t="shared" si="11"/>
        <v>100</v>
      </c>
      <c r="V41" s="664" t="s">
        <v>14</v>
      </c>
      <c r="W41" s="665">
        <f t="shared" si="12"/>
        <v>100</v>
      </c>
      <c r="X41" s="666"/>
      <c r="Y41" s="340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3" t="s">
        <v>1696</v>
      </c>
      <c r="Q42" s="1263" t="str">
        <f t="shared" si="14"/>
        <v>工程地质条件</v>
      </c>
      <c r="R42" s="667" t="s">
        <v>14</v>
      </c>
      <c r="S42" s="668">
        <f t="shared" si="10"/>
        <v>100</v>
      </c>
      <c r="T42" s="667" t="s">
        <v>14</v>
      </c>
      <c r="U42" s="668">
        <f t="shared" si="11"/>
        <v>100</v>
      </c>
      <c r="V42" s="667" t="s">
        <v>14</v>
      </c>
      <c r="W42" s="668">
        <f t="shared" si="12"/>
        <v>100</v>
      </c>
      <c r="X42" s="1265"/>
      <c r="Y42" s="340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3"/>
      <c r="Q43" s="1263">
        <f t="shared" si="14"/>
        <v>111</v>
      </c>
      <c r="R43" s="667" t="s">
        <v>14</v>
      </c>
      <c r="S43" s="668">
        <f t="shared" si="10"/>
        <v>100</v>
      </c>
      <c r="T43" s="667" t="s">
        <v>14</v>
      </c>
      <c r="U43" s="668">
        <f t="shared" si="11"/>
        <v>100</v>
      </c>
      <c r="V43" s="667" t="s">
        <v>14</v>
      </c>
      <c r="W43" s="668">
        <f t="shared" si="12"/>
        <v>100</v>
      </c>
      <c r="X43" s="1265"/>
      <c r="Y43" s="340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3"/>
      <c r="Q44" s="1263">
        <f t="shared" si="14"/>
        <v>111</v>
      </c>
      <c r="R44" s="667" t="s">
        <v>14</v>
      </c>
      <c r="S44" s="668">
        <f t="shared" si="10"/>
        <v>100</v>
      </c>
      <c r="T44" s="667" t="s">
        <v>14</v>
      </c>
      <c r="U44" s="668">
        <f t="shared" si="11"/>
        <v>100</v>
      </c>
      <c r="V44" s="667" t="s">
        <v>14</v>
      </c>
      <c r="W44" s="668">
        <f t="shared" si="12"/>
        <v>100</v>
      </c>
      <c r="X44" s="1265"/>
      <c r="Y44" s="340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3"/>
      <c r="Q45" s="1263">
        <f t="shared" si="14"/>
        <v>111</v>
      </c>
      <c r="R45" s="669" t="s">
        <v>14</v>
      </c>
      <c r="S45" s="670">
        <f t="shared" si="10"/>
        <v>100</v>
      </c>
      <c r="T45" s="669" t="s">
        <v>14</v>
      </c>
      <c r="U45" s="670">
        <f t="shared" si="11"/>
        <v>100</v>
      </c>
      <c r="V45" s="669" t="s">
        <v>14</v>
      </c>
      <c r="W45" s="670">
        <f t="shared" si="12"/>
        <v>100</v>
      </c>
      <c r="X45" s="671"/>
      <c r="Y45" s="3403"/>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5" t="str">
        <f>A46</f>
        <v>成交单价</v>
      </c>
      <c r="Q46" s="3405"/>
      <c r="R46" s="3366">
        <f>E46</f>
        <v>0</v>
      </c>
      <c r="S46" s="3366"/>
      <c r="T46" s="3366">
        <f>G46</f>
        <v>0</v>
      </c>
      <c r="U46" s="3366"/>
      <c r="V46" s="3366">
        <f>I46</f>
        <v>0</v>
      </c>
      <c r="W46" s="336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05" t="str">
        <f>A47</f>
        <v>比较价值（元/平方米）</v>
      </c>
      <c r="Q47" s="3405"/>
      <c r="R47" s="3472" t="e">
        <f>ROUND(PRODUCT(R46,AA7:AA45),0)</f>
        <v>#DIV/0!</v>
      </c>
      <c r="S47" s="3472"/>
      <c r="T47" s="3472" t="e">
        <f>ROUND(PRODUCT(T46,AB7:AB45),0)</f>
        <v>#DIV/0!</v>
      </c>
      <c r="U47" s="3472"/>
      <c r="V47" s="3472" t="e">
        <f>ROUND(PRODUCT(V46,AC7:AC45),0)</f>
        <v>#DIV/0!</v>
      </c>
      <c r="W47" s="347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6" t="str">
        <f>A48</f>
        <v>估价对象XX用房的比较价值（楼面单价，元/平方米）</v>
      </c>
      <c r="Q48" s="3407"/>
      <c r="R48" s="3473" t="e">
        <f>ROUND(IF(D47="简单平均",AVERAGE(R47:W47),R47*F47+T47*H47+V47*J47),0)</f>
        <v>#DIV/0!</v>
      </c>
      <c r="S48" s="3473"/>
      <c r="T48" s="3473"/>
      <c r="U48" s="3473"/>
      <c r="V48" s="3473"/>
      <c r="W48" s="347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3" t="s">
        <v>1887</v>
      </c>
      <c r="H55" s="347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188.85</v>
      </c>
      <c r="F56" s="833" t="e">
        <f t="shared" ref="F56:F64" si="15">ROUND(B56*E56/10000,0)</f>
        <v>#DIV/0!</v>
      </c>
      <c r="G56" s="3382"/>
      <c r="H56" s="340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0.5</v>
      </c>
      <c r="D57" s="891">
        <v>0.25</v>
      </c>
      <c r="E57" s="614"/>
      <c r="F57" s="833" t="e">
        <f t="shared" si="15"/>
        <v>#DIV/0!</v>
      </c>
      <c r="G57" s="2751" t="s">
        <v>1892</v>
      </c>
      <c r="H57" s="834" t="str">
        <f>项目基本情况!B37</f>
        <v>八级</v>
      </c>
      <c r="I57" s="838">
        <f>SUMIF(修正!A59:A70,H57,修正!B59:B70)</f>
        <v>0.5</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0.2</v>
      </c>
      <c r="D58" s="891">
        <v>0.25</v>
      </c>
      <c r="E58" s="614"/>
      <c r="F58" s="833" t="e">
        <f t="shared" si="15"/>
        <v>#DIV/0!</v>
      </c>
      <c r="G58" s="2752"/>
      <c r="H58" s="834" t="str">
        <f>项目基本情况!B37</f>
        <v>八级</v>
      </c>
      <c r="I58" s="838">
        <f>SUMIF(修正!A59:A70,H58,修正!C59:C70)</f>
        <v>0.2</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v>
      </c>
      <c r="D59" s="891">
        <v>0.25</v>
      </c>
      <c r="E59" s="614"/>
      <c r="F59" s="833" t="e">
        <f t="shared" si="15"/>
        <v>#DIV/0!</v>
      </c>
      <c r="G59" s="2752"/>
      <c r="H59" s="834" t="str">
        <f>项目基本情况!B37</f>
        <v>八级</v>
      </c>
      <c r="I59" s="838">
        <f>SUMIF(修正!A59:A70,H59,修正!D59:D70)</f>
        <v>0.2</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v>
      </c>
      <c r="D63" s="891">
        <v>0.25</v>
      </c>
      <c r="E63" s="209">
        <f>'数据-汇总表'!E14</f>
        <v>0</v>
      </c>
      <c r="F63" s="833" t="e">
        <f t="shared" si="15"/>
        <v>#DIV/0!</v>
      </c>
      <c r="G63" s="1835" t="s">
        <v>1892</v>
      </c>
      <c r="H63" s="834" t="str">
        <f>项目基本情况!B37</f>
        <v>八级</v>
      </c>
      <c r="I63" s="838">
        <f>SUMIF(修正!A59:A70,H63,修正!G59:G70)</f>
        <v>0.1</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188.85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2025-9-1</v>
      </c>
      <c r="D67" s="656">
        <f>EDATE(C67,-3)</f>
        <v>45809</v>
      </c>
      <c r="E67" s="656">
        <f>EDATE(D67,-3)</f>
        <v>45717</v>
      </c>
      <c r="F67" s="656">
        <f t="shared" ref="F67:O67" si="18">EDATE(E67,-3)</f>
        <v>45627</v>
      </c>
      <c r="G67" s="656">
        <f t="shared" si="18"/>
        <v>45536</v>
      </c>
      <c r="H67" s="656">
        <f t="shared" si="18"/>
        <v>45444</v>
      </c>
      <c r="I67" s="656">
        <f t="shared" si="18"/>
        <v>45352</v>
      </c>
      <c r="J67" s="656">
        <f t="shared" si="18"/>
        <v>45261</v>
      </c>
      <c r="K67" s="656">
        <f t="shared" si="18"/>
        <v>45170</v>
      </c>
      <c r="L67" s="656">
        <f t="shared" si="18"/>
        <v>45078</v>
      </c>
      <c r="M67" s="656">
        <f t="shared" si="18"/>
        <v>44986</v>
      </c>
      <c r="N67" s="656">
        <f t="shared" si="18"/>
        <v>44896</v>
      </c>
      <c r="O67" s="656">
        <f t="shared" si="18"/>
        <v>44805</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69" t="s">
        <v>1771</v>
      </c>
      <c r="S4" s="3370"/>
      <c r="T4" s="3369" t="s">
        <v>1772</v>
      </c>
      <c r="U4" s="3370"/>
      <c r="V4" s="3366" t="s">
        <v>1773</v>
      </c>
      <c r="W4" s="3366"/>
      <c r="X4" s="1265"/>
      <c r="Y4" s="3369" t="s">
        <v>1775</v>
      </c>
      <c r="Z4" s="3370"/>
      <c r="AA4" s="3363" t="s">
        <v>1771</v>
      </c>
      <c r="AB4" s="3364" t="s">
        <v>1772</v>
      </c>
      <c r="AC4" s="3363" t="s">
        <v>1773</v>
      </c>
    </row>
    <row r="5" spans="1:29" ht="15">
      <c r="A5" s="348"/>
      <c r="B5" s="349"/>
      <c r="C5" s="3375" t="s">
        <v>1673</v>
      </c>
      <c r="D5" s="3376"/>
      <c r="E5" s="3454" t="s">
        <v>1674</v>
      </c>
      <c r="F5" s="3374"/>
      <c r="G5" s="3375" t="s">
        <v>1675</v>
      </c>
      <c r="H5" s="3376"/>
      <c r="I5" s="3375" t="s">
        <v>1676</v>
      </c>
      <c r="J5" s="3376"/>
      <c r="K5" s="537"/>
      <c r="L5" s="2487"/>
      <c r="M5" s="2488"/>
      <c r="N5" s="2488"/>
      <c r="O5" s="2488"/>
      <c r="P5" s="3389"/>
      <c r="Q5" s="3390"/>
      <c r="R5" s="3371"/>
      <c r="S5" s="3372"/>
      <c r="T5" s="3371"/>
      <c r="U5" s="3372"/>
      <c r="V5" s="3366"/>
      <c r="W5" s="3366"/>
      <c r="X5" s="1265"/>
      <c r="Y5" s="3371"/>
      <c r="Z5" s="3372"/>
      <c r="AA5" s="3364"/>
      <c r="AB5" s="3364"/>
      <c r="AC5" s="3364"/>
    </row>
    <row r="6" spans="1:29" ht="15.75" thickBot="1">
      <c r="A6" s="350"/>
      <c r="B6" s="351"/>
      <c r="C6" s="3475" t="s">
        <v>1919</v>
      </c>
      <c r="D6" s="3476"/>
      <c r="E6" s="3477" t="s">
        <v>1919</v>
      </c>
      <c r="F6" s="3478"/>
      <c r="G6" s="3475" t="s">
        <v>1919</v>
      </c>
      <c r="H6" s="3476"/>
      <c r="I6" s="3475" t="s">
        <v>1919</v>
      </c>
      <c r="J6" s="3476"/>
      <c r="K6" s="537" t="s">
        <v>1678</v>
      </c>
      <c r="L6" s="2487"/>
      <c r="M6" s="2488"/>
      <c r="N6" s="2488"/>
      <c r="O6" s="2488"/>
      <c r="P6" s="3391"/>
      <c r="Q6" s="3392"/>
      <c r="R6" s="3371"/>
      <c r="S6" s="3372"/>
      <c r="T6" s="3393"/>
      <c r="U6" s="3394"/>
      <c r="V6" s="3366"/>
      <c r="W6" s="3366"/>
      <c r="X6" s="1265"/>
      <c r="Y6" s="3393"/>
      <c r="Z6" s="3394"/>
      <c r="AA6" s="3365"/>
      <c r="AB6" s="3365"/>
      <c r="AC6" s="3365"/>
    </row>
    <row r="7" spans="1:29" s="102" customFormat="1" ht="15.75" thickBot="1">
      <c r="A7" s="352" t="s">
        <v>1679</v>
      </c>
      <c r="B7" s="353"/>
      <c r="C7" s="354">
        <f>'数据-取费表'!B2</f>
        <v>45917</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67" t="s">
        <v>1680</v>
      </c>
      <c r="Q7" s="3395"/>
      <c r="R7" s="664" t="s">
        <v>14</v>
      </c>
      <c r="S7" s="665">
        <f t="shared" ref="S7:S15" si="0">F7</f>
        <v>0</v>
      </c>
      <c r="T7" s="664" t="s">
        <v>14</v>
      </c>
      <c r="U7" s="665">
        <f t="shared" ref="U7:U15" si="1">H7</f>
        <v>0</v>
      </c>
      <c r="V7" s="664" t="s">
        <v>14</v>
      </c>
      <c r="W7" s="665">
        <f t="shared" ref="W7:W15" si="2">J7</f>
        <v>0</v>
      </c>
      <c r="X7" s="666"/>
      <c r="Y7" s="3367" t="s">
        <v>1680</v>
      </c>
      <c r="Z7" s="336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67" t="s">
        <v>1683</v>
      </c>
      <c r="Q8" s="3368"/>
      <c r="R8" s="664" t="s">
        <v>14</v>
      </c>
      <c r="S8" s="665">
        <f t="shared" si="0"/>
        <v>0</v>
      </c>
      <c r="T8" s="664" t="s">
        <v>14</v>
      </c>
      <c r="U8" s="665">
        <f t="shared" si="1"/>
        <v>0</v>
      </c>
      <c r="V8" s="664" t="s">
        <v>14</v>
      </c>
      <c r="W8" s="665">
        <f t="shared" si="2"/>
        <v>0</v>
      </c>
      <c r="X8" s="666"/>
      <c r="Y8" s="3367" t="s">
        <v>1683</v>
      </c>
      <c r="Z8" s="336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5"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176</v>
      </c>
      <c r="G10" s="371"/>
      <c r="H10" s="119">
        <f>ROUND(100/'数据-取费表'!G16,0)</f>
        <v>176</v>
      </c>
      <c r="I10" s="371"/>
      <c r="J10" s="119">
        <f>ROUND(100/'数据-取费表'!G16,0)</f>
        <v>176</v>
      </c>
      <c r="K10" s="592"/>
      <c r="L10" s="2490"/>
      <c r="M10" s="2491"/>
      <c r="N10" s="2491"/>
      <c r="O10" s="2542"/>
      <c r="P10" s="3405"/>
      <c r="Q10" s="530" t="str">
        <f t="shared" si="6"/>
        <v>土地使用年限（年）</v>
      </c>
      <c r="R10" s="664" t="s">
        <v>14</v>
      </c>
      <c r="S10" s="665">
        <f t="shared" si="0"/>
        <v>176</v>
      </c>
      <c r="T10" s="664" t="s">
        <v>14</v>
      </c>
      <c r="U10" s="665">
        <f t="shared" si="1"/>
        <v>176</v>
      </c>
      <c r="V10" s="664" t="s">
        <v>14</v>
      </c>
      <c r="W10" s="665">
        <f t="shared" si="2"/>
        <v>176</v>
      </c>
      <c r="X10" s="666"/>
      <c r="Y10" s="3336"/>
      <c r="Z10" s="50" t="str">
        <f t="shared" si="7"/>
        <v>土地使用年限（年）</v>
      </c>
      <c r="AA10" s="50">
        <f t="shared" si="3"/>
        <v>0.56818181818181823</v>
      </c>
      <c r="AB10" s="50">
        <f t="shared" si="4"/>
        <v>0.56818181818181823</v>
      </c>
      <c r="AC10" s="50">
        <f t="shared" si="5"/>
        <v>0.56818181818181823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5"/>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5"/>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5"/>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5"/>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8" t="s">
        <v>1691</v>
      </c>
      <c r="Q15" s="1263" t="str">
        <f t="shared" si="6"/>
        <v>产业集聚程度</v>
      </c>
      <c r="R15" s="667" t="s">
        <v>14</v>
      </c>
      <c r="S15" s="668">
        <f t="shared" si="0"/>
        <v>100</v>
      </c>
      <c r="T15" s="667" t="s">
        <v>14</v>
      </c>
      <c r="U15" s="668">
        <f t="shared" si="1"/>
        <v>100</v>
      </c>
      <c r="V15" s="667" t="s">
        <v>14</v>
      </c>
      <c r="W15" s="668">
        <f t="shared" si="2"/>
        <v>100</v>
      </c>
      <c r="X15" s="1265"/>
      <c r="Y15" s="339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9"/>
      <c r="Q16" s="1263"/>
      <c r="R16" s="667"/>
      <c r="S16" s="668"/>
      <c r="T16" s="667"/>
      <c r="U16" s="668"/>
      <c r="V16" s="667"/>
      <c r="W16" s="668"/>
      <c r="X16" s="1265"/>
      <c r="Y16" s="3399"/>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9"/>
      <c r="Q17" s="1263" t="str">
        <f>B17</f>
        <v>交通便捷度</v>
      </c>
      <c r="R17" s="667" t="s">
        <v>14</v>
      </c>
      <c r="S17" s="668">
        <f>F17</f>
        <v>100</v>
      </c>
      <c r="T17" s="667" t="s">
        <v>14</v>
      </c>
      <c r="U17" s="668">
        <f>H17</f>
        <v>100</v>
      </c>
      <c r="V17" s="667" t="s">
        <v>14</v>
      </c>
      <c r="W17" s="668">
        <f>J17</f>
        <v>100</v>
      </c>
      <c r="X17" s="1265"/>
      <c r="Y17" s="339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9"/>
      <c r="Q18" s="1263"/>
      <c r="R18" s="667"/>
      <c r="S18" s="668"/>
      <c r="T18" s="667"/>
      <c r="U18" s="668"/>
      <c r="V18" s="667"/>
      <c r="W18" s="668"/>
      <c r="X18" s="1265"/>
      <c r="Y18" s="339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9"/>
      <c r="Q19" s="1263" t="str">
        <f t="shared" ref="Q19:Q33" si="8">B19</f>
        <v>区域土地利用方向</v>
      </c>
      <c r="R19" s="667" t="s">
        <v>14</v>
      </c>
      <c r="S19" s="668">
        <f>F19</f>
        <v>100</v>
      </c>
      <c r="T19" s="667" t="s">
        <v>14</v>
      </c>
      <c r="U19" s="668">
        <f>H19</f>
        <v>100</v>
      </c>
      <c r="V19" s="667" t="s">
        <v>14</v>
      </c>
      <c r="W19" s="668">
        <f>J19</f>
        <v>100</v>
      </c>
      <c r="X19" s="1265"/>
      <c r="Y19" s="339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9"/>
      <c r="Q20" s="1263"/>
      <c r="R20" s="667"/>
      <c r="S20" s="668"/>
      <c r="T20" s="667"/>
      <c r="U20" s="668"/>
      <c r="V20" s="667"/>
      <c r="W20" s="668"/>
      <c r="X20" s="1265"/>
      <c r="Y20" s="3399"/>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9"/>
      <c r="Q21" s="1263" t="str">
        <f t="shared" si="8"/>
        <v>环境状况</v>
      </c>
      <c r="R21" s="667" t="s">
        <v>14</v>
      </c>
      <c r="S21" s="668">
        <f>F21</f>
        <v>100</v>
      </c>
      <c r="T21" s="667" t="s">
        <v>14</v>
      </c>
      <c r="U21" s="668">
        <f>H21</f>
        <v>100</v>
      </c>
      <c r="V21" s="667" t="s">
        <v>14</v>
      </c>
      <c r="W21" s="668">
        <f>J21</f>
        <v>100</v>
      </c>
      <c r="X21" s="1265"/>
      <c r="Y21" s="339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9"/>
      <c r="Q22" s="1263"/>
      <c r="R22" s="667"/>
      <c r="S22" s="668"/>
      <c r="T22" s="667"/>
      <c r="U22" s="668"/>
      <c r="V22" s="667"/>
      <c r="W22" s="668"/>
      <c r="X22" s="1265"/>
      <c r="Y22" s="3399"/>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9"/>
      <c r="Q23" s="530" t="str">
        <f t="shared" si="8"/>
        <v>公共配套设施</v>
      </c>
      <c r="R23" s="664" t="s">
        <v>14</v>
      </c>
      <c r="S23" s="665">
        <f>F23</f>
        <v>100</v>
      </c>
      <c r="T23" s="664" t="s">
        <v>14</v>
      </c>
      <c r="U23" s="665">
        <f>H23</f>
        <v>100</v>
      </c>
      <c r="V23" s="664" t="s">
        <v>14</v>
      </c>
      <c r="W23" s="665">
        <f>J23</f>
        <v>100</v>
      </c>
      <c r="X23" s="666"/>
      <c r="Y23" s="339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9"/>
      <c r="Q24" s="530"/>
      <c r="R24" s="664"/>
      <c r="S24" s="665"/>
      <c r="T24" s="664"/>
      <c r="U24" s="665"/>
      <c r="V24" s="664"/>
      <c r="W24" s="665"/>
      <c r="X24" s="666"/>
      <c r="Y24" s="3399"/>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9"/>
      <c r="Q25" s="530" t="str">
        <f t="shared" ref="Q25" si="9">B25</f>
        <v>基础设施水平</v>
      </c>
      <c r="R25" s="664" t="s">
        <v>14</v>
      </c>
      <c r="S25" s="665">
        <f>F25</f>
        <v>100</v>
      </c>
      <c r="T25" s="664" t="s">
        <v>14</v>
      </c>
      <c r="U25" s="665">
        <f>H25</f>
        <v>100</v>
      </c>
      <c r="V25" s="664" t="s">
        <v>14</v>
      </c>
      <c r="W25" s="665">
        <f>J25</f>
        <v>100</v>
      </c>
      <c r="X25" s="666"/>
      <c r="Y25" s="339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9"/>
      <c r="Q26" s="530"/>
      <c r="R26" s="664"/>
      <c r="S26" s="665"/>
      <c r="T26" s="664"/>
      <c r="U26" s="665"/>
      <c r="V26" s="664"/>
      <c r="W26" s="665"/>
      <c r="X26" s="666"/>
      <c r="Y26" s="339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9"/>
      <c r="Q28" s="1263" t="str">
        <f t="shared" si="8"/>
        <v>毗邻道路的类型与等级</v>
      </c>
      <c r="R28" s="667" t="s">
        <v>14</v>
      </c>
      <c r="S28" s="668">
        <f t="shared" si="10"/>
        <v>100</v>
      </c>
      <c r="T28" s="667" t="s">
        <v>14</v>
      </c>
      <c r="U28" s="668">
        <f t="shared" si="11"/>
        <v>100</v>
      </c>
      <c r="V28" s="667" t="s">
        <v>14</v>
      </c>
      <c r="W28" s="668">
        <f t="shared" si="12"/>
        <v>100</v>
      </c>
      <c r="X28" s="1265"/>
      <c r="Y28" s="339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9"/>
      <c r="Q29" s="1263"/>
      <c r="R29" s="667"/>
      <c r="S29" s="668"/>
      <c r="T29" s="667"/>
      <c r="U29" s="668"/>
      <c r="V29" s="667"/>
      <c r="W29" s="668"/>
      <c r="X29" s="1265"/>
      <c r="Y29" s="339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9"/>
      <c r="Q30" s="1263" t="str">
        <f t="shared" si="8"/>
        <v>土地级别</v>
      </c>
      <c r="R30" s="667" t="s">
        <v>14</v>
      </c>
      <c r="S30" s="668">
        <f t="shared" si="10"/>
        <v>100</v>
      </c>
      <c r="T30" s="667" t="s">
        <v>14</v>
      </c>
      <c r="U30" s="668">
        <f t="shared" si="11"/>
        <v>100</v>
      </c>
      <c r="V30" s="667" t="s">
        <v>14</v>
      </c>
      <c r="W30" s="668">
        <f t="shared" si="12"/>
        <v>100</v>
      </c>
      <c r="X30" s="1265"/>
      <c r="Y30" s="339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9"/>
      <c r="Q31" s="1263">
        <f t="shared" si="8"/>
        <v>111</v>
      </c>
      <c r="R31" s="667" t="s">
        <v>14</v>
      </c>
      <c r="S31" s="668">
        <f t="shared" si="10"/>
        <v>100</v>
      </c>
      <c r="T31" s="667" t="s">
        <v>14</v>
      </c>
      <c r="U31" s="668">
        <f t="shared" si="11"/>
        <v>100</v>
      </c>
      <c r="V31" s="667" t="s">
        <v>14</v>
      </c>
      <c r="W31" s="668">
        <f t="shared" si="12"/>
        <v>100</v>
      </c>
      <c r="X31" s="1265"/>
      <c r="Y31" s="339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70" t="s">
        <v>1696</v>
      </c>
      <c r="Q32" s="1263">
        <f t="shared" si="8"/>
        <v>111</v>
      </c>
      <c r="R32" s="667" t="s">
        <v>14</v>
      </c>
      <c r="S32" s="668">
        <f t="shared" si="10"/>
        <v>100</v>
      </c>
      <c r="T32" s="667" t="s">
        <v>14</v>
      </c>
      <c r="U32" s="668">
        <f t="shared" si="11"/>
        <v>100</v>
      </c>
      <c r="V32" s="667" t="s">
        <v>14</v>
      </c>
      <c r="W32" s="668">
        <f t="shared" si="12"/>
        <v>100</v>
      </c>
      <c r="X32" s="1265"/>
      <c r="Y32" s="340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3"/>
      <c r="Q33" s="1263">
        <f t="shared" si="8"/>
        <v>111</v>
      </c>
      <c r="R33" s="669" t="s">
        <v>14</v>
      </c>
      <c r="S33" s="670">
        <f t="shared" si="10"/>
        <v>100</v>
      </c>
      <c r="T33" s="669" t="s">
        <v>14</v>
      </c>
      <c r="U33" s="670">
        <f t="shared" si="11"/>
        <v>100</v>
      </c>
      <c r="V33" s="669" t="s">
        <v>14</v>
      </c>
      <c r="W33" s="670">
        <f t="shared" si="12"/>
        <v>100</v>
      </c>
      <c r="X33" s="671"/>
      <c r="Y33" s="340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3"/>
      <c r="Q34" s="1263" t="str">
        <f>B34</f>
        <v>宗地面积</v>
      </c>
      <c r="R34" s="667" t="s">
        <v>14</v>
      </c>
      <c r="S34" s="668" t="e">
        <f t="shared" si="10"/>
        <v>#N/A</v>
      </c>
      <c r="T34" s="667" t="s">
        <v>14</v>
      </c>
      <c r="U34" s="668" t="e">
        <f t="shared" si="11"/>
        <v>#N/A</v>
      </c>
      <c r="V34" s="667" t="s">
        <v>14</v>
      </c>
      <c r="W34" s="668" t="e">
        <f t="shared" si="12"/>
        <v>#N/A</v>
      </c>
      <c r="X34" s="1265"/>
      <c r="Y34" s="340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3"/>
      <c r="Q35" s="1263" t="str">
        <f t="shared" ref="Q35:Q40" si="14">B35</f>
        <v>宗地形状</v>
      </c>
      <c r="R35" s="667" t="s">
        <v>14</v>
      </c>
      <c r="S35" s="668">
        <f t="shared" si="10"/>
        <v>100</v>
      </c>
      <c r="T35" s="667" t="s">
        <v>14</v>
      </c>
      <c r="U35" s="668">
        <f t="shared" si="11"/>
        <v>100</v>
      </c>
      <c r="V35" s="667" t="s">
        <v>14</v>
      </c>
      <c r="W35" s="668">
        <f t="shared" si="12"/>
        <v>100</v>
      </c>
      <c r="X35" s="1265"/>
      <c r="Y35" s="340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3"/>
      <c r="Q36" s="1263" t="str">
        <f t="shared" si="14"/>
        <v>宗地开发程度</v>
      </c>
      <c r="R36" s="664" t="s">
        <v>14</v>
      </c>
      <c r="S36" s="665">
        <f t="shared" si="10"/>
        <v>100</v>
      </c>
      <c r="T36" s="664" t="s">
        <v>14</v>
      </c>
      <c r="U36" s="665">
        <f t="shared" si="11"/>
        <v>100</v>
      </c>
      <c r="V36" s="664" t="s">
        <v>14</v>
      </c>
      <c r="W36" s="665">
        <f t="shared" si="12"/>
        <v>100</v>
      </c>
      <c r="X36" s="666"/>
      <c r="Y36" s="340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3" t="s">
        <v>1696</v>
      </c>
      <c r="Q37" s="1263" t="str">
        <f t="shared" si="14"/>
        <v>工程地质条件</v>
      </c>
      <c r="R37" s="667" t="s">
        <v>14</v>
      </c>
      <c r="S37" s="668">
        <f t="shared" si="10"/>
        <v>100</v>
      </c>
      <c r="T37" s="667" t="s">
        <v>14</v>
      </c>
      <c r="U37" s="668">
        <f t="shared" si="11"/>
        <v>100</v>
      </c>
      <c r="V37" s="667" t="s">
        <v>14</v>
      </c>
      <c r="W37" s="668">
        <f t="shared" si="12"/>
        <v>100</v>
      </c>
      <c r="X37" s="1265"/>
      <c r="Y37" s="340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3"/>
      <c r="Q38" s="1263">
        <f t="shared" si="14"/>
        <v>111</v>
      </c>
      <c r="R38" s="667" t="s">
        <v>14</v>
      </c>
      <c r="S38" s="668">
        <f t="shared" si="10"/>
        <v>100</v>
      </c>
      <c r="T38" s="667" t="s">
        <v>14</v>
      </c>
      <c r="U38" s="668">
        <f t="shared" si="11"/>
        <v>100</v>
      </c>
      <c r="V38" s="667" t="s">
        <v>14</v>
      </c>
      <c r="W38" s="668">
        <f t="shared" si="12"/>
        <v>100</v>
      </c>
      <c r="X38" s="1265"/>
      <c r="Y38" s="340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3"/>
      <c r="Q39" s="1263">
        <f t="shared" si="14"/>
        <v>111</v>
      </c>
      <c r="R39" s="667" t="s">
        <v>14</v>
      </c>
      <c r="S39" s="668">
        <f t="shared" si="10"/>
        <v>100</v>
      </c>
      <c r="T39" s="667" t="s">
        <v>14</v>
      </c>
      <c r="U39" s="668">
        <f t="shared" si="11"/>
        <v>100</v>
      </c>
      <c r="V39" s="667" t="s">
        <v>14</v>
      </c>
      <c r="W39" s="668">
        <f t="shared" si="12"/>
        <v>100</v>
      </c>
      <c r="X39" s="1265"/>
      <c r="Y39" s="340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3"/>
      <c r="Q40" s="1263">
        <f t="shared" si="14"/>
        <v>111</v>
      </c>
      <c r="R40" s="669" t="s">
        <v>14</v>
      </c>
      <c r="S40" s="670">
        <f t="shared" si="10"/>
        <v>100</v>
      </c>
      <c r="T40" s="669" t="s">
        <v>14</v>
      </c>
      <c r="U40" s="670">
        <f t="shared" si="11"/>
        <v>100</v>
      </c>
      <c r="V40" s="669" t="s">
        <v>14</v>
      </c>
      <c r="W40" s="670">
        <f t="shared" si="12"/>
        <v>100</v>
      </c>
      <c r="X40" s="671"/>
      <c r="Y40" s="3403"/>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5" t="str">
        <f>A41</f>
        <v>成交单价</v>
      </c>
      <c r="Q41" s="3405"/>
      <c r="R41" s="3366">
        <f>E41</f>
        <v>0</v>
      </c>
      <c r="S41" s="3366"/>
      <c r="T41" s="3366">
        <f>G41</f>
        <v>0</v>
      </c>
      <c r="U41" s="3366"/>
      <c r="V41" s="3366">
        <f>I41</f>
        <v>0</v>
      </c>
      <c r="W41" s="336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05" t="str">
        <f>A42</f>
        <v>比较价值（元/平方米）</v>
      </c>
      <c r="Q42" s="3405"/>
      <c r="R42" s="3472" t="e">
        <f>ROUND(PRODUCT(R41,AA7:AA40),0)</f>
        <v>#DIV/0!</v>
      </c>
      <c r="S42" s="3472"/>
      <c r="T42" s="3472" t="e">
        <f>ROUND(PRODUCT(T41,AB7:AB40),0)</f>
        <v>#DIV/0!</v>
      </c>
      <c r="U42" s="3472"/>
      <c r="V42" s="3472" t="e">
        <f>ROUND(PRODUCT(V41,AC7:AC40),0)</f>
        <v>#DIV/0!</v>
      </c>
      <c r="W42" s="347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6" t="str">
        <f>A43</f>
        <v>估价对象XX用房的比较价值（楼面单价，元/平方米）</v>
      </c>
      <c r="Q43" s="3407"/>
      <c r="R43" s="3473" t="e">
        <f>ROUND(IF(D42="简单平均",AVERAGE(R42:W42),R42*F42+T42*H42+V42*J42),0)</f>
        <v>#DIV/0!</v>
      </c>
      <c r="S43" s="3473"/>
      <c r="T43" s="3473"/>
      <c r="U43" s="3473"/>
      <c r="V43" s="3473"/>
      <c r="W43" s="347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3" t="s">
        <v>1887</v>
      </c>
      <c r="H50" s="347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188.85</v>
      </c>
      <c r="F51" s="611" t="e">
        <f t="shared" ref="F51:F60" si="15">ROUND(B51*E51/10000,0)</f>
        <v>#DIV/0!</v>
      </c>
      <c r="G51" s="3382"/>
      <c r="H51" s="340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0.5</v>
      </c>
      <c r="D52" s="891">
        <v>0.25</v>
      </c>
      <c r="E52" s="614"/>
      <c r="F52" s="611" t="e">
        <f t="shared" si="15"/>
        <v>#DIV/0!</v>
      </c>
      <c r="G52" s="2751" t="s">
        <v>1892</v>
      </c>
      <c r="H52" s="834" t="str">
        <f>项目基本情况!B37</f>
        <v>八级</v>
      </c>
      <c r="I52" s="727">
        <f>SUMIF(修正!A59:A70,H52,修正!B59:B70)</f>
        <v>0.5</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0.2</v>
      </c>
      <c r="D53" s="891">
        <v>0.25</v>
      </c>
      <c r="E53" s="614"/>
      <c r="F53" s="611" t="e">
        <f t="shared" si="15"/>
        <v>#DIV/0!</v>
      </c>
      <c r="G53" s="2752"/>
      <c r="H53" s="834" t="str">
        <f>项目基本情况!B37</f>
        <v>八级</v>
      </c>
      <c r="I53" s="727">
        <f>SUMIF(修正!A59:A70,H53,修正!C59:C70)</f>
        <v>0.2</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v>
      </c>
      <c r="D54" s="891">
        <v>0.25</v>
      </c>
      <c r="E54" s="614"/>
      <c r="F54" s="611" t="e">
        <f t="shared" si="15"/>
        <v>#DIV/0!</v>
      </c>
      <c r="G54" s="2752"/>
      <c r="H54" s="834" t="str">
        <f>项目基本情况!B37</f>
        <v>八级</v>
      </c>
      <c r="I54" s="727">
        <f>SUMIF(修正!A59:A70,H54,修正!D59:D70)</f>
        <v>0.2</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v>
      </c>
      <c r="D59" s="891">
        <v>0.25</v>
      </c>
      <c r="E59" s="209">
        <f>'数据-汇总表'!E14</f>
        <v>0</v>
      </c>
      <c r="F59" s="611" t="e">
        <f t="shared" si="15"/>
        <v>#DIV/0!</v>
      </c>
      <c r="G59" s="1835" t="s">
        <v>1892</v>
      </c>
      <c r="H59" s="834" t="str">
        <f>项目基本情况!B37</f>
        <v>八级</v>
      </c>
      <c r="I59" s="727">
        <f>SUMIF(修正!A59:A70,H59,修正!G59:G70)</f>
        <v>0.1</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2025-9-1</v>
      </c>
      <c r="D63" s="656">
        <f>EDATE(C63,-3)</f>
        <v>45809</v>
      </c>
      <c r="E63" s="656">
        <f>EDATE(D63,-3)</f>
        <v>45717</v>
      </c>
      <c r="F63" s="656">
        <f t="shared" ref="F63:O63" si="18">EDATE(E63,-3)</f>
        <v>45627</v>
      </c>
      <c r="G63" s="656">
        <f t="shared" si="18"/>
        <v>45536</v>
      </c>
      <c r="H63" s="656">
        <f t="shared" si="18"/>
        <v>45444</v>
      </c>
      <c r="I63" s="656">
        <f t="shared" si="18"/>
        <v>45352</v>
      </c>
      <c r="J63" s="656">
        <f t="shared" si="18"/>
        <v>45261</v>
      </c>
      <c r="K63" s="656">
        <f t="shared" si="18"/>
        <v>45170</v>
      </c>
      <c r="L63" s="656">
        <f t="shared" si="18"/>
        <v>45078</v>
      </c>
      <c r="M63" s="656">
        <f t="shared" si="18"/>
        <v>44986</v>
      </c>
      <c r="N63" s="656">
        <f t="shared" si="18"/>
        <v>44896</v>
      </c>
      <c r="O63" s="656">
        <f t="shared" si="18"/>
        <v>44805</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2" t="s">
        <v>2084</v>
      </c>
      <c r="D1" s="3483"/>
      <c r="E1" s="3483"/>
      <c r="F1" s="3483"/>
      <c r="G1" s="3483"/>
      <c r="H1" s="3483"/>
      <c r="I1" s="3483"/>
      <c r="J1" s="3483"/>
      <c r="K1" s="3483"/>
      <c r="L1" s="3483"/>
      <c r="M1" s="3483"/>
      <c r="N1" s="3483"/>
      <c r="O1" s="3483"/>
      <c r="P1" s="3483"/>
      <c r="Q1" s="3483"/>
      <c r="R1" s="3483"/>
      <c r="S1" s="348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9" t="s">
        <v>27</v>
      </c>
      <c r="D22" s="3480"/>
      <c r="E22" s="3480"/>
      <c r="F22" s="3480"/>
      <c r="G22" s="3480"/>
      <c r="H22" s="3480"/>
      <c r="I22" s="3480"/>
      <c r="J22" s="3480"/>
      <c r="K22" s="3480"/>
      <c r="L22" s="3480"/>
      <c r="M22" s="3480"/>
      <c r="N22" s="3480"/>
      <c r="O22" s="3480"/>
      <c r="P22" s="3480"/>
      <c r="Q22" s="348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108</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108</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95" t="s">
        <v>2598</v>
      </c>
      <c r="B20" s="3485" t="s">
        <v>2619</v>
      </c>
      <c r="C20" s="3169" t="s">
        <v>2430</v>
      </c>
      <c r="D20" s="3169"/>
      <c r="E20" s="2845">
        <v>1</v>
      </c>
      <c r="F20" s="2846" t="s">
        <v>2431</v>
      </c>
      <c r="G20" s="2846"/>
    </row>
    <row r="21" spans="1:13" ht="19.5" customHeight="1">
      <c r="A21" s="3496"/>
      <c r="B21" s="3486"/>
      <c r="C21" s="2858" t="s">
        <v>2432</v>
      </c>
      <c r="D21" s="2858"/>
      <c r="E21" s="2849">
        <v>1</v>
      </c>
      <c r="F21" s="2846" t="s">
        <v>2433</v>
      </c>
      <c r="G21" s="2846"/>
    </row>
    <row r="22" spans="1:13" ht="19.5" customHeight="1">
      <c r="A22" s="3496"/>
      <c r="B22" s="3486"/>
      <c r="C22" s="2858" t="s">
        <v>2434</v>
      </c>
      <c r="D22" s="2858"/>
      <c r="E22" s="2849">
        <v>0.9</v>
      </c>
      <c r="F22" s="2846" t="s">
        <v>2435</v>
      </c>
      <c r="G22" s="2846"/>
    </row>
    <row r="23" spans="1:13" ht="19.5" customHeight="1">
      <c r="A23" s="3496"/>
      <c r="B23" s="3486"/>
      <c r="C23" s="2858" t="s">
        <v>2436</v>
      </c>
      <c r="D23" s="2858"/>
      <c r="E23" s="2849">
        <v>0.9</v>
      </c>
      <c r="F23" s="2846" t="s">
        <v>2437</v>
      </c>
      <c r="G23" s="2846"/>
    </row>
    <row r="24" spans="1:13" ht="19.5" customHeight="1">
      <c r="A24" s="3496"/>
      <c r="B24" s="3486"/>
      <c r="C24" s="2858" t="s">
        <v>2438</v>
      </c>
      <c r="D24" s="2858"/>
      <c r="E24" s="2849">
        <v>0.8</v>
      </c>
      <c r="F24" s="2846" t="s">
        <v>2439</v>
      </c>
      <c r="G24" s="2846"/>
    </row>
    <row r="25" spans="1:13" ht="19.5" customHeight="1">
      <c r="A25" s="3496"/>
      <c r="B25" s="3486"/>
      <c r="C25" s="2858" t="s">
        <v>2440</v>
      </c>
      <c r="D25" s="2858"/>
      <c r="E25" s="2849">
        <v>0.8</v>
      </c>
      <c r="F25" s="2846"/>
      <c r="G25" s="2846"/>
    </row>
    <row r="26" spans="1:13" ht="19.5" customHeight="1">
      <c r="A26" s="3496"/>
      <c r="B26" s="3486"/>
      <c r="C26" s="2858" t="s">
        <v>3400</v>
      </c>
      <c r="D26" s="2858"/>
      <c r="E26" s="2849">
        <v>0.43</v>
      </c>
      <c r="F26" s="2846"/>
      <c r="G26" s="2846"/>
    </row>
    <row r="27" spans="1:13" ht="19.5" customHeight="1" thickBot="1">
      <c r="A27" s="3497"/>
      <c r="B27" s="3487"/>
      <c r="C27" s="3165" t="s">
        <v>3401</v>
      </c>
      <c r="D27" s="3165"/>
      <c r="E27" s="2852">
        <f>E26*0.9</f>
        <v>0.38700000000000001</v>
      </c>
      <c r="F27" s="2846" t="s">
        <v>2441</v>
      </c>
      <c r="G27" s="2846"/>
    </row>
    <row r="28" spans="1:13" ht="19.5" customHeight="1" thickBot="1">
      <c r="A28" s="3164" t="s">
        <v>2620</v>
      </c>
      <c r="B28" s="3163" t="s">
        <v>2619</v>
      </c>
      <c r="C28" s="3166" t="s">
        <v>2621</v>
      </c>
      <c r="D28" s="3167"/>
      <c r="E28" s="3168">
        <v>1</v>
      </c>
      <c r="F28" s="2846" t="s">
        <v>2442</v>
      </c>
      <c r="G28" s="2846"/>
    </row>
    <row r="29" spans="1:13" ht="19.5" customHeight="1">
      <c r="A29" s="3488" t="s">
        <v>2622</v>
      </c>
      <c r="B29" s="3491" t="s">
        <v>2603</v>
      </c>
      <c r="C29" s="2843" t="s">
        <v>2443</v>
      </c>
      <c r="D29" s="2844"/>
      <c r="E29" s="2845">
        <v>1</v>
      </c>
      <c r="F29" s="2846" t="s">
        <v>2444</v>
      </c>
      <c r="G29" s="2846"/>
    </row>
    <row r="30" spans="1:13" ht="19.5" customHeight="1">
      <c r="A30" s="3489"/>
      <c r="B30" s="3492"/>
      <c r="C30" s="2847" t="s">
        <v>2445</v>
      </c>
      <c r="D30" s="2848"/>
      <c r="E30" s="2849">
        <v>1</v>
      </c>
      <c r="F30" s="2846" t="s">
        <v>2446</v>
      </c>
      <c r="G30" s="2846"/>
    </row>
    <row r="31" spans="1:13" ht="19.5" customHeight="1">
      <c r="A31" s="3489"/>
      <c r="B31" s="3492"/>
      <c r="C31" s="2847" t="s">
        <v>2447</v>
      </c>
      <c r="D31" s="2848"/>
      <c r="E31" s="2849">
        <v>0.8</v>
      </c>
      <c r="F31" s="2846" t="s">
        <v>2448</v>
      </c>
      <c r="G31" s="2846"/>
    </row>
    <row r="32" spans="1:13" ht="19.5" customHeight="1">
      <c r="A32" s="3489"/>
      <c r="B32" s="3492"/>
      <c r="C32" s="2847" t="s">
        <v>2449</v>
      </c>
      <c r="D32" s="2848"/>
      <c r="E32" s="2849">
        <v>0.8</v>
      </c>
      <c r="F32" s="2846" t="s">
        <v>2450</v>
      </c>
      <c r="G32" s="2846"/>
    </row>
    <row r="33" spans="1:7" ht="19.5" customHeight="1">
      <c r="A33" s="3489"/>
      <c r="B33" s="3492"/>
      <c r="C33" s="2847" t="s">
        <v>2451</v>
      </c>
      <c r="D33" s="2848"/>
      <c r="E33" s="2849">
        <v>0.8</v>
      </c>
      <c r="F33" s="2846" t="s">
        <v>2452</v>
      </c>
      <c r="G33" s="2846"/>
    </row>
    <row r="34" spans="1:7" ht="19.5" customHeight="1">
      <c r="A34" s="3489"/>
      <c r="B34" s="3492"/>
      <c r="C34" s="2847" t="s">
        <v>2453</v>
      </c>
      <c r="D34" s="2848"/>
      <c r="E34" s="2849">
        <v>0.7</v>
      </c>
      <c r="F34" s="2846" t="s">
        <v>2454</v>
      </c>
      <c r="G34" s="2846"/>
    </row>
    <row r="35" spans="1:7" ht="19.5" customHeight="1">
      <c r="A35" s="3489"/>
      <c r="B35" s="3492"/>
      <c r="C35" s="2847" t="s">
        <v>2455</v>
      </c>
      <c r="D35" s="2848"/>
      <c r="E35" s="2849">
        <v>0.8</v>
      </c>
      <c r="F35" s="2846" t="s">
        <v>2456</v>
      </c>
      <c r="G35" s="2846"/>
    </row>
    <row r="36" spans="1:7" ht="19.5" customHeight="1">
      <c r="A36" s="3489"/>
      <c r="B36" s="3492"/>
      <c r="C36" s="2847" t="s">
        <v>2457</v>
      </c>
      <c r="D36" s="2848"/>
      <c r="E36" s="2849">
        <v>0.6</v>
      </c>
      <c r="F36" s="2846" t="s">
        <v>2458</v>
      </c>
      <c r="G36" s="2846"/>
    </row>
    <row r="37" spans="1:7" ht="19.5" customHeight="1">
      <c r="A37" s="3489"/>
      <c r="B37" s="3492"/>
      <c r="C37" s="2847" t="s">
        <v>2459</v>
      </c>
      <c r="D37" s="2848"/>
      <c r="E37" s="2849">
        <v>0.2</v>
      </c>
      <c r="F37" s="2846" t="s">
        <v>2460</v>
      </c>
      <c r="G37" s="2846"/>
    </row>
    <row r="38" spans="1:7" ht="19.5" customHeight="1">
      <c r="A38" s="3489"/>
      <c r="B38" s="3492"/>
      <c r="C38" s="2847" t="s">
        <v>2461</v>
      </c>
      <c r="D38" s="2848"/>
      <c r="E38" s="2849">
        <v>0.2</v>
      </c>
      <c r="F38" s="2846" t="s">
        <v>2462</v>
      </c>
      <c r="G38" s="2846"/>
    </row>
    <row r="39" spans="1:7" ht="19.5" customHeight="1">
      <c r="A39" s="3489"/>
      <c r="B39" s="3493" t="s">
        <v>2623</v>
      </c>
      <c r="C39" s="2847" t="s">
        <v>2463</v>
      </c>
      <c r="D39" s="2848"/>
      <c r="E39" s="2849">
        <v>0.6</v>
      </c>
      <c r="F39" s="2846" t="s">
        <v>2464</v>
      </c>
      <c r="G39" s="2846"/>
    </row>
    <row r="40" spans="1:7" ht="19.5" customHeight="1">
      <c r="A40" s="3489"/>
      <c r="B40" s="3492"/>
      <c r="C40" s="2847" t="s">
        <v>2465</v>
      </c>
      <c r="D40" s="2848"/>
      <c r="E40" s="2849">
        <v>0.6</v>
      </c>
      <c r="F40" s="2846" t="s">
        <v>2466</v>
      </c>
      <c r="G40" s="2846"/>
    </row>
    <row r="41" spans="1:7" ht="19.5" customHeight="1" thickBot="1">
      <c r="A41" s="3490"/>
      <c r="B41" s="3494"/>
      <c r="C41" s="2850" t="s">
        <v>2467</v>
      </c>
      <c r="D41" s="2851"/>
      <c r="E41" s="2852">
        <v>0.6</v>
      </c>
      <c r="F41" s="2846" t="s">
        <v>2468</v>
      </c>
      <c r="G41" s="2846"/>
    </row>
    <row r="42" spans="1:7" ht="19.5" customHeight="1" thickBot="1">
      <c r="A42" s="2853" t="s">
        <v>2600</v>
      </c>
      <c r="B42" s="2854" t="s">
        <v>2600</v>
      </c>
      <c r="C42" s="2855" t="s">
        <v>2624</v>
      </c>
      <c r="D42" s="2856"/>
      <c r="E42" s="2857">
        <v>1</v>
      </c>
      <c r="F42" s="2846" t="s">
        <v>2469</v>
      </c>
      <c r="G42" s="2846"/>
    </row>
    <row r="43" spans="1:7" ht="19.5" customHeight="1">
      <c r="A43" s="3495" t="s">
        <v>2601</v>
      </c>
      <c r="B43" s="3491" t="s">
        <v>2625</v>
      </c>
      <c r="C43" s="2843" t="s">
        <v>2470</v>
      </c>
      <c r="D43" s="2844"/>
      <c r="E43" s="2845">
        <v>1</v>
      </c>
      <c r="F43" s="2846" t="s">
        <v>2471</v>
      </c>
      <c r="G43" s="2846"/>
    </row>
    <row r="44" spans="1:7" ht="19.5" customHeight="1">
      <c r="A44" s="3496"/>
      <c r="B44" s="3492"/>
      <c r="C44" s="2847" t="s">
        <v>2472</v>
      </c>
      <c r="D44" s="2848"/>
      <c r="E44" s="2849">
        <v>1</v>
      </c>
      <c r="F44" s="2846" t="s">
        <v>2473</v>
      </c>
      <c r="G44" s="2846"/>
    </row>
    <row r="45" spans="1:7" ht="19.5" customHeight="1">
      <c r="A45" s="3496"/>
      <c r="B45" s="3498"/>
      <c r="C45" s="2847" t="s">
        <v>2474</v>
      </c>
      <c r="D45" s="2848"/>
      <c r="E45" s="2849">
        <v>1.5</v>
      </c>
      <c r="F45" s="2846" t="s">
        <v>2475</v>
      </c>
      <c r="G45" s="2846"/>
    </row>
    <row r="46" spans="1:7" ht="19.5" customHeight="1">
      <c r="A46" s="3496"/>
      <c r="B46" s="2858" t="s">
        <v>2626</v>
      </c>
      <c r="C46" s="2847" t="s">
        <v>2627</v>
      </c>
      <c r="D46" s="2848"/>
      <c r="E46" s="2849">
        <v>2</v>
      </c>
      <c r="F46" s="2846" t="s">
        <v>2476</v>
      </c>
      <c r="G46" s="2846"/>
    </row>
    <row r="47" spans="1:7" ht="19.5" customHeight="1">
      <c r="A47" s="3496"/>
      <c r="B47" s="3493" t="s">
        <v>2628</v>
      </c>
      <c r="C47" s="2847" t="s">
        <v>2477</v>
      </c>
      <c r="D47" s="2848"/>
      <c r="E47" s="2849">
        <v>1</v>
      </c>
      <c r="F47" s="2846" t="s">
        <v>2478</v>
      </c>
      <c r="G47" s="2846"/>
    </row>
    <row r="48" spans="1:7" ht="19.5" customHeight="1">
      <c r="A48" s="3496"/>
      <c r="B48" s="3492"/>
      <c r="C48" s="2847" t="s">
        <v>2479</v>
      </c>
      <c r="D48" s="2848"/>
      <c r="E48" s="2849">
        <v>1</v>
      </c>
      <c r="F48" s="2846" t="s">
        <v>2480</v>
      </c>
      <c r="G48" s="2846"/>
    </row>
    <row r="49" spans="1:7" ht="19.5" customHeight="1">
      <c r="A49" s="3496"/>
      <c r="B49" s="3492"/>
      <c r="C49" s="2847" t="s">
        <v>2481</v>
      </c>
      <c r="D49" s="2848"/>
      <c r="E49" s="2849">
        <v>1</v>
      </c>
      <c r="F49" s="2846" t="s">
        <v>2482</v>
      </c>
      <c r="G49" s="2846"/>
    </row>
    <row r="50" spans="1:7" ht="19.5" customHeight="1">
      <c r="A50" s="3496"/>
      <c r="B50" s="3492"/>
      <c r="C50" s="2847" t="s">
        <v>2483</v>
      </c>
      <c r="D50" s="2848"/>
      <c r="E50" s="2849">
        <v>1</v>
      </c>
      <c r="F50" s="2846" t="s">
        <v>2484</v>
      </c>
      <c r="G50" s="2846"/>
    </row>
    <row r="51" spans="1:7" ht="19.5" customHeight="1">
      <c r="A51" s="3496"/>
      <c r="B51" s="3492"/>
      <c r="C51" s="2847" t="s">
        <v>2485</v>
      </c>
      <c r="D51" s="2848"/>
      <c r="E51" s="2849">
        <v>1</v>
      </c>
      <c r="F51" s="2846" t="s">
        <v>2486</v>
      </c>
      <c r="G51" s="2846"/>
    </row>
    <row r="52" spans="1:7" ht="19.5" customHeight="1">
      <c r="A52" s="3496"/>
      <c r="B52" s="3492"/>
      <c r="C52" s="2847" t="s">
        <v>2487</v>
      </c>
      <c r="D52" s="2848"/>
      <c r="E52" s="2849">
        <v>1</v>
      </c>
      <c r="F52" s="2846" t="s">
        <v>2488</v>
      </c>
      <c r="G52" s="2846"/>
    </row>
    <row r="53" spans="1:7" ht="19.5" customHeight="1" thickBot="1">
      <c r="A53" s="3497"/>
      <c r="B53" s="3494"/>
      <c r="C53" s="2850" t="s">
        <v>2489</v>
      </c>
      <c r="D53" s="2851"/>
      <c r="E53" s="2852">
        <v>1</v>
      </c>
      <c r="F53" s="2846" t="s">
        <v>2490</v>
      </c>
      <c r="G53" s="2846"/>
    </row>
    <row r="54" spans="1:7" ht="19.5" customHeight="1">
      <c r="A54" s="2859"/>
      <c r="B54" s="2859"/>
      <c r="C54" s="2859"/>
      <c r="D54" s="2859"/>
      <c r="E54" s="2859"/>
      <c r="F54" s="2859"/>
      <c r="G54" s="2859"/>
    </row>
    <row r="56" spans="1:7" ht="19.5" customHeight="1">
      <c r="A56" s="2860"/>
      <c r="B56" s="2832" t="s">
        <v>2629</v>
      </c>
      <c r="C56" s="2832" t="s">
        <v>2629</v>
      </c>
      <c r="D56" s="2832" t="s">
        <v>2629</v>
      </c>
      <c r="E56" s="2835" t="s">
        <v>2629</v>
      </c>
      <c r="F56" s="2835" t="s">
        <v>2630</v>
      </c>
      <c r="G56" s="2835" t="s">
        <v>2631</v>
      </c>
    </row>
    <row r="57" spans="1:7" ht="19.5" customHeight="1">
      <c r="A57" s="2861"/>
      <c r="B57" s="2835" t="s">
        <v>2598</v>
      </c>
      <c r="C57" s="2835" t="s">
        <v>2598</v>
      </c>
      <c r="D57" s="2835" t="s">
        <v>2598</v>
      </c>
      <c r="E57" s="2832" t="s">
        <v>2599</v>
      </c>
      <c r="F57" s="2832" t="s">
        <v>2601</v>
      </c>
      <c r="G57" s="2832" t="s">
        <v>2632</v>
      </c>
    </row>
    <row r="58" spans="1:7" ht="19.5" customHeight="1">
      <c r="A58" s="2862"/>
      <c r="B58" s="2832">
        <v>1</v>
      </c>
      <c r="C58" s="2832">
        <v>2</v>
      </c>
      <c r="D58" s="2832">
        <v>3</v>
      </c>
      <c r="E58" s="2863" t="s">
        <v>2633</v>
      </c>
      <c r="F58" s="2863" t="s">
        <v>2633</v>
      </c>
      <c r="G58" s="2863" t="s">
        <v>2633</v>
      </c>
    </row>
    <row r="59" spans="1:7" ht="19.5" customHeight="1">
      <c r="A59" s="2864" t="s">
        <v>2586</v>
      </c>
      <c r="B59" s="2832">
        <v>0.7</v>
      </c>
      <c r="C59" s="2832">
        <v>0.4</v>
      </c>
      <c r="D59" s="2832">
        <v>0.3</v>
      </c>
      <c r="E59" s="2863">
        <v>0.3</v>
      </c>
      <c r="F59" s="2832">
        <v>0.3</v>
      </c>
      <c r="G59" s="2832">
        <v>0.2</v>
      </c>
    </row>
    <row r="60" spans="1:7" ht="19.5" customHeight="1">
      <c r="A60" s="2864" t="s">
        <v>2587</v>
      </c>
      <c r="B60" s="2832">
        <v>0.7</v>
      </c>
      <c r="C60" s="2832">
        <v>0.4</v>
      </c>
      <c r="D60" s="2832">
        <v>0.3</v>
      </c>
      <c r="E60" s="2832">
        <v>0.3</v>
      </c>
      <c r="F60" s="2832">
        <v>0.3</v>
      </c>
      <c r="G60" s="2832">
        <v>0.2</v>
      </c>
    </row>
    <row r="61" spans="1:7" ht="19.5" customHeight="1">
      <c r="A61" s="2864" t="s">
        <v>2588</v>
      </c>
      <c r="B61" s="2832">
        <v>0.6</v>
      </c>
      <c r="C61" s="2832">
        <v>0.3</v>
      </c>
      <c r="D61" s="2832">
        <v>0.25</v>
      </c>
      <c r="E61" s="2832">
        <v>0.25</v>
      </c>
      <c r="F61" s="2832">
        <v>0.25</v>
      </c>
      <c r="G61" s="2832">
        <v>0.15</v>
      </c>
    </row>
    <row r="62" spans="1:7" ht="19.5" customHeight="1">
      <c r="A62" s="2864" t="s">
        <v>2589</v>
      </c>
      <c r="B62" s="2832">
        <v>0.6</v>
      </c>
      <c r="C62" s="2832">
        <v>0.3</v>
      </c>
      <c r="D62" s="2832">
        <v>0.25</v>
      </c>
      <c r="E62" s="2832">
        <v>0.25</v>
      </c>
      <c r="F62" s="2832">
        <v>0.25</v>
      </c>
      <c r="G62" s="2832">
        <v>0.15</v>
      </c>
    </row>
    <row r="63" spans="1:7" ht="19.5" customHeight="1">
      <c r="A63" s="2864" t="s">
        <v>2590</v>
      </c>
      <c r="B63" s="2832">
        <v>0.6</v>
      </c>
      <c r="C63" s="2832">
        <v>0.3</v>
      </c>
      <c r="D63" s="2832">
        <v>0.25</v>
      </c>
      <c r="E63" s="2832">
        <v>0.25</v>
      </c>
      <c r="F63" s="2832">
        <v>0.25</v>
      </c>
      <c r="G63" s="2832">
        <v>0.15</v>
      </c>
    </row>
    <row r="64" spans="1:7" ht="19.5" customHeight="1">
      <c r="A64" s="2864" t="s">
        <v>2591</v>
      </c>
      <c r="B64" s="2832">
        <v>0.6</v>
      </c>
      <c r="C64" s="2832">
        <v>0.3</v>
      </c>
      <c r="D64" s="2832">
        <v>0.25</v>
      </c>
      <c r="E64" s="2832">
        <v>0.25</v>
      </c>
      <c r="F64" s="2832">
        <v>0.25</v>
      </c>
      <c r="G64" s="2832">
        <v>0.15</v>
      </c>
    </row>
    <row r="65" spans="1:7" ht="19.5" customHeight="1">
      <c r="A65" s="2864" t="s">
        <v>2592</v>
      </c>
      <c r="B65" s="2832">
        <v>0.6</v>
      </c>
      <c r="C65" s="2832">
        <v>0.3</v>
      </c>
      <c r="D65" s="2832">
        <v>0.25</v>
      </c>
      <c r="E65" s="2832">
        <v>0.25</v>
      </c>
      <c r="F65" s="2832">
        <v>0.25</v>
      </c>
      <c r="G65" s="2832">
        <v>0.15</v>
      </c>
    </row>
    <row r="66" spans="1:7" ht="19.5" customHeight="1">
      <c r="A66" s="2864" t="s">
        <v>2593</v>
      </c>
      <c r="B66" s="2832">
        <v>0.5</v>
      </c>
      <c r="C66" s="2832">
        <v>0.2</v>
      </c>
      <c r="D66" s="2832">
        <v>0.2</v>
      </c>
      <c r="E66" s="2832">
        <v>0.2</v>
      </c>
      <c r="F66" s="2832">
        <v>0.2</v>
      </c>
      <c r="G66" s="2832">
        <v>0.1</v>
      </c>
    </row>
    <row r="67" spans="1:7" ht="19.5" customHeight="1">
      <c r="A67" s="2864" t="s">
        <v>2594</v>
      </c>
      <c r="B67" s="2832">
        <v>0.5</v>
      </c>
      <c r="C67" s="2832">
        <v>0.2</v>
      </c>
      <c r="D67" s="2832">
        <v>0.2</v>
      </c>
      <c r="E67" s="2832">
        <v>0.2</v>
      </c>
      <c r="F67" s="2832">
        <v>0.2</v>
      </c>
      <c r="G67" s="2832">
        <v>0.1</v>
      </c>
    </row>
    <row r="68" spans="1:7" ht="19.5" customHeight="1">
      <c r="A68" s="2864" t="s">
        <v>2595</v>
      </c>
      <c r="B68" s="2832">
        <v>0.5</v>
      </c>
      <c r="C68" s="2832">
        <v>0.2</v>
      </c>
      <c r="D68" s="2832">
        <v>0.2</v>
      </c>
      <c r="E68" s="2832">
        <v>0.2</v>
      </c>
      <c r="F68" s="2832">
        <v>0.2</v>
      </c>
      <c r="G68" s="2832">
        <v>0.1</v>
      </c>
    </row>
    <row r="69" spans="1:7" ht="19.5" customHeight="1">
      <c r="A69" s="2864" t="s">
        <v>2596</v>
      </c>
      <c r="B69" s="2832">
        <v>0.5</v>
      </c>
      <c r="C69" s="2832">
        <v>0.2</v>
      </c>
      <c r="D69" s="2832">
        <v>0.2</v>
      </c>
      <c r="E69" s="2832">
        <v>0.2</v>
      </c>
      <c r="F69" s="2832">
        <v>0.2</v>
      </c>
      <c r="G69" s="2832">
        <v>0.1</v>
      </c>
    </row>
    <row r="70" spans="1:7" ht="19.5" customHeight="1">
      <c r="A70" s="2864" t="s">
        <v>2597</v>
      </c>
      <c r="B70" s="2832">
        <v>0.5</v>
      </c>
      <c r="C70" s="2832">
        <v>0.2</v>
      </c>
      <c r="D70" s="2832">
        <v>0.2</v>
      </c>
      <c r="E70" s="2832">
        <v>0.2</v>
      </c>
      <c r="F70" s="2832">
        <v>0.2</v>
      </c>
      <c r="G70" s="2832">
        <v>0.1</v>
      </c>
    </row>
    <row r="72" spans="1:7" ht="19.5" customHeight="1">
      <c r="A72" s="2846"/>
      <c r="B72" s="2865"/>
      <c r="C72" s="2865"/>
      <c r="D72" s="2865" t="s">
        <v>2634</v>
      </c>
      <c r="E72" s="2865"/>
      <c r="F72" s="2865"/>
    </row>
    <row r="73" spans="1:7" ht="19.5" customHeight="1">
      <c r="A73" s="2858" t="s">
        <v>2635</v>
      </c>
      <c r="B73" s="2858" t="s">
        <v>2636</v>
      </c>
      <c r="C73" s="2858" t="s">
        <v>2637</v>
      </c>
      <c r="D73" s="2858" t="s">
        <v>2638</v>
      </c>
      <c r="E73" s="2858" t="s">
        <v>2639</v>
      </c>
      <c r="F73" s="2858" t="s">
        <v>2640</v>
      </c>
    </row>
    <row r="74" spans="1:7" ht="13.5">
      <c r="A74" s="2858"/>
      <c r="B74" s="2858"/>
      <c r="C74" s="2858" t="s">
        <v>2641</v>
      </c>
      <c r="D74" s="2858"/>
      <c r="E74" s="2858" t="s">
        <v>2612</v>
      </c>
      <c r="F74" s="2858" t="s">
        <v>2612</v>
      </c>
    </row>
    <row r="75" spans="1:7" ht="13.5">
      <c r="A75" s="2858">
        <v>1</v>
      </c>
      <c r="B75" s="3493" t="s">
        <v>2642</v>
      </c>
      <c r="C75" s="2832" t="s">
        <v>2643</v>
      </c>
      <c r="D75" s="2832" t="s">
        <v>2644</v>
      </c>
      <c r="E75" s="2858">
        <v>0.2</v>
      </c>
      <c r="F75" s="2858">
        <v>25</v>
      </c>
    </row>
    <row r="76" spans="1:7" ht="24">
      <c r="A76" s="2858">
        <v>2</v>
      </c>
      <c r="B76" s="3492"/>
      <c r="C76" s="2832" t="s">
        <v>2645</v>
      </c>
      <c r="D76" s="2832" t="s">
        <v>2646</v>
      </c>
      <c r="E76" s="2858">
        <v>0.2</v>
      </c>
      <c r="F76" s="2858">
        <v>25</v>
      </c>
    </row>
    <row r="77" spans="1:7" ht="24">
      <c r="A77" s="2858">
        <v>3</v>
      </c>
      <c r="B77" s="3492"/>
      <c r="C77" s="2832" t="s">
        <v>2647</v>
      </c>
      <c r="D77" s="2832" t="s">
        <v>2648</v>
      </c>
      <c r="E77" s="2858">
        <v>0.2</v>
      </c>
      <c r="F77" s="2858">
        <v>25</v>
      </c>
    </row>
    <row r="78" spans="1:7" ht="13.5">
      <c r="A78" s="2858">
        <v>4</v>
      </c>
      <c r="B78" s="3492"/>
      <c r="C78" s="2832" t="s">
        <v>2649</v>
      </c>
      <c r="D78" s="2832" t="s">
        <v>2650</v>
      </c>
      <c r="E78" s="2858">
        <v>0.15</v>
      </c>
      <c r="F78" s="2858">
        <v>20</v>
      </c>
    </row>
    <row r="79" spans="1:7" ht="24">
      <c r="A79" s="2858">
        <v>5</v>
      </c>
      <c r="B79" s="3492"/>
      <c r="C79" s="2832" t="s">
        <v>2651</v>
      </c>
      <c r="D79" s="2832" t="s">
        <v>2652</v>
      </c>
      <c r="E79" s="2858">
        <v>0.15</v>
      </c>
      <c r="F79" s="2858">
        <v>20</v>
      </c>
    </row>
    <row r="80" spans="1:7" ht="24">
      <c r="A80" s="2858">
        <v>6</v>
      </c>
      <c r="B80" s="3492"/>
      <c r="C80" s="2832" t="s">
        <v>2653</v>
      </c>
      <c r="D80" s="2832" t="s">
        <v>2654</v>
      </c>
      <c r="E80" s="2858">
        <v>0.15</v>
      </c>
      <c r="F80" s="2858">
        <v>20</v>
      </c>
    </row>
    <row r="81" spans="1:6" ht="24">
      <c r="A81" s="2858">
        <v>7</v>
      </c>
      <c r="B81" s="3492"/>
      <c r="C81" s="2832" t="s">
        <v>2655</v>
      </c>
      <c r="D81" s="2832" t="s">
        <v>2656</v>
      </c>
      <c r="E81" s="2858">
        <v>0.15</v>
      </c>
      <c r="F81" s="2858">
        <v>20</v>
      </c>
    </row>
    <row r="82" spans="1:6" ht="24">
      <c r="A82" s="2858">
        <v>8</v>
      </c>
      <c r="B82" s="3492"/>
      <c r="C82" s="2832" t="s">
        <v>2657</v>
      </c>
      <c r="D82" s="2832" t="s">
        <v>2658</v>
      </c>
      <c r="E82" s="2858">
        <v>0.1</v>
      </c>
      <c r="F82" s="2858">
        <v>15</v>
      </c>
    </row>
    <row r="83" spans="1:6" ht="24">
      <c r="A83" s="2858">
        <v>9</v>
      </c>
      <c r="B83" s="3492"/>
      <c r="C83" s="2832" t="s">
        <v>2659</v>
      </c>
      <c r="D83" s="2832" t="s">
        <v>2660</v>
      </c>
      <c r="E83" s="2858">
        <v>0.1</v>
      </c>
      <c r="F83" s="2858">
        <v>15</v>
      </c>
    </row>
    <row r="84" spans="1:6" ht="24">
      <c r="A84" s="2858">
        <v>10</v>
      </c>
      <c r="B84" s="3492"/>
      <c r="C84" s="2832" t="s">
        <v>2661</v>
      </c>
      <c r="D84" s="2832" t="s">
        <v>2662</v>
      </c>
      <c r="E84" s="2858">
        <v>0.1</v>
      </c>
      <c r="F84" s="2858">
        <v>15</v>
      </c>
    </row>
    <row r="85" spans="1:6" ht="24">
      <c r="A85" s="2858">
        <v>11</v>
      </c>
      <c r="B85" s="3492"/>
      <c r="C85" s="2832" t="s">
        <v>2663</v>
      </c>
      <c r="D85" s="2832" t="s">
        <v>2664</v>
      </c>
      <c r="E85" s="2858">
        <v>0.1</v>
      </c>
      <c r="F85" s="2858">
        <v>15</v>
      </c>
    </row>
    <row r="86" spans="1:6" ht="24">
      <c r="A86" s="2858">
        <v>12</v>
      </c>
      <c r="B86" s="3492"/>
      <c r="C86" s="2832" t="s">
        <v>2665</v>
      </c>
      <c r="D86" s="2832" t="s">
        <v>2666</v>
      </c>
      <c r="E86" s="2858">
        <v>0.1</v>
      </c>
      <c r="F86" s="2858">
        <v>15</v>
      </c>
    </row>
    <row r="87" spans="1:6" ht="13.5">
      <c r="A87" s="2858">
        <v>13</v>
      </c>
      <c r="B87" s="3492"/>
      <c r="C87" s="2832" t="s">
        <v>2667</v>
      </c>
      <c r="D87" s="2832" t="s">
        <v>2668</v>
      </c>
      <c r="E87" s="2858">
        <v>0.1</v>
      </c>
      <c r="F87" s="2858">
        <v>15</v>
      </c>
    </row>
    <row r="88" spans="1:6" ht="13.5">
      <c r="A88" s="2858">
        <v>14</v>
      </c>
      <c r="B88" s="3492"/>
      <c r="C88" s="2832" t="s">
        <v>2669</v>
      </c>
      <c r="D88" s="2832" t="s">
        <v>2670</v>
      </c>
      <c r="E88" s="2858">
        <v>0.1</v>
      </c>
      <c r="F88" s="2858">
        <v>15</v>
      </c>
    </row>
    <row r="89" spans="1:6" ht="13.5">
      <c r="A89" s="2858">
        <v>15</v>
      </c>
      <c r="B89" s="3492"/>
      <c r="C89" s="2832" t="s">
        <v>2671</v>
      </c>
      <c r="D89" s="2832" t="s">
        <v>2672</v>
      </c>
      <c r="E89" s="2858">
        <v>0.1</v>
      </c>
      <c r="F89" s="2858">
        <v>15</v>
      </c>
    </row>
    <row r="90" spans="1:6" ht="24">
      <c r="A90" s="2858">
        <v>16</v>
      </c>
      <c r="B90" s="3492"/>
      <c r="C90" s="2832" t="s">
        <v>2673</v>
      </c>
      <c r="D90" s="2832" t="s">
        <v>2674</v>
      </c>
      <c r="E90" s="2858">
        <v>0.1</v>
      </c>
      <c r="F90" s="2858">
        <v>15</v>
      </c>
    </row>
    <row r="91" spans="1:6" ht="24">
      <c r="A91" s="2858">
        <v>17</v>
      </c>
      <c r="B91" s="3498"/>
      <c r="C91" s="2832" t="s">
        <v>2675</v>
      </c>
      <c r="D91" s="2832" t="s">
        <v>2676</v>
      </c>
      <c r="E91" s="2858">
        <v>0.1</v>
      </c>
      <c r="F91" s="2858">
        <v>15</v>
      </c>
    </row>
    <row r="92" spans="1:6" ht="13.5">
      <c r="A92" s="2858">
        <v>18</v>
      </c>
      <c r="B92" s="3493" t="s">
        <v>2677</v>
      </c>
      <c r="C92" s="2832" t="s">
        <v>2678</v>
      </c>
      <c r="D92" s="2832" t="s">
        <v>2679</v>
      </c>
      <c r="E92" s="2858">
        <v>0.2</v>
      </c>
      <c r="F92" s="2858">
        <v>25</v>
      </c>
    </row>
    <row r="93" spans="1:6" ht="24">
      <c r="A93" s="2858">
        <v>19</v>
      </c>
      <c r="B93" s="3492"/>
      <c r="C93" s="2832" t="s">
        <v>2680</v>
      </c>
      <c r="D93" s="2832" t="s">
        <v>2681</v>
      </c>
      <c r="E93" s="2858">
        <v>0.2</v>
      </c>
      <c r="F93" s="2858">
        <v>25</v>
      </c>
    </row>
    <row r="94" spans="1:6" ht="13.5">
      <c r="A94" s="2858">
        <v>20</v>
      </c>
      <c r="B94" s="3492"/>
      <c r="C94" s="2832" t="s">
        <v>2682</v>
      </c>
      <c r="D94" s="2832" t="s">
        <v>2683</v>
      </c>
      <c r="E94" s="2858">
        <v>0.15</v>
      </c>
      <c r="F94" s="2858">
        <v>20</v>
      </c>
    </row>
    <row r="95" spans="1:6" ht="13.5">
      <c r="A95" s="2858">
        <v>21</v>
      </c>
      <c r="B95" s="3492"/>
      <c r="C95" s="2832" t="s">
        <v>2684</v>
      </c>
      <c r="D95" s="2832" t="s">
        <v>2685</v>
      </c>
      <c r="E95" s="2858">
        <v>0.15</v>
      </c>
      <c r="F95" s="2858">
        <v>20</v>
      </c>
    </row>
    <row r="96" spans="1:6" ht="13.5">
      <c r="A96" s="2858">
        <v>22</v>
      </c>
      <c r="B96" s="3492"/>
      <c r="C96" s="2832" t="s">
        <v>2686</v>
      </c>
      <c r="D96" s="2832" t="s">
        <v>2687</v>
      </c>
      <c r="E96" s="2858">
        <v>0.15</v>
      </c>
      <c r="F96" s="2858">
        <v>20</v>
      </c>
    </row>
    <row r="97" spans="1:6" ht="36">
      <c r="A97" s="2858">
        <v>23</v>
      </c>
      <c r="B97" s="3492"/>
      <c r="C97" s="2832" t="s">
        <v>2688</v>
      </c>
      <c r="D97" s="2832" t="s">
        <v>2689</v>
      </c>
      <c r="E97" s="2858">
        <v>0.15</v>
      </c>
      <c r="F97" s="2858">
        <v>20</v>
      </c>
    </row>
    <row r="98" spans="1:6" ht="13.5">
      <c r="A98" s="2858">
        <v>24</v>
      </c>
      <c r="B98" s="3492"/>
      <c r="C98" s="2832" t="s">
        <v>2690</v>
      </c>
      <c r="D98" s="2832" t="s">
        <v>2691</v>
      </c>
      <c r="E98" s="2858">
        <v>0.1</v>
      </c>
      <c r="F98" s="2858">
        <v>15</v>
      </c>
    </row>
    <row r="99" spans="1:6" ht="13.5">
      <c r="A99" s="2858">
        <v>25</v>
      </c>
      <c r="B99" s="3492"/>
      <c r="C99" s="2832" t="s">
        <v>2692</v>
      </c>
      <c r="D99" s="2832" t="s">
        <v>2693</v>
      </c>
      <c r="E99" s="2858">
        <v>0.1</v>
      </c>
      <c r="F99" s="2858">
        <v>15</v>
      </c>
    </row>
    <row r="100" spans="1:6" ht="24">
      <c r="A100" s="2858">
        <v>26</v>
      </c>
      <c r="B100" s="3492"/>
      <c r="C100" s="2832" t="s">
        <v>2694</v>
      </c>
      <c r="D100" s="2832" t="s">
        <v>2695</v>
      </c>
      <c r="E100" s="2858">
        <v>0.1</v>
      </c>
      <c r="F100" s="2858">
        <v>15</v>
      </c>
    </row>
    <row r="101" spans="1:6" ht="24">
      <c r="A101" s="2858">
        <v>27</v>
      </c>
      <c r="B101" s="3492"/>
      <c r="C101" s="2832" t="s">
        <v>2696</v>
      </c>
      <c r="D101" s="2832" t="s">
        <v>2697</v>
      </c>
      <c r="E101" s="2858">
        <v>0.1</v>
      </c>
      <c r="F101" s="2858">
        <v>15</v>
      </c>
    </row>
    <row r="102" spans="1:6" ht="13.5">
      <c r="A102" s="2858">
        <v>28</v>
      </c>
      <c r="B102" s="3492"/>
      <c r="C102" s="2832" t="s">
        <v>2698</v>
      </c>
      <c r="D102" s="2832" t="s">
        <v>2699</v>
      </c>
      <c r="E102" s="2858">
        <v>0.1</v>
      </c>
      <c r="F102" s="2858">
        <v>15</v>
      </c>
    </row>
    <row r="103" spans="1:6" ht="13.5">
      <c r="A103" s="2858">
        <v>29</v>
      </c>
      <c r="B103" s="3492"/>
      <c r="C103" s="2832" t="s">
        <v>2700</v>
      </c>
      <c r="D103" s="2832" t="s">
        <v>2701</v>
      </c>
      <c r="E103" s="2858">
        <v>0.1</v>
      </c>
      <c r="F103" s="2858">
        <v>15</v>
      </c>
    </row>
    <row r="104" spans="1:6" ht="13.5">
      <c r="A104" s="2858">
        <v>30</v>
      </c>
      <c r="B104" s="3492"/>
      <c r="C104" s="2832" t="s">
        <v>2702</v>
      </c>
      <c r="D104" s="2832" t="s">
        <v>2703</v>
      </c>
      <c r="E104" s="2858">
        <v>0.1</v>
      </c>
      <c r="F104" s="2858">
        <v>15</v>
      </c>
    </row>
    <row r="105" spans="1:6" ht="24">
      <c r="A105" s="2858">
        <v>31</v>
      </c>
      <c r="B105" s="3492"/>
      <c r="C105" s="2832" t="s">
        <v>2704</v>
      </c>
      <c r="D105" s="2832" t="s">
        <v>2705</v>
      </c>
      <c r="E105" s="2858">
        <v>0.1</v>
      </c>
      <c r="F105" s="2858">
        <v>15</v>
      </c>
    </row>
    <row r="106" spans="1:6" ht="24">
      <c r="A106" s="2858">
        <v>32</v>
      </c>
      <c r="B106" s="3492"/>
      <c r="C106" s="2832" t="s">
        <v>2706</v>
      </c>
      <c r="D106" s="2832" t="s">
        <v>2707</v>
      </c>
      <c r="E106" s="2858">
        <v>0.1</v>
      </c>
      <c r="F106" s="2858">
        <v>15</v>
      </c>
    </row>
    <row r="107" spans="1:6" ht="24">
      <c r="A107" s="2858">
        <v>33</v>
      </c>
      <c r="B107" s="3492"/>
      <c r="C107" s="2832" t="s">
        <v>2708</v>
      </c>
      <c r="D107" s="2832" t="s">
        <v>2709</v>
      </c>
      <c r="E107" s="2858">
        <v>0.1</v>
      </c>
      <c r="F107" s="2858">
        <v>15</v>
      </c>
    </row>
    <row r="108" spans="1:6" ht="24">
      <c r="A108" s="2858">
        <v>34</v>
      </c>
      <c r="B108" s="3498"/>
      <c r="C108" s="2832" t="s">
        <v>2710</v>
      </c>
      <c r="D108" s="2832" t="s">
        <v>2711</v>
      </c>
      <c r="E108" s="2858">
        <v>0.1</v>
      </c>
      <c r="F108" s="2858">
        <v>15</v>
      </c>
    </row>
    <row r="109" spans="1:6" ht="24">
      <c r="A109" s="2858">
        <v>35</v>
      </c>
      <c r="B109" s="3493" t="s">
        <v>2712</v>
      </c>
      <c r="C109" s="2858" t="s">
        <v>2713</v>
      </c>
      <c r="D109" s="2832" t="s">
        <v>2714</v>
      </c>
      <c r="E109" s="2858">
        <v>0.15</v>
      </c>
      <c r="F109" s="2858">
        <v>20</v>
      </c>
    </row>
    <row r="110" spans="1:6" ht="13.5">
      <c r="A110" s="2858">
        <v>36</v>
      </c>
      <c r="B110" s="3492"/>
      <c r="C110" s="2858" t="s">
        <v>2715</v>
      </c>
      <c r="D110" s="2832" t="s">
        <v>2716</v>
      </c>
      <c r="E110" s="2858">
        <v>0.15</v>
      </c>
      <c r="F110" s="2858">
        <v>20</v>
      </c>
    </row>
    <row r="111" spans="1:6" ht="13.5">
      <c r="A111" s="2858">
        <v>37</v>
      </c>
      <c r="B111" s="3492"/>
      <c r="C111" s="2858" t="s">
        <v>2717</v>
      </c>
      <c r="D111" s="2832" t="s">
        <v>2718</v>
      </c>
      <c r="E111" s="2858">
        <v>0.15</v>
      </c>
      <c r="F111" s="2858">
        <v>20</v>
      </c>
    </row>
    <row r="112" spans="1:6" ht="13.5">
      <c r="A112" s="2858">
        <v>38</v>
      </c>
      <c r="B112" s="3492"/>
      <c r="C112" s="2858" t="s">
        <v>2719</v>
      </c>
      <c r="D112" s="2832" t="s">
        <v>2720</v>
      </c>
      <c r="E112" s="2858">
        <v>0.1</v>
      </c>
      <c r="F112" s="2858">
        <v>15</v>
      </c>
    </row>
    <row r="113" spans="1:6" ht="24">
      <c r="A113" s="2858">
        <v>39</v>
      </c>
      <c r="B113" s="3492"/>
      <c r="C113" s="2858" t="s">
        <v>2721</v>
      </c>
      <c r="D113" s="2832" t="s">
        <v>2722</v>
      </c>
      <c r="E113" s="2858">
        <v>0.1</v>
      </c>
      <c r="F113" s="2858">
        <v>15</v>
      </c>
    </row>
    <row r="114" spans="1:6" ht="24">
      <c r="A114" s="2858">
        <v>40</v>
      </c>
      <c r="B114" s="3498"/>
      <c r="C114" s="2858" t="s">
        <v>2723</v>
      </c>
      <c r="D114" s="2832" t="s">
        <v>2724</v>
      </c>
      <c r="E114" s="2858">
        <v>0.1</v>
      </c>
      <c r="F114" s="2858">
        <v>15</v>
      </c>
    </row>
    <row r="115" spans="1:6" ht="13.5">
      <c r="A115" s="2858">
        <v>41</v>
      </c>
      <c r="B115" s="3486" t="s">
        <v>2725</v>
      </c>
      <c r="C115" s="2858" t="s">
        <v>2726</v>
      </c>
      <c r="D115" s="2832" t="s">
        <v>2727</v>
      </c>
      <c r="E115" s="2858">
        <v>0.1</v>
      </c>
      <c r="F115" s="2858">
        <v>15</v>
      </c>
    </row>
    <row r="116" spans="1:6" ht="13.5">
      <c r="A116" s="2858">
        <v>42</v>
      </c>
      <c r="B116" s="3486"/>
      <c r="C116" s="2858" t="s">
        <v>2728</v>
      </c>
      <c r="D116" s="2832" t="s">
        <v>2729</v>
      </c>
      <c r="E116" s="2858">
        <v>0.1</v>
      </c>
      <c r="F116" s="2858">
        <v>15</v>
      </c>
    </row>
    <row r="117" spans="1:6" ht="24">
      <c r="A117" s="2858">
        <v>43</v>
      </c>
      <c r="B117" s="3486"/>
      <c r="C117" s="2858" t="s">
        <v>2730</v>
      </c>
      <c r="D117" s="2832" t="s">
        <v>2731</v>
      </c>
      <c r="E117" s="2858">
        <v>0.1</v>
      </c>
      <c r="F117" s="2858">
        <v>15</v>
      </c>
    </row>
    <row r="118" spans="1:6" ht="13.5">
      <c r="A118" s="2858">
        <v>44</v>
      </c>
      <c r="B118" s="3493" t="s">
        <v>2732</v>
      </c>
      <c r="C118" s="2858" t="s">
        <v>2733</v>
      </c>
      <c r="D118" s="2832" t="s">
        <v>2734</v>
      </c>
      <c r="E118" s="2858">
        <v>0.1</v>
      </c>
      <c r="F118" s="2858">
        <v>15</v>
      </c>
    </row>
    <row r="119" spans="1:6" ht="24">
      <c r="A119" s="2858">
        <v>45</v>
      </c>
      <c r="B119" s="3498"/>
      <c r="C119" s="2832" t="s">
        <v>2735</v>
      </c>
      <c r="D119" s="2832" t="s">
        <v>2736</v>
      </c>
      <c r="E119" s="2858">
        <v>0.1</v>
      </c>
      <c r="F119" s="2858">
        <v>15</v>
      </c>
    </row>
    <row r="120" spans="1:6" ht="24">
      <c r="A120" s="2858">
        <v>46</v>
      </c>
      <c r="B120" s="3493" t="s">
        <v>2737</v>
      </c>
      <c r="C120" s="2858" t="s">
        <v>2738</v>
      </c>
      <c r="D120" s="2832" t="s">
        <v>2739</v>
      </c>
      <c r="E120" s="2858">
        <v>0.1</v>
      </c>
      <c r="F120" s="2858">
        <v>15</v>
      </c>
    </row>
    <row r="121" spans="1:6" ht="24">
      <c r="A121" s="2858">
        <v>47</v>
      </c>
      <c r="B121" s="3498"/>
      <c r="C121" s="2858" t="s">
        <v>2740</v>
      </c>
      <c r="D121" s="2832" t="s">
        <v>2741</v>
      </c>
      <c r="E121" s="2858">
        <v>0.1</v>
      </c>
      <c r="F121" s="2858">
        <v>15</v>
      </c>
    </row>
    <row r="122" spans="1:6" ht="13.5">
      <c r="A122" s="2858">
        <v>48</v>
      </c>
      <c r="B122" s="3493" t="s">
        <v>2742</v>
      </c>
      <c r="C122" s="2858" t="s">
        <v>2743</v>
      </c>
      <c r="D122" s="2832" t="s">
        <v>2744</v>
      </c>
      <c r="E122" s="2858">
        <v>0.1</v>
      </c>
      <c r="F122" s="2858">
        <v>15</v>
      </c>
    </row>
    <row r="123" spans="1:6" ht="13.5">
      <c r="A123" s="2858">
        <v>49</v>
      </c>
      <c r="B123" s="3498"/>
      <c r="C123" s="2858" t="s">
        <v>2745</v>
      </c>
      <c r="D123" s="2832" t="s">
        <v>2746</v>
      </c>
      <c r="E123" s="2858">
        <v>0.1</v>
      </c>
      <c r="F123" s="2858">
        <v>15</v>
      </c>
    </row>
    <row r="124" spans="1:6" ht="24">
      <c r="A124" s="2858">
        <v>50</v>
      </c>
      <c r="B124" s="3486" t="s">
        <v>2747</v>
      </c>
      <c r="C124" s="2858" t="s">
        <v>2748</v>
      </c>
      <c r="D124" s="2832" t="s">
        <v>2749</v>
      </c>
      <c r="E124" s="2858">
        <v>0.1</v>
      </c>
      <c r="F124" s="2858">
        <v>15</v>
      </c>
    </row>
    <row r="125" spans="1:6" ht="24">
      <c r="A125" s="2858">
        <v>51</v>
      </c>
      <c r="B125" s="3486"/>
      <c r="C125" s="2858" t="s">
        <v>2750</v>
      </c>
      <c r="D125" s="2832" t="s">
        <v>2751</v>
      </c>
      <c r="E125" s="2858">
        <v>0.1</v>
      </c>
      <c r="F125" s="2858">
        <v>15</v>
      </c>
    </row>
    <row r="126" spans="1:6" ht="24">
      <c r="A126" s="2858">
        <v>52</v>
      </c>
      <c r="B126" s="3486" t="s">
        <v>2752</v>
      </c>
      <c r="C126" s="2858" t="s">
        <v>2753</v>
      </c>
      <c r="D126" s="2832" t="s">
        <v>2754</v>
      </c>
      <c r="E126" s="2858">
        <v>0.1</v>
      </c>
      <c r="F126" s="2858">
        <v>15</v>
      </c>
    </row>
    <row r="127" spans="1:6" ht="24">
      <c r="A127" s="2858">
        <v>53</v>
      </c>
      <c r="B127" s="3486"/>
      <c r="C127" s="2858" t="s">
        <v>2755</v>
      </c>
      <c r="D127" s="2832" t="s">
        <v>2756</v>
      </c>
      <c r="E127" s="2858">
        <v>0.1</v>
      </c>
      <c r="F127" s="2858">
        <v>15</v>
      </c>
    </row>
    <row r="128" spans="1:6" ht="13.5">
      <c r="A128" s="2858">
        <v>54</v>
      </c>
      <c r="B128" s="2858" t="s">
        <v>2757</v>
      </c>
      <c r="C128" s="2858" t="s">
        <v>2758</v>
      </c>
      <c r="D128" s="2832" t="s">
        <v>2759</v>
      </c>
      <c r="E128" s="2858">
        <v>0.1</v>
      </c>
      <c r="F128" s="2858">
        <v>15</v>
      </c>
    </row>
    <row r="129" spans="1:6" ht="13.5">
      <c r="A129" s="2858">
        <v>55</v>
      </c>
      <c r="B129" s="3486" t="s">
        <v>2760</v>
      </c>
      <c r="C129" s="2858" t="s">
        <v>2761</v>
      </c>
      <c r="D129" s="2832" t="s">
        <v>2762</v>
      </c>
      <c r="E129" s="2858">
        <v>0.1</v>
      </c>
      <c r="F129" s="2858">
        <v>15</v>
      </c>
    </row>
    <row r="130" spans="1:6" ht="13.5">
      <c r="A130" s="2858">
        <v>56</v>
      </c>
      <c r="B130" s="3486"/>
      <c r="C130" s="2858" t="s">
        <v>2763</v>
      </c>
      <c r="D130" s="2832" t="s">
        <v>2764</v>
      </c>
      <c r="E130" s="2858">
        <v>0.1</v>
      </c>
      <c r="F130" s="2858">
        <v>15</v>
      </c>
    </row>
    <row r="131" spans="1:6" ht="24">
      <c r="A131" s="2858">
        <v>57</v>
      </c>
      <c r="B131" s="3486"/>
      <c r="C131" s="2858" t="s">
        <v>2765</v>
      </c>
      <c r="D131" s="2832" t="s">
        <v>2766</v>
      </c>
      <c r="E131" s="2858">
        <v>0.1</v>
      </c>
      <c r="F131" s="2858">
        <v>15</v>
      </c>
    </row>
    <row r="132" spans="1:6" ht="24">
      <c r="A132" s="2858">
        <v>58</v>
      </c>
      <c r="B132" s="3486" t="s">
        <v>2767</v>
      </c>
      <c r="C132" s="2858" t="s">
        <v>2768</v>
      </c>
      <c r="D132" s="2832" t="s">
        <v>2769</v>
      </c>
      <c r="E132" s="2858">
        <v>0.1</v>
      </c>
      <c r="F132" s="2858">
        <v>15</v>
      </c>
    </row>
    <row r="133" spans="1:6" ht="13.5">
      <c r="A133" s="2858">
        <v>59</v>
      </c>
      <c r="B133" s="3486"/>
      <c r="C133" s="2858" t="s">
        <v>2770</v>
      </c>
      <c r="D133" s="2832" t="s">
        <v>2771</v>
      </c>
      <c r="E133" s="2858">
        <v>0.1</v>
      </c>
      <c r="F133" s="2858">
        <v>15</v>
      </c>
    </row>
    <row r="134" spans="1:6" ht="13.5">
      <c r="A134" s="2858">
        <v>60</v>
      </c>
      <c r="B134" s="3493" t="s">
        <v>2772</v>
      </c>
      <c r="C134" s="2858" t="s">
        <v>2773</v>
      </c>
      <c r="D134" s="2832" t="s">
        <v>2774</v>
      </c>
      <c r="E134" s="2858">
        <v>0.1</v>
      </c>
      <c r="F134" s="2858">
        <v>15</v>
      </c>
    </row>
    <row r="135" spans="1:6" ht="13.5">
      <c r="A135" s="2858">
        <v>61</v>
      </c>
      <c r="B135" s="3498"/>
      <c r="C135" s="2858" t="s">
        <v>2775</v>
      </c>
      <c r="D135" s="2832" t="s">
        <v>2776</v>
      </c>
      <c r="E135" s="2858">
        <v>0.1</v>
      </c>
      <c r="F135" s="2858">
        <v>15</v>
      </c>
    </row>
    <row r="136" spans="1:6" ht="24">
      <c r="A136" s="2858">
        <v>62</v>
      </c>
      <c r="B136" s="2858" t="s">
        <v>2777</v>
      </c>
      <c r="C136" s="2858" t="s">
        <v>2778</v>
      </c>
      <c r="D136" s="2832" t="s">
        <v>2779</v>
      </c>
      <c r="E136" s="2858">
        <v>0.1</v>
      </c>
      <c r="F136" s="2858">
        <v>15</v>
      </c>
    </row>
    <row r="137" spans="1:6" ht="13.5">
      <c r="A137" s="2858">
        <v>63</v>
      </c>
      <c r="B137" s="3486" t="s">
        <v>2780</v>
      </c>
      <c r="C137" s="2858" t="s">
        <v>2781</v>
      </c>
      <c r="D137" s="2832" t="s">
        <v>2782</v>
      </c>
      <c r="E137" s="2858">
        <v>0.1</v>
      </c>
      <c r="F137" s="2858">
        <v>15</v>
      </c>
    </row>
    <row r="138" spans="1:6" ht="13.5">
      <c r="A138" s="2858">
        <v>64</v>
      </c>
      <c r="B138" s="3486"/>
      <c r="C138" s="2858" t="s">
        <v>2783</v>
      </c>
      <c r="D138" s="2832" t="s">
        <v>2784</v>
      </c>
      <c r="E138" s="2858">
        <v>0.1</v>
      </c>
      <c r="F138" s="2858">
        <v>15</v>
      </c>
    </row>
    <row r="139" spans="1:6" ht="13.5">
      <c r="A139" s="2858">
        <v>65</v>
      </c>
      <c r="B139" s="2858" t="s">
        <v>2785</v>
      </c>
      <c r="C139" s="2858" t="s">
        <v>2786</v>
      </c>
      <c r="D139" s="2832" t="s">
        <v>2787</v>
      </c>
      <c r="E139" s="2858">
        <v>0.1</v>
      </c>
      <c r="F139" s="2858">
        <v>15</v>
      </c>
    </row>
    <row r="140" spans="1:6" ht="13.5">
      <c r="A140" s="2858"/>
      <c r="B140" s="2858"/>
      <c r="C140" s="2858"/>
      <c r="D140" s="2858"/>
      <c r="E140" s="2858" t="s">
        <v>2788</v>
      </c>
      <c r="F140" s="2858" t="s">
        <v>2788</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9.5" thickBot="1">
      <c r="A4" s="1391"/>
      <c r="B4" s="3182" t="s">
        <v>917</v>
      </c>
      <c r="C4" s="3182"/>
      <c r="D4" s="3182"/>
      <c r="E4" s="1391"/>
    </row>
    <row r="5" spans="1:5" ht="16.5" thickTop="1">
      <c r="B5" s="3180" t="s">
        <v>909</v>
      </c>
      <c r="C5" s="1392" t="s">
        <v>910</v>
      </c>
      <c r="D5" s="797">
        <f ca="1">结果表!H101</f>
        <v>296</v>
      </c>
    </row>
    <row r="6" spans="1:5" ht="15.75">
      <c r="B6" s="3180"/>
      <c r="C6" s="1392" t="s">
        <v>911</v>
      </c>
      <c r="D6" s="797" t="str">
        <f ca="1">NUMBERSTRING(INT(D5*10000),2)&amp;"元整"</f>
        <v>贰佰玖拾陆万元整</v>
      </c>
    </row>
    <row r="7" spans="1:5" ht="15.75">
      <c r="B7" s="3185"/>
      <c r="C7" s="1393" t="s">
        <v>912</v>
      </c>
      <c r="D7" s="798">
        <f ca="1">结果表!H102</f>
        <v>15674</v>
      </c>
    </row>
    <row r="8" spans="1:5" ht="15.75">
      <c r="B8" s="3186" t="str">
        <f>结果表!E103</f>
        <v>2.估价师知悉的法定优先受偿款</v>
      </c>
      <c r="C8" s="1394" t="s">
        <v>913</v>
      </c>
      <c r="D8" s="798">
        <f>结果表!H103</f>
        <v>0</v>
      </c>
    </row>
    <row r="9" spans="1:5" ht="15.75">
      <c r="B9" s="3188"/>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79" t="str">
        <f>结果表!E107</f>
        <v>3.房地产抵押价值</v>
      </c>
      <c r="C13" s="1397" t="s">
        <v>910</v>
      </c>
      <c r="D13" s="800">
        <f ca="1">结果表!H107</f>
        <v>296</v>
      </c>
    </row>
    <row r="14" spans="1:5" ht="15.75">
      <c r="B14" s="3180"/>
      <c r="C14" s="1392" t="s">
        <v>911</v>
      </c>
      <c r="D14" s="797" t="str">
        <f ca="1">NUMBERSTRING(INT(D13*10000),2)&amp;"元整"</f>
        <v>贰佰玖拾陆万元整</v>
      </c>
    </row>
    <row r="15" spans="1:5" ht="15">
      <c r="B15" s="3185"/>
      <c r="C15" s="1393" t="s">
        <v>921</v>
      </c>
      <c r="D15" s="806">
        <f ca="1">结果表!H108</f>
        <v>15674</v>
      </c>
    </row>
    <row r="16" spans="1:5" ht="15">
      <c r="B16" s="3186" t="str">
        <f>结果表!E109</f>
        <v>——</v>
      </c>
      <c r="C16" s="1397" t="s">
        <v>922</v>
      </c>
      <c r="D16" s="1398" t="str">
        <f>结果表!H109</f>
        <v>——</v>
      </c>
    </row>
    <row r="17" spans="1:5" ht="15.75">
      <c r="B17" s="3187"/>
      <c r="C17" s="1392" t="s">
        <v>923</v>
      </c>
      <c r="D17" s="797" t="e">
        <f>NUMBERSTRING(INT(D16*10000),2)&amp;"元整"</f>
        <v>#VALUE!</v>
      </c>
    </row>
    <row r="18" spans="1:5" ht="15">
      <c r="B18" s="3188"/>
      <c r="C18" s="1393" t="s">
        <v>912</v>
      </c>
      <c r="D18" s="806" t="str">
        <f>结果表!H110</f>
        <v>——</v>
      </c>
    </row>
    <row r="19" spans="1:5" ht="15.75">
      <c r="B19" s="3179" t="str">
        <f>结果表!E111</f>
        <v>——</v>
      </c>
      <c r="C19" s="1397" t="s">
        <v>910</v>
      </c>
      <c r="D19" s="798" t="str">
        <f>结果表!H111</f>
        <v>——</v>
      </c>
    </row>
    <row r="20" spans="1:5" ht="15.75">
      <c r="B20" s="3180"/>
      <c r="C20" s="1392" t="s">
        <v>923</v>
      </c>
      <c r="D20" s="797" t="e">
        <f>NUMBERSTRING(INT(D19*10000),2)&amp;"元整"</f>
        <v>#VALUE!</v>
      </c>
    </row>
    <row r="21" spans="1:5" ht="15.75" thickBot="1">
      <c r="B21" s="3181"/>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0.9103</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28840</v>
      </c>
      <c r="C2" s="2" t="s">
        <v>106</v>
      </c>
      <c r="D2" s="191"/>
      <c r="E2" s="191"/>
      <c r="F2" s="191"/>
      <c r="G2" s="191"/>
    </row>
    <row r="3" spans="1:7" s="192" customFormat="1" ht="18" customHeight="1" thickBot="1">
      <c r="A3" s="195" t="s">
        <v>58</v>
      </c>
      <c r="B3" s="196">
        <f ca="1">ROUND(B2*10000/'数据-汇总表'!E3,0)</f>
        <v>1527138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v>
      </c>
      <c r="D10" s="795">
        <f>'数据-汇总表'!E6</f>
        <v>188.85</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188.85</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28769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66</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v>
      </c>
      <c r="D37" s="209">
        <f>'数据-汇总表'!E3</f>
        <v>188.85</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0" t="s">
        <v>94</v>
      </c>
    </row>
    <row r="43" spans="1:7" ht="13.5" customHeight="1">
      <c r="A43" s="734" t="s">
        <v>347</v>
      </c>
      <c r="B43" s="207" t="s">
        <v>426</v>
      </c>
      <c r="C43" s="230">
        <f ca="1">ROUND(IF('数据-取费表'!B22&lt;=1,C39*F22*'数据-取费表'!B21/2,C39*(POWER((1+F22),'数据-取费表'!B21/2)-1)),0)</f>
        <v>0</v>
      </c>
      <c r="D43" s="230"/>
      <c r="E43" s="230"/>
      <c r="F43" s="231"/>
      <c r="G43" s="3361"/>
    </row>
    <row r="44" spans="1:7" ht="13.5" customHeight="1">
      <c r="A44" s="734" t="s">
        <v>348</v>
      </c>
      <c r="B44" s="207" t="s">
        <v>428</v>
      </c>
      <c r="C44" s="230">
        <f ca="1">ROUND(IF('数据-取费表'!B22&lt;=1,C40*F22*'数据-取费表'!B21/2,C40*(POWER((1+F22),'数据-取费表'!B21/2)-1)),4)</f>
        <v>5.9999999999999995E-4</v>
      </c>
      <c r="D44" s="230"/>
      <c r="E44" s="230"/>
      <c r="F44" s="231"/>
      <c r="G44" s="3362"/>
    </row>
    <row r="45" spans="1:7" s="206" customFormat="1" ht="13.5" customHeight="1">
      <c r="A45" s="731" t="s">
        <v>341</v>
      </c>
      <c r="B45" s="236" t="s">
        <v>85</v>
      </c>
      <c r="C45" s="237">
        <f>C46</f>
        <v>15</v>
      </c>
      <c r="D45" s="227">
        <f>C47</f>
        <v>4.0000000000000001E-3</v>
      </c>
      <c r="E45" s="228" t="s">
        <v>102</v>
      </c>
      <c r="F45" s="238"/>
      <c r="G45" s="239" t="s">
        <v>434</v>
      </c>
    </row>
    <row r="46" spans="1:7" s="206" customFormat="1" ht="13.5" customHeight="1">
      <c r="A46" s="734" t="s">
        <v>349</v>
      </c>
      <c r="B46" s="240" t="s">
        <v>427</v>
      </c>
      <c r="C46" s="241">
        <f>ROUND((C33+C39)*F27,0)</f>
        <v>15</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100</v>
      </c>
      <c r="D49" s="224"/>
      <c r="E49" s="224"/>
      <c r="F49" s="256"/>
      <c r="G49" s="226" t="s">
        <v>435</v>
      </c>
    </row>
    <row r="50" spans="1:7" s="250" customFormat="1" ht="24">
      <c r="A50" s="731" t="s">
        <v>344</v>
      </c>
      <c r="B50" s="202" t="s">
        <v>97</v>
      </c>
      <c r="C50" s="224"/>
      <c r="D50" s="224"/>
      <c r="E50" s="224"/>
      <c r="F50" s="256">
        <f>IF('数据-取费表'!B24=0,'数据-取费表'!N16,1)</f>
        <v>0.71</v>
      </c>
      <c r="G50" s="239" t="s">
        <v>98</v>
      </c>
    </row>
    <row r="51" spans="1:7" ht="16.5" customHeight="1">
      <c r="A51" s="731" t="s">
        <v>345</v>
      </c>
      <c r="B51" s="202" t="s">
        <v>105</v>
      </c>
      <c r="C51" s="224">
        <f ca="1">ROUND(C49*F50,0)</f>
        <v>71</v>
      </c>
      <c r="D51" s="224"/>
      <c r="E51" s="224"/>
      <c r="F51" s="256"/>
      <c r="G51" s="226" t="s">
        <v>37</v>
      </c>
    </row>
    <row r="52" spans="1:7" s="200" customFormat="1" ht="16.5" thickBot="1">
      <c r="A52" s="257" t="s">
        <v>38</v>
      </c>
      <c r="B52" s="258"/>
      <c r="C52" s="259">
        <f ca="1">C31+C51</f>
        <v>28840</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99" t="s">
        <v>3172</v>
      </c>
      <c r="B1" s="3499"/>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c r="A1" s="3500" t="s">
        <v>3223</v>
      </c>
      <c r="B1" s="3500"/>
      <c r="C1" s="3500"/>
      <c r="D1" s="3500"/>
      <c r="E1" s="3500"/>
      <c r="F1" s="3501"/>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Q72" sqref="Q72"/>
    </sheetView>
  </sheetViews>
  <sheetFormatPr defaultRowHeight="13.5"/>
  <cols>
    <col min="1" max="1" width="13.875" customWidth="1"/>
    <col min="11" max="17" width="0" hidden="1" customWidth="1"/>
    <col min="25" max="30" width="0" hidden="1" customWidth="1"/>
  </cols>
  <sheetData>
    <row r="1" spans="1:44">
      <c r="A1" s="2938">
        <f>基准地价修正!G23</f>
        <v>45917</v>
      </c>
      <c r="B1" s="2930" t="s">
        <v>3366</v>
      </c>
      <c r="C1" s="2931"/>
      <c r="D1" s="2931"/>
      <c r="E1" s="2931"/>
      <c r="F1" s="2931"/>
      <c r="G1" s="2931"/>
      <c r="H1" s="2931"/>
      <c r="I1" s="2931"/>
      <c r="J1" s="2897"/>
      <c r="K1" s="2931" t="s">
        <v>454</v>
      </c>
      <c r="L1" s="2931"/>
      <c r="M1" s="2931"/>
      <c r="N1" s="2931"/>
      <c r="O1" s="2931"/>
      <c r="P1" s="2931"/>
      <c r="Q1" s="2897"/>
      <c r="R1" s="3502" t="s">
        <v>456</v>
      </c>
      <c r="S1" s="3503"/>
      <c r="T1" s="3503"/>
      <c r="U1" s="3503"/>
      <c r="V1" s="3503"/>
      <c r="W1" s="3503"/>
      <c r="X1" s="2897"/>
      <c r="Y1" s="3502" t="s">
        <v>457</v>
      </c>
      <c r="Z1" s="3503"/>
      <c r="AA1" s="3503"/>
      <c r="AB1" s="3503"/>
      <c r="AC1" s="3503"/>
      <c r="AD1" s="3503"/>
    </row>
    <row r="2" spans="1:44"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c r="AF2" t="s">
        <v>3393</v>
      </c>
      <c r="AG2" t="s">
        <v>673</v>
      </c>
      <c r="AH2" t="s">
        <v>21</v>
      </c>
      <c r="AI2" t="s">
        <v>3394</v>
      </c>
      <c r="AJ2" t="s">
        <v>3</v>
      </c>
      <c r="AK2" t="s">
        <v>3395</v>
      </c>
      <c r="AM2" t="s">
        <v>3393</v>
      </c>
      <c r="AN2" t="s">
        <v>673</v>
      </c>
      <c r="AO2" t="s">
        <v>21</v>
      </c>
      <c r="AP2" t="s">
        <v>3394</v>
      </c>
      <c r="AQ2" t="s">
        <v>3</v>
      </c>
      <c r="AR2" t="s">
        <v>3395</v>
      </c>
    </row>
    <row r="3" spans="1:44" s="2887" customFormat="1" ht="12.75">
      <c r="A3" s="2885" t="s">
        <v>2810</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2.75">
      <c r="A6" s="2040" t="s">
        <v>3391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3390</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3398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2.75">
      <c r="A9" s="2040" t="s">
        <v>3397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2.75">
      <c r="A10" s="2040" t="s">
        <v>3370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2.75">
      <c r="A11" s="2906" t="s">
        <v>3364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2.75">
      <c r="A12" s="2906" t="s">
        <v>3363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2.75">
      <c r="A13" s="2906" t="s">
        <v>3359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2.75">
      <c r="A14" s="2906" t="s">
        <v>3358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2.75">
      <c r="A15" s="2906" t="s">
        <v>3356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2.75">
      <c r="A16" s="2906" t="s">
        <v>3355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2.75">
      <c r="A17" s="2906" t="s">
        <v>3354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2.75">
      <c r="A18" s="2906" t="s">
        <v>3352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2.75">
      <c r="A19" s="2906" t="s">
        <v>3343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2.75">
      <c r="A20" s="2906" t="s">
        <v>2811</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2.75">
      <c r="A21" s="2906" t="s">
        <v>2812</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2.75">
      <c r="A22" s="2906" t="s">
        <v>2813</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2.75">
      <c r="A23" s="2906" t="s">
        <v>2814</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4.25" thickBot="1">
      <c r="A24" s="2919" t="s">
        <v>2815</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4.25" thickTop="1"/>
    <row r="26" spans="1:44">
      <c r="A26" s="3144" t="s">
        <v>3369</v>
      </c>
    </row>
    <row r="27" spans="1:44">
      <c r="I27" s="1405" t="s">
        <v>2816</v>
      </c>
    </row>
    <row r="29" spans="1:44" s="2009" customFormat="1" ht="12.75">
      <c r="B29" s="2930" t="s">
        <v>3367</v>
      </c>
      <c r="C29" s="2931"/>
      <c r="D29" s="2931"/>
      <c r="E29" s="2931"/>
      <c r="F29" s="2931"/>
      <c r="G29" s="2931"/>
      <c r="H29" s="2931"/>
      <c r="I29" s="2931"/>
      <c r="J29" s="2897"/>
      <c r="K29" s="2931" t="s">
        <v>2817</v>
      </c>
      <c r="L29" s="2931"/>
      <c r="M29" s="2931"/>
      <c r="N29" s="2931"/>
      <c r="O29" s="2931"/>
      <c r="P29" s="2931"/>
      <c r="Q29" s="2897"/>
      <c r="R29" s="3502" t="s">
        <v>2818</v>
      </c>
      <c r="S29" s="3503"/>
      <c r="T29" s="3503"/>
      <c r="U29" s="3503"/>
      <c r="V29" s="3503"/>
      <c r="W29" s="3503"/>
      <c r="X29" s="2897"/>
      <c r="Y29" s="3502" t="s">
        <v>2819</v>
      </c>
      <c r="Z29" s="3503"/>
      <c r="AA29" s="3503"/>
      <c r="AB29" s="3503"/>
      <c r="AC29" s="3503"/>
      <c r="AD29" s="3503"/>
    </row>
    <row r="30" spans="1:44" s="2010" customFormat="1" ht="14.25" thickBot="1">
      <c r="B30" s="2882"/>
      <c r="C30" s="2883"/>
      <c r="D30" s="2011" t="s">
        <v>2820</v>
      </c>
      <c r="E30" s="2012" t="s">
        <v>2821</v>
      </c>
      <c r="F30" s="2012" t="s">
        <v>2822</v>
      </c>
      <c r="G30" s="2012" t="s">
        <v>2823</v>
      </c>
      <c r="H30" s="2012"/>
      <c r="I30" s="2012" t="s">
        <v>2824</v>
      </c>
      <c r="J30" s="2884"/>
      <c r="K30" s="2011" t="s">
        <v>2820</v>
      </c>
      <c r="L30" s="2012" t="s">
        <v>2821</v>
      </c>
      <c r="M30" s="2012" t="s">
        <v>2822</v>
      </c>
      <c r="N30" s="2012" t="s">
        <v>2823</v>
      </c>
      <c r="O30" s="2012"/>
      <c r="P30" s="2012" t="s">
        <v>2824</v>
      </c>
      <c r="Q30" s="2884"/>
      <c r="R30" s="2011" t="s">
        <v>2820</v>
      </c>
      <c r="S30" s="2012" t="s">
        <v>2821</v>
      </c>
      <c r="T30" s="2012" t="s">
        <v>2822</v>
      </c>
      <c r="U30" s="2012" t="s">
        <v>2823</v>
      </c>
      <c r="V30" s="2012"/>
      <c r="W30" s="2012" t="s">
        <v>2824</v>
      </c>
      <c r="X30" s="2884"/>
      <c r="Y30" s="2011" t="s">
        <v>2820</v>
      </c>
      <c r="Z30" s="2012" t="s">
        <v>2821</v>
      </c>
      <c r="AA30" s="2012" t="s">
        <v>2822</v>
      </c>
      <c r="AB30" s="2012" t="s">
        <v>2823</v>
      </c>
      <c r="AC30" s="2012"/>
      <c r="AD30" s="2012" t="s">
        <v>2824</v>
      </c>
      <c r="AG30" t="s">
        <v>673</v>
      </c>
      <c r="AH30" t="s">
        <v>21</v>
      </c>
      <c r="AI30" t="s">
        <v>3394</v>
      </c>
      <c r="AJ30"/>
      <c r="AK30" t="s">
        <v>3395</v>
      </c>
      <c r="AN30" t="s">
        <v>673</v>
      </c>
      <c r="AO30" t="s">
        <v>21</v>
      </c>
      <c r="AP30" t="s">
        <v>3394</v>
      </c>
      <c r="AQ30"/>
      <c r="AR30" t="s">
        <v>3395</v>
      </c>
    </row>
    <row r="31" spans="1:44" s="2887" customFormat="1" ht="12.75">
      <c r="A31" s="2885" t="s">
        <v>2825</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2.75">
      <c r="A34" s="2040" t="s">
        <v>3391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2.75">
      <c r="A35" s="2908" t="s">
        <v>3399</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3396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2.75">
      <c r="A37" s="2040" t="s">
        <v>3397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2.75">
      <c r="A38" s="2040" t="s">
        <v>3361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2.75">
      <c r="A39" s="2906" t="s">
        <v>3365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2.75">
      <c r="A40" s="2906" t="s">
        <v>3362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2.75">
      <c r="A41" s="2906" t="s">
        <v>3360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2.75">
      <c r="A42" s="2906" t="s">
        <v>3358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2.75">
      <c r="A43" s="2906" t="s">
        <v>3357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2.75">
      <c r="A44" s="2906" t="s">
        <v>3355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2.75">
      <c r="A45" s="2906" t="s">
        <v>3354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2.75">
      <c r="A46" s="2906" t="s">
        <v>3353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2.75">
      <c r="A47" s="2906" t="s">
        <v>3343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2.75">
      <c r="A48" s="2906" t="s">
        <v>2826</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2.75">
      <c r="A49" s="2906" t="s">
        <v>2827</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2.75">
      <c r="A50" s="2906" t="s">
        <v>2828</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2.75">
      <c r="A51" s="2906" t="s">
        <v>2829</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4.25" thickBot="1">
      <c r="A52" s="2919" t="s">
        <v>2815</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4.25" thickTop="1"/>
    <row r="54" spans="1:44">
      <c r="A54" s="3144" t="s">
        <v>3368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Q72" sqref="Q72"/>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0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0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0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Q72" sqref="Q72"/>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15" t="s">
        <v>2830</v>
      </c>
      <c r="B1" s="3515"/>
      <c r="C1" s="3515"/>
      <c r="D1" s="3515"/>
      <c r="E1" s="3515"/>
      <c r="F1" s="3515"/>
      <c r="G1" s="3516"/>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513"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514"/>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45917</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2300</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
      <c r="A3" s="3191"/>
      <c r="B3" s="3191"/>
      <c r="C3" s="3191"/>
      <c r="D3" s="801" t="s">
        <v>925</v>
      </c>
      <c r="E3" s="801" t="s">
        <v>931</v>
      </c>
      <c r="F3" s="801" t="s">
        <v>925</v>
      </c>
      <c r="G3" s="801" t="s">
        <v>926</v>
      </c>
      <c r="H3" s="801" t="s">
        <v>925</v>
      </c>
      <c r="I3" s="801" t="s">
        <v>926</v>
      </c>
    </row>
    <row r="4" spans="1:9" ht="15">
      <c r="A4" s="1403" t="str">
        <f>项目基本情况!S2</f>
        <v>北京市房地产</v>
      </c>
      <c r="B4" s="801">
        <f>项目基本情况!C17</f>
        <v>188.85</v>
      </c>
      <c r="C4" s="801">
        <f>项目基本情况!C18</f>
        <v>0</v>
      </c>
      <c r="D4" s="801">
        <f ca="1">结果表!D118</f>
        <v>203</v>
      </c>
      <c r="E4" s="801">
        <f ca="1">结果表!E118</f>
        <v>10749</v>
      </c>
      <c r="F4" s="801">
        <f ca="1">结果表!F118</f>
        <v>93</v>
      </c>
      <c r="G4" s="801">
        <f ca="1">结果表!G118</f>
        <v>4925</v>
      </c>
      <c r="H4" s="801">
        <f ca="1">结果表!H118</f>
        <v>296</v>
      </c>
      <c r="I4" s="801">
        <f ca="1">结果表!I118</f>
        <v>15674</v>
      </c>
    </row>
    <row r="5" spans="1:9" ht="30" customHeight="1">
      <c r="A5" s="3191" t="s">
        <v>927</v>
      </c>
      <c r="B5" s="3191"/>
      <c r="C5" s="3191"/>
      <c r="D5" s="3191" t="str">
        <f ca="1">结果表!D119</f>
        <v>贰佰零叁万元整</v>
      </c>
      <c r="E5" s="3191"/>
      <c r="F5" s="3191" t="str">
        <f ca="1">结果表!F119</f>
        <v>玖拾叁万元整</v>
      </c>
      <c r="G5" s="3191"/>
      <c r="H5" s="3191" t="str">
        <f ca="1">结果表!H119</f>
        <v>贰佰玖拾陆万元整</v>
      </c>
      <c r="I5" s="3191"/>
    </row>
    <row r="6" spans="1:9" ht="15.75">
      <c r="A6" s="3192" t="str">
        <f>结果表!A120</f>
        <v>估价师知悉的法定优先受偿款</v>
      </c>
      <c r="B6" s="3192"/>
      <c r="C6" s="3192"/>
      <c r="D6" s="3192">
        <f>结果表!D120</f>
        <v>0</v>
      </c>
      <c r="E6" s="3192"/>
      <c r="F6" s="3192"/>
      <c r="G6" s="3192"/>
      <c r="H6" s="3192"/>
      <c r="I6" s="3192"/>
    </row>
    <row r="7" spans="1:9" ht="15">
      <c r="A7" s="3191" t="s">
        <v>927</v>
      </c>
      <c r="B7" s="3191"/>
      <c r="C7" s="3191"/>
      <c r="D7" s="3193" t="str">
        <f>结果表!D121</f>
        <v>零元整</v>
      </c>
      <c r="E7" s="3194"/>
      <c r="F7" s="3194"/>
      <c r="G7" s="3194"/>
      <c r="H7" s="3194"/>
      <c r="I7" s="3195"/>
    </row>
    <row r="8" spans="1:9" ht="15.75">
      <c r="A8" s="3192" t="str">
        <f>结果表!A122</f>
        <v>房地产抵押价值</v>
      </c>
      <c r="B8" s="3192"/>
      <c r="C8" s="3192"/>
      <c r="D8" s="3192">
        <f ca="1">结果表!D122</f>
        <v>296</v>
      </c>
      <c r="E8" s="3192"/>
      <c r="F8" s="3192"/>
      <c r="G8" s="3192"/>
      <c r="H8" s="3192"/>
      <c r="I8" s="3192"/>
    </row>
    <row r="9" spans="1:9" ht="15">
      <c r="A9" s="3191" t="s">
        <v>927</v>
      </c>
      <c r="B9" s="3191"/>
      <c r="C9" s="3191"/>
      <c r="D9" s="3191" t="str">
        <f ca="1">结果表!D123</f>
        <v>贰佰玖拾陆万元整</v>
      </c>
      <c r="E9" s="3191"/>
      <c r="F9" s="3191"/>
      <c r="G9" s="3191"/>
      <c r="H9" s="3191"/>
      <c r="I9" s="3191"/>
    </row>
    <row r="10" spans="1:9" ht="15.75">
      <c r="A10" s="3192" t="str">
        <f>结果表!A124</f>
        <v/>
      </c>
      <c r="B10" s="3192"/>
      <c r="C10" s="3192"/>
      <c r="D10" s="3192" t="str">
        <f>结果表!D124</f>
        <v>——</v>
      </c>
      <c r="E10" s="3192"/>
      <c r="F10" s="3192"/>
      <c r="G10" s="3192"/>
      <c r="H10" s="3192"/>
      <c r="I10" s="3192"/>
    </row>
    <row r="11" spans="1:9" ht="15">
      <c r="A11" s="3191" t="s">
        <v>927</v>
      </c>
      <c r="B11" s="3191"/>
      <c r="C11" s="3191"/>
      <c r="D11" s="3191" t="e">
        <f>结果表!D125</f>
        <v>#VALUE!</v>
      </c>
      <c r="E11" s="3191"/>
      <c r="F11" s="3191"/>
      <c r="G11" s="3191"/>
      <c r="H11" s="3191"/>
      <c r="I11" s="3191"/>
    </row>
    <row r="12" spans="1:9" ht="15.75">
      <c r="A12" s="3192" t="str">
        <f>结果表!A126</f>
        <v/>
      </c>
      <c r="B12" s="3192"/>
      <c r="C12" s="3192"/>
      <c r="D12" s="3192" t="str">
        <f>结果表!D126</f>
        <v>——</v>
      </c>
      <c r="E12" s="3192"/>
      <c r="F12" s="3192"/>
      <c r="G12" s="3192"/>
      <c r="H12" s="3192"/>
      <c r="I12" s="3192"/>
    </row>
    <row r="13" spans="1:9" ht="15.75" thickBot="1">
      <c r="A13" s="3196" t="s">
        <v>927</v>
      </c>
      <c r="B13" s="3196"/>
      <c r="C13" s="3196"/>
      <c r="D13" s="3196" t="e">
        <f>结果表!D127</f>
        <v>#VALUE!</v>
      </c>
      <c r="E13" s="3196"/>
      <c r="F13" s="3196"/>
      <c r="G13" s="3196"/>
      <c r="H13" s="3196"/>
      <c r="I13" s="3196"/>
    </row>
    <row r="14" spans="1:9" ht="15" thickTop="1">
      <c r="A14" s="3197" t="s">
        <v>932</v>
      </c>
      <c r="B14" s="3197"/>
      <c r="C14" s="3197"/>
      <c r="D14" s="3197"/>
      <c r="E14" s="3197"/>
      <c r="F14" s="3197"/>
      <c r="G14" s="3197"/>
      <c r="H14" s="3197"/>
      <c r="I14" s="319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8" t="s">
        <v>949</v>
      </c>
      <c r="B1" s="3198"/>
      <c r="C1" s="3198"/>
      <c r="D1" s="3198"/>
    </row>
    <row r="2" spans="1:4" ht="18">
      <c r="A2" s="3199" t="s">
        <v>933</v>
      </c>
      <c r="B2" s="3199"/>
      <c r="C2" s="3199"/>
      <c r="D2" s="319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9" t="s">
        <v>939</v>
      </c>
      <c r="B6" s="3199"/>
      <c r="C6" s="3199"/>
      <c r="D6" s="319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0" t="s">
        <v>942</v>
      </c>
      <c r="B11" s="3201"/>
      <c r="C11" s="3201"/>
      <c r="D11" s="3201"/>
    </row>
    <row r="12" spans="1:4" ht="15.7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201" t="str">
        <f>IF(项目基本情况!B8="抵押","4.本次评估估价师所知悉的法定优先受偿款情况说明如下：","——")</f>
        <v>4.本次评估估价师所知悉的法定优先受偿款情况说明如下：</v>
      </c>
      <c r="B14" s="3202"/>
      <c r="C14" s="3202"/>
      <c r="D14" s="3202"/>
    </row>
    <row r="15" spans="1:4" ht="42" customHeight="1">
      <c r="A15" s="32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4" t="s">
        <v>943</v>
      </c>
      <c r="B16" s="3204"/>
      <c r="C16" s="3204"/>
      <c r="D16" s="3204"/>
    </row>
    <row r="17" spans="1:4" ht="144" customHeight="1">
      <c r="A17" s="3204" t="s">
        <v>944</v>
      </c>
      <c r="B17" s="3204"/>
      <c r="C17" s="3204"/>
      <c r="D17" s="3204"/>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945</v>
      </c>
      <c r="B22" s="3206"/>
      <c r="C22" s="3206"/>
      <c r="D22" s="320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3">
        <v>42551</v>
      </c>
      <c r="D31" s="32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2" t="s">
        <v>956</v>
      </c>
      <c r="B15" s="3207" t="s">
        <v>109</v>
      </c>
      <c r="C15" s="3208"/>
    </row>
    <row r="16" spans="1:7" ht="13.5">
      <c r="A16" s="3213"/>
      <c r="B16" s="3207" t="s">
        <v>42</v>
      </c>
      <c r="C16" s="3208"/>
    </row>
    <row r="17" spans="1:3" ht="13.5">
      <c r="A17" s="3213"/>
      <c r="B17" s="3210" t="s">
        <v>957</v>
      </c>
      <c r="C17" s="1429" t="s">
        <v>956</v>
      </c>
    </row>
    <row r="18" spans="1:3" ht="13.5">
      <c r="A18" s="3213"/>
      <c r="B18" s="3210"/>
      <c r="C18" s="1429" t="s">
        <v>958</v>
      </c>
    </row>
    <row r="19" spans="1:3" ht="13.5">
      <c r="A19" s="3213"/>
      <c r="B19" s="3210"/>
      <c r="C19" s="1429" t="s">
        <v>959</v>
      </c>
    </row>
    <row r="20" spans="1:3" ht="13.5">
      <c r="A20" s="3214"/>
      <c r="B20" s="3209" t="s">
        <v>960</v>
      </c>
      <c r="C20" s="3208"/>
    </row>
    <row r="21" spans="1:3" ht="13.5">
      <c r="A21" s="1430" t="s">
        <v>961</v>
      </c>
      <c r="B21" s="1431"/>
      <c r="C21" s="1432"/>
    </row>
    <row r="22" spans="1:3" ht="13.5">
      <c r="A22" s="3211" t="s">
        <v>962</v>
      </c>
      <c r="B22" s="3209" t="s">
        <v>963</v>
      </c>
      <c r="C22" s="3208"/>
    </row>
    <row r="23" spans="1:3" ht="13.5">
      <c r="A23" s="3211"/>
      <c r="B23" s="3209" t="s">
        <v>964</v>
      </c>
      <c r="C23" s="3208"/>
    </row>
    <row r="24" spans="1:3" ht="13.5">
      <c r="A24" s="3211"/>
      <c r="B24" s="3209" t="s">
        <v>965</v>
      </c>
      <c r="C24" s="3208"/>
    </row>
    <row r="25" spans="1:3" ht="13.5">
      <c r="A25" s="3211"/>
      <c r="B25" s="3210" t="s">
        <v>966</v>
      </c>
      <c r="C25" s="1429" t="s">
        <v>967</v>
      </c>
    </row>
    <row r="26" spans="1:3" ht="13.5">
      <c r="A26" s="3211"/>
      <c r="B26" s="3210"/>
      <c r="C26" s="1429" t="s">
        <v>968</v>
      </c>
    </row>
    <row r="27" spans="1:3" ht="13.5">
      <c r="A27" s="3211"/>
      <c r="B27" s="3210"/>
      <c r="C27" s="1429" t="s">
        <v>969</v>
      </c>
    </row>
    <row r="28" spans="1:3" ht="13.5">
      <c r="A28" s="3211"/>
      <c r="B28" s="3210"/>
      <c r="C28" s="1429" t="s">
        <v>970</v>
      </c>
    </row>
    <row r="29" spans="1:3" ht="13.5">
      <c r="A29" s="3211"/>
      <c r="B29" s="3210"/>
      <c r="C29" s="1429" t="s">
        <v>971</v>
      </c>
    </row>
    <row r="30" spans="1:3" ht="13.5">
      <c r="A30" s="3211"/>
      <c r="B30" s="3210"/>
      <c r="C30" s="1429" t="s">
        <v>972</v>
      </c>
    </row>
    <row r="31" spans="1:3" ht="13.5">
      <c r="A31" s="3211"/>
      <c r="B31" s="3210"/>
      <c r="C31" s="1429" t="s">
        <v>973</v>
      </c>
    </row>
    <row r="32" spans="1:3" ht="13.5">
      <c r="A32" s="3211"/>
      <c r="B32" s="3210"/>
      <c r="C32" s="1429" t="s">
        <v>974</v>
      </c>
    </row>
    <row r="33" spans="1:3" ht="13.5">
      <c r="A33" s="3211"/>
      <c r="B33" s="3210"/>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45918</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60"/>
      <c r="E18" s="3217" t="s">
        <v>2162</v>
      </c>
      <c r="F18" s="3216"/>
      <c r="G18" s="32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比较法-商业</vt:lpstr>
      <vt:lpstr>成本法 (元)</vt:lpstr>
      <vt:lpstr>假设开发法</vt:lpstr>
      <vt:lpstr>收益法</vt:lpstr>
      <vt:lpstr>基准地价修正</vt:lpstr>
      <vt:lpstr>收益法 (元)</vt:lpstr>
      <vt:lpstr>案例</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2025-09-18T01:55:39Z</dcterms:modified>
</cp:coreProperties>
</file>