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9"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5" i="21" l="1"/>
  <c r="G5" i="21"/>
  <c r="E5" i="21"/>
  <c r="N6" i="1"/>
  <c r="E59" i="21" l="1"/>
  <c r="F59" i="21" s="1"/>
  <c r="G59" i="21" s="1"/>
  <c r="H59" i="21" s="1"/>
  <c r="I59" i="21" s="1"/>
  <c r="E121" i="21"/>
  <c r="F121" i="21" s="1"/>
  <c r="G121" i="21" s="1"/>
  <c r="D121" i="21"/>
  <c r="T11" i="31"/>
  <c r="T9" i="31"/>
  <c r="T7" i="31"/>
  <c r="D7" i="31"/>
  <c r="E7" i="31"/>
  <c r="C7" i="31"/>
  <c r="T5" i="31"/>
  <c r="D4" i="31"/>
  <c r="E4" i="31"/>
  <c r="C4" i="31"/>
  <c r="A26" i="31"/>
  <c r="A27" i="31"/>
  <c r="A28" i="31"/>
  <c r="A29" i="31"/>
  <c r="A30" i="31"/>
  <c r="A31" i="31"/>
  <c r="A32" i="31"/>
  <c r="A33" i="31"/>
  <c r="A34" i="31"/>
  <c r="A35" i="31"/>
  <c r="A36" i="31"/>
  <c r="A25" i="31"/>
  <c r="B25" i="31"/>
  <c r="B26" i="31"/>
  <c r="B27" i="31"/>
  <c r="B28" i="31"/>
  <c r="B29" i="31"/>
  <c r="B30" i="31"/>
  <c r="B31" i="31"/>
  <c r="B32" i="31"/>
  <c r="B33" i="31"/>
  <c r="B34" i="31"/>
  <c r="B35" i="31"/>
  <c r="B36" i="31"/>
  <c r="B24" i="31"/>
  <c r="C37" i="21"/>
  <c r="G37" i="21" s="1"/>
  <c r="E91" i="21"/>
  <c r="D91" i="21"/>
  <c r="D59" i="21"/>
  <c r="Y6" i="1"/>
  <c r="F19" i="6"/>
  <c r="D3" i="4"/>
  <c r="I37" i="21" l="1"/>
  <c r="E37" i="21"/>
  <c r="H121" i="21"/>
  <c r="I121" i="21" s="1"/>
  <c r="I4" i="31" s="1"/>
  <c r="G4" i="31"/>
  <c r="H4" i="31"/>
  <c r="F4" i="31"/>
  <c r="D7" i="7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2" i="76"/>
  <c r="E10" i="76"/>
  <c r="B7" i="76"/>
  <c r="B11" i="76"/>
  <c r="E8" i="76"/>
  <c r="B13" i="76"/>
  <c r="E9" i="76"/>
  <c r="B9" i="76"/>
  <c r="B8" i="76"/>
  <c r="B10" i="76"/>
  <c r="E13" i="76"/>
  <c r="E11" i="76"/>
  <c r="E7"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F3" i="73"/>
  <c r="F5" i="73"/>
  <c r="D3" i="73"/>
  <c r="F4" i="73"/>
  <c r="D6"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B65" i="71" s="1"/>
  <c r="B64" i="71" s="1"/>
  <c r="F65" i="71"/>
  <c r="F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1"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R37" i="31" s="1"/>
  <c r="S37" i="31" s="1"/>
  <c r="C38" i="31"/>
  <c r="R38" i="31" s="1"/>
  <c r="S38" i="31" s="1"/>
  <c r="C39" i="31"/>
  <c r="R39" i="31" s="1"/>
  <c r="S39" i="31" s="1"/>
  <c r="C40" i="31"/>
  <c r="R40" i="31" s="1"/>
  <c r="S40" i="31" s="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U34" i="21"/>
  <c r="S34" i="21"/>
  <c r="C25" i="39"/>
  <c r="C27" i="39"/>
  <c r="C21" i="39"/>
  <c r="H11" i="39"/>
  <c r="S40" i="39"/>
  <c r="C15" i="39"/>
  <c r="H32" i="33"/>
  <c r="AB32" i="33"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79" i="3"/>
  <c r="AZ83" i="3"/>
  <c r="AZ136" i="3"/>
  <c r="AZ144" i="3"/>
  <c r="AZ152" i="3"/>
  <c r="AZ168" i="3"/>
  <c r="AZ176" i="3"/>
  <c r="AZ18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8" i="3"/>
  <c r="AZ166" i="3"/>
  <c r="AZ174" i="3"/>
  <c r="AZ182" i="3"/>
  <c r="AZ190" i="3"/>
  <c r="AZ202" i="3"/>
  <c r="AZ206"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60" i="3"/>
  <c r="BA15" i="3"/>
  <c r="BB5" i="3"/>
  <c r="BR5" i="3"/>
  <c r="AZ380" i="3"/>
  <c r="AZ384" i="3"/>
  <c r="AZ396" i="3"/>
  <c r="AZ394"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AC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1"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BA19" i="3" l="1"/>
  <c r="BL19" i="3"/>
  <c r="BA22" i="3"/>
  <c r="AZ22" i="3" s="1"/>
  <c r="BA24" i="3"/>
  <c r="BL24" i="3"/>
  <c r="BL28" i="3"/>
  <c r="BA30" i="3"/>
  <c r="AZ30" i="3" s="1"/>
  <c r="BL30" i="3"/>
  <c r="BA32" i="3"/>
  <c r="AZ32" i="3" s="1"/>
  <c r="BL32" i="3"/>
  <c r="BA34" i="3"/>
  <c r="AZ34" i="3" s="1"/>
  <c r="BA36" i="3"/>
  <c r="AZ36" i="3" s="1"/>
  <c r="BA37" i="3"/>
  <c r="AZ37" i="3" s="1"/>
  <c r="BA39" i="3"/>
  <c r="BL39" i="3"/>
  <c r="BA40" i="3"/>
  <c r="AZ40" i="3" s="1"/>
  <c r="BA42" i="3"/>
  <c r="AZ42" i="3" s="1"/>
  <c r="BL42" i="3"/>
  <c r="BL44" i="3"/>
  <c r="BA46" i="3"/>
  <c r="BL46" i="3"/>
  <c r="BL48" i="3"/>
  <c r="H11" i="21"/>
  <c r="U11" i="21" s="1"/>
  <c r="F11" i="21"/>
  <c r="S11" i="21" s="1"/>
  <c r="S42" i="21"/>
  <c r="U35" i="21"/>
  <c r="S40" i="21"/>
  <c r="E8" i="6"/>
  <c r="F27" i="6" s="1"/>
  <c r="F29" i="6"/>
  <c r="A15" i="62"/>
  <c r="B61" i="72" s="1"/>
  <c r="AZ521" i="3"/>
  <c r="AZ581" i="3"/>
  <c r="W12" i="34"/>
  <c r="AC12" i="34"/>
  <c r="U12" i="35"/>
  <c r="AB12" i="35"/>
  <c r="AB34" i="35"/>
  <c r="U34" i="35"/>
  <c r="G28" i="6"/>
  <c r="AZ326" i="3"/>
  <c r="AZ311" i="3"/>
  <c r="AZ372" i="3"/>
  <c r="AZ347" i="3"/>
  <c r="AZ344" i="3"/>
  <c r="AZ337" i="3"/>
  <c r="AZ320" i="3"/>
  <c r="AZ313" i="3"/>
  <c r="AZ305" i="3"/>
  <c r="AZ362" i="3"/>
  <c r="AZ569" i="3"/>
  <c r="AZ577" i="3"/>
  <c r="AZ557" i="3"/>
  <c r="AZ516" i="3"/>
  <c r="AZ524" i="3"/>
  <c r="AZ532" i="3"/>
  <c r="AZ536" i="3"/>
  <c r="AZ544" i="3"/>
  <c r="AZ554" i="3"/>
  <c r="AZ558" i="3"/>
  <c r="AZ582" i="3"/>
  <c r="S44" i="33"/>
  <c r="AA44" i="33"/>
  <c r="AB9" i="36"/>
  <c r="U9" i="36"/>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L586" i="3"/>
  <c r="AZ585"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AZ258" i="3"/>
  <c r="AZ262"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AZ70" i="3"/>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AZ98" i="3"/>
  <c r="E59" i="43"/>
  <c r="B57" i="43" s="1"/>
  <c r="C24"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4" i="74"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67"/>
  <c r="M9" i="15"/>
  <c r="M8" i="67"/>
  <c r="F6" i="67"/>
  <c r="F42" i="15"/>
  <c r="M9" i="67"/>
  <c r="M28" i="67"/>
  <c r="L47" i="67"/>
  <c r="L48" i="15"/>
  <c r="F36" i="67"/>
  <c r="F26" i="67"/>
  <c r="L47" i="15"/>
  <c r="F26" i="15"/>
  <c r="M24" i="67"/>
  <c r="F36" i="15"/>
  <c r="M29" i="67"/>
  <c r="F7" i="15"/>
  <c r="F38" i="15"/>
  <c r="J15" i="15"/>
  <c r="G1" i="73"/>
  <c r="F43" i="15"/>
  <c r="F38" i="67"/>
  <c r="F40" i="67"/>
  <c r="M22" i="15"/>
  <c r="F37" i="15"/>
  <c r="M22" i="67"/>
  <c r="M23" i="67"/>
  <c r="C76" i="15"/>
  <c r="M24" i="15"/>
  <c r="F8" i="67"/>
  <c r="M6" i="67"/>
  <c r="M8" i="15"/>
  <c r="F37" i="67"/>
  <c r="L48" i="67"/>
  <c r="M29" i="15"/>
  <c r="F40" i="15"/>
  <c r="F42" i="67"/>
  <c r="F9" i="15"/>
  <c r="F16" i="67"/>
  <c r="F16" i="15"/>
  <c r="M28" i="15"/>
  <c r="F9" i="67"/>
  <c r="F6" i="15"/>
  <c r="F7" i="67"/>
  <c r="F13" i="15"/>
  <c r="M6" i="15"/>
  <c r="F8" i="15"/>
  <c r="F13" i="67"/>
  <c r="M23" i="15"/>
  <c r="F43" i="67"/>
  <c r="M26" i="15"/>
  <c r="C76" i="67"/>
  <c r="J15" i="67"/>
  <c r="AZ46" i="3" l="1"/>
  <c r="AZ39" i="3"/>
  <c r="AZ24" i="3"/>
  <c r="AB11" i="21"/>
  <c r="AC15" i="21"/>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B5" i="62" s="1"/>
  <c r="B73" i="72" s="1"/>
  <c r="C4" i="4"/>
  <c r="C7" i="43"/>
  <c r="AC36" i="35"/>
  <c r="W36" i="35"/>
  <c r="S12" i="34"/>
  <c r="AA12" i="34"/>
  <c r="U39" i="40"/>
  <c r="AB39" i="40"/>
  <c r="U12" i="36"/>
  <c r="AB12" i="36"/>
  <c r="AC23" i="35"/>
  <c r="W23" i="35"/>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F31" i="67"/>
  <c r="C17" i="15"/>
  <c r="F59" i="67"/>
  <c r="M17" i="15"/>
  <c r="C16" i="15"/>
  <c r="C16" i="67"/>
  <c r="M17" i="67"/>
  <c r="F31" i="15"/>
  <c r="AQ7" i="1" l="1"/>
  <c r="E66" i="39"/>
  <c r="K16" i="1"/>
  <c r="B29" i="1" s="1"/>
  <c r="C8" i="68" s="1"/>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F35" i="15"/>
  <c r="M21" i="67"/>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2" i="68"/>
  <c r="B3" i="67"/>
  <c r="D2" i="36"/>
  <c r="D2" i="21"/>
  <c r="D2" i="35"/>
  <c r="D2" i="37"/>
  <c r="F20" i="31"/>
  <c r="E2" i="68"/>
  <c r="D2" i="34"/>
  <c r="D2" i="33"/>
  <c r="B2" i="36" l="1"/>
  <c r="B3" i="36" s="1"/>
  <c r="B2" i="35"/>
  <c r="B3" i="35" s="1"/>
  <c r="B2" i="37"/>
  <c r="B3" i="37" s="1"/>
  <c r="B2" i="34"/>
  <c r="B3" i="34" s="1"/>
  <c r="B2" i="21"/>
  <c r="B2" i="70"/>
  <c r="B3" i="70" s="1"/>
  <c r="B3" i="68"/>
  <c r="D19" i="9"/>
  <c r="C19" i="9"/>
  <c r="D20" i="9"/>
  <c r="C21" i="9" l="1"/>
  <c r="C102" i="9"/>
  <c r="B3" i="21"/>
  <c r="G19" i="9"/>
  <c r="D102" i="9"/>
  <c r="D22" i="9"/>
  <c r="D21" i="9"/>
  <c r="D103" i="9"/>
  <c r="C20" i="9"/>
  <c r="C103" i="9" l="1"/>
  <c r="G20" i="9"/>
  <c r="R24" i="31" s="1"/>
  <c r="S24" i="31" s="1"/>
  <c r="C32" i="9"/>
  <c r="G21" i="9"/>
  <c r="D34" i="9"/>
  <c r="R26" i="31" l="1"/>
  <c r="S26" i="31" s="1"/>
  <c r="R34" i="31"/>
  <c r="S34" i="31" s="1"/>
  <c r="R29" i="31"/>
  <c r="S29" i="31" s="1"/>
  <c r="R28" i="31"/>
  <c r="S28" i="31" s="1"/>
  <c r="R36" i="31"/>
  <c r="S36" i="31" s="1"/>
  <c r="R31" i="31"/>
  <c r="S31" i="31" s="1"/>
  <c r="R30" i="31"/>
  <c r="S30" i="31" s="1"/>
  <c r="R25" i="31"/>
  <c r="S25" i="31" s="1"/>
  <c r="R33" i="31"/>
  <c r="S33" i="31" s="1"/>
  <c r="R32" i="31"/>
  <c r="S32" i="31" s="1"/>
  <c r="R27" i="31"/>
  <c r="S27" i="31" s="1"/>
  <c r="R35" i="31"/>
  <c r="S35" i="31" s="1"/>
  <c r="J7" i="33"/>
  <c r="W7" i="33" s="1"/>
  <c r="F7" i="33"/>
  <c r="S7" i="33" s="1"/>
  <c r="H7" i="33"/>
  <c r="AB7" i="33" s="1"/>
  <c r="T48" i="33" s="1"/>
  <c r="G48" i="33" s="1"/>
  <c r="S22" i="31" l="1"/>
  <c r="G52" i="33"/>
  <c r="H52" i="33" s="1"/>
  <c r="AA7" i="33"/>
  <c r="R48" i="33" s="1"/>
  <c r="U7" i="33"/>
  <c r="AC7" i="33"/>
  <c r="V48" i="33" s="1"/>
  <c r="I48" i="33" s="1"/>
  <c r="B20" i="31" l="1"/>
  <c r="D14" i="74"/>
  <c r="H14" i="74" s="1"/>
  <c r="R22" i="31"/>
  <c r="B21" i="31" s="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D10" i="52" l="1"/>
  <c r="B7" i="74"/>
  <c r="D125" i="9"/>
  <c r="D11" i="52" s="1"/>
  <c r="B34" i="72"/>
  <c r="D17" i="53"/>
  <c r="B36" i="72" s="1"/>
  <c r="L68" i="9"/>
  <c r="M68" i="9" s="1"/>
  <c r="L66" i="9"/>
  <c r="M66" i="9" s="1"/>
  <c r="L63" i="9"/>
  <c r="M63" i="9" s="1"/>
  <c r="L65" i="9"/>
  <c r="M65" i="9" s="1"/>
  <c r="L64" i="9"/>
  <c r="M64" i="9" s="1"/>
  <c r="L67" i="9"/>
  <c r="M67" i="9"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<sst xmlns="http://schemas.openxmlformats.org/spreadsheetml/2006/main" count="7432" uniqueCount="3115">
  <si>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</si>
  <si>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</si>
  <si>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</si>
  <si>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</si>
  <si>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</si>
  <si>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</si>
  <si>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</si>
  <si>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</si>
  <si>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</si>
  <si>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</si>
  <si>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</si>
  <si>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</si>
  <si>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</si>
  <si>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</si>
  <si>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</si>
  <si>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</si>
  <si>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</si>
  <si>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</si>
  <si>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</si>
  <si>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</si>
  <si>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</si>
  <si>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</si>
  <si>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</si>
  <si>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</si>
  <si>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</si>
  <si>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</si>
  <si>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</si>
  <si>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</si>
  <si>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</si>
  <si>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</si>
  <si>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</si>
  <si>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</si>
  <si>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</si>
  <si>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</si>
  <si>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</si>
  <si>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</si>
  <si>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</si>
  <si>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</si>
  <si>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</si>
  <si>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</si>
  <si>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</si>
  <si>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</si>
  <si>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</si>
  <si>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</si>
  <si>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</si>
  <si>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</si>
  <si>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</si>
  <si>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</si>
  <si>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</si>
  <si>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</si>
  <si>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</si>
  <si>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</si>
  <si>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</si>
  <si>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</si>
  <si>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</si>
  <si>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</si>
  <si>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</si>
  <si>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</si>
  <si>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</si>
  <si>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</si>
  <si>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</si>
  <si>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</si>
  <si>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</si>
  <si>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</si>
  <si>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</si>
  <si>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</si>
  <si>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</si>
  <si>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</si>
  <si>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</si>
  <si>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</si>
  <si>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</si>
  <si>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</si>
  <si>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</si>
  <si>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</si>
  <si>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</si>
  <si>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</si>
  <si>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</si>
  <si>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</si>
  <si>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</si>
  <si>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</si>
  <si>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</si>
  <si>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</si>
  <si>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</si>
  <si>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</si>
  <si>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</si>
  <si>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</si>
  <si>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</si>
  <si>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</si>
  <si>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</si>
  <si>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</si>
  <si>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</si>
  <si>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</si>
  <si>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</si>
  <si>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</si>
  <si>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</si>
  <si>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</si>
  <si>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</si>
  <si>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</si>
  <si>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</si>
  <si>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</si>
  <si>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</si>
  <si>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</si>
  <si>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</si>
  <si>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</si>
  <si>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</si>
  <si>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</si>
  <si>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</si>
  <si>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</si>
  <si>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</si>
  <si>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</si>
  <si>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</si>
  <si>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</si>
  <si>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</si>
  <si>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</si>
  <si>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</si>
  <si>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</si>
  <si>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</si>
  <si>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</si>
  <si>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</si>
  <si>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</si>
  <si>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</si>
  <si>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</si>
  <si>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</si>
  <si>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</si>
  <si>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</si>
  <si>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</si>
  <si>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</si>
  <si>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</si>
  <si>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</si>
  <si>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</si>
  <si>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</si>
  <si>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</si>
  <si>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</si>
  <si>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</si>
  <si>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</si>
  <si>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</si>
  <si>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</si>
  <si>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</si>
  <si>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</si>
  <si>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</si>
  <si>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</si>
  <si>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</si>
  <si>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</si>
  <si>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</si>
  <si>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</si>
  <si>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</si>
  <si>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</si>
  <si>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</si>
  <si>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</si>
  <si>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</si>
  <si>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</si>
  <si>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</si>
  <si>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</si>
  <si>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</si>
  <si>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</si>
  <si>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</si>
  <si>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</si>
  <si>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</si>
  <si>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</si>
  <si>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</si>
  <si>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</si>
  <si>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</si>
  <si>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</si>
  <si>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</si>
  <si>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</si>
  <si>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</si>
  <si>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</si>
  <si>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</si>
  <si>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</si>
  <si>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</si>
  <si>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</si>
  <si>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</si>
  <si>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</si>
  <si>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</si>
  <si>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</si>
  <si>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</si>
  <si>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</si>
  <si>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</si>
  <si>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</si>
  <si>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</si>
  <si>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</si>
  <si>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</si>
  <si>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</si>
  <si>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</si>
  <si>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</si>
  <si>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</si>
  <si>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</si>
  <si>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</si>
  <si>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</si>
  <si>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</si>
  <si>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</si>
  <si>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</si>
  <si>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</si>
  <si>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</si>
  <si>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</si>
  <si>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</si>
  <si>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</si>
  <si>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</si>
  <si>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</si>
  <si>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</si>
  <si>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</si>
  <si>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</si>
  <si>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</si>
  <si>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</si>
  <si>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</si>
  <si>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</si>
  <si>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</si>
  <si>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</si>
  <si>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</si>
  <si>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</si>
  <si>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</si>
  <si>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</si>
  <si>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</si>
  <si>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</si>
  <si>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</si>
  <si>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</si>
  <si>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</si>
  <si>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</si>
  <si>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</si>
  <si>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</si>
  <si>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</si>
  <si>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</si>
  <si>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</si>
  <si>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</si>
  <si>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</si>
  <si>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</si>
  <si>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</si>
  <si>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</si>
  <si>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</si>
  <si>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</si>
  <si>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</si>
  <si>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</si>
  <si>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</si>
  <si>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</si>
  <si>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</si>
  <si>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</si>
  <si>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</si>
  <si>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</si>
  <si>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</si>
  <si>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</si>
  <si>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</si>
  <si>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</si>
  <si>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</si>
  <si>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</si>
  <si>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</si>
  <si>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</si>
  <si>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</si>
  <si>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</si>
  <si>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</si>
  <si>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</si>
  <si>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</si>
  <si>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</si>
  <si>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</si>
  <si>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</si>
  <si>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</si>
  <si>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</si>
  <si>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</si>
  <si>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</si>
  <si>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</si>
  <si>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</si>
  <si>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</si>
  <si>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</si>
  <si>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</si>
  <si>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</si>
  <si>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</si>
  <si>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</si>
  <si>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</si>
  <si>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</si>
  <si>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</si>
  <si>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</si>
  <si>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</si>
  <si>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</si>
  <si>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</si>
  <si>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</si>
  <si>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</si>
  <si>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</si>
  <si>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</si>
  <si>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</si>
  <si>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</si>
  <si>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</si>
  <si>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</si>
  <si>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</si>
  <si>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</si>
  <si>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</si>
  <si>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</si>
  <si>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</si>
  <si>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</si>
  <si>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</si>
  <si>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</si>
  <si>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</si>
  <si>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</si>
  <si>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</si>
  <si>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</si>
  <si>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</si>
  <si>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</si>
  <si>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</si>
  <si>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</si>
  <si>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</si>
  <si>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</si>
  <si>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</si>
  <si>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</si>
  <si>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</si>
  <si>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</si>
  <si>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</si>
  <si>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</si>
  <si>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</si>
  <si>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</si>
  <si>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</si>
  <si>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</si>
  <si>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</si>
  <si>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</si>
  <si>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</si>
  <si>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</si>
  <si>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</si>
  <si>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</si>
  <si>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</si>
  <si>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</si>
  <si>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</si>
  <si>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</si>
  <si>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</si>
  <si>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</si>
  <si>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</si>
  <si>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</si>
  <si>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</si>
  <si>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</si>
  <si>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</si>
  <si>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</si>
  <si>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</si>
  <si>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</si>
  <si>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</si>
  <si>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</si>
  <si>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</si>
  <si>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</si>
  <si>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</si>
  <si>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</si>
  <si>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</si>
  <si>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</si>
  <si>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</si>
  <si>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</si>
  <si>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</si>
  <si>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</si>
  <si>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</si>
  <si>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</si>
  <si>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</si>
  <si>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</si>
  <si>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</si>
  <si>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</si>
  <si>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</si>
  <si>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</si>
  <si>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</si>
  <si>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</si>
  <si>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</si>
  <si>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</si>
  <si>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</si>
  <si>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</si>
  <si>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</si>
  <si>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</si>
  <si>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</si>
  <si>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</si>
  <si>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</si>
  <si>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</si>
  <si>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</si>
  <si>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</si>
  <si>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</si>
  <si>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</si>
  <si>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</si>
  <si>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</si>
  <si>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</si>
  <si>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</si>
  <si>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</si>
  <si>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</si>
  <si>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</si>
  <si>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</si>
  <si>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</si>
  <si>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</si>
  <si>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</si>
  <si>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</si>
  <si>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</si>
  <si>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</si>
  <si>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</si>
  <si>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</si>
  <si>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</si>
  <si>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</si>
  <si>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</si>
  <si>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</si>
  <si>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</si>
  <si>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</si>
  <si>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</si>
  <si>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</si>
  <si>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</si>
  <si>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</si>
  <si>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</si>
  <si>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</si>
  <si>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</si>
  <si>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</si>
  <si>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</si>
  <si>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</si>
  <si>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</si>
  <si>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</si>
  <si>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</si>
  <si>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</si>
  <si>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</si>
  <si>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</si>
  <si>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</si>
  <si>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</si>
  <si>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</si>
  <si>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</si>
  <si>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</si>
  <si>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</si>
  <si>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</si>
  <si>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</si>
  <si>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</si>
  <si>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</si>
  <si>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</si>
  <si>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</si>
  <si>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</si>
  <si>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</si>
  <si>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</si>
  <si>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</si>
  <si>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</si>
  <si>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</si>
  <si>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</si>
  <si>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</si>
  <si>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</si>
  <si>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</si>
  <si>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</si>
  <si>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</si>
  <si>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</si>
  <si>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</si>
  <si>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</si>
  <si>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</si>
  <si>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</si>
  <si>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</si>
  <si>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</si>
  <si>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</si>
  <si>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</si>
  <si>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</si>
  <si>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</si>
  <si>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</si>
  <si>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</si>
  <si>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</si>
  <si>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</si>
  <si>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</si>
  <si>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</si>
  <si>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</si>
  <si>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</si>
  <si>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</si>
  <si>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</si>
  <si>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</si>
  <si>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</si>
  <si>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</si>
  <si>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</si>
  <si>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</si>
  <si>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</si>
  <si>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</si>
  <si>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</si>
  <si>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</si>
  <si>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</si>
  <si>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</si>
  <si>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</si>
  <si>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</si>
  <si>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</si>
  <si>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</si>
  <si>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</si>
  <si>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</si>
  <si>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</si>
  <si>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</si>
  <si>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</si>
  <si>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</si>
  <si>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</si>
  <si>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</si>
  <si>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</si>
  <si>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</si>
  <si>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</si>
  <si>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</si>
  <si>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</si>
  <si>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</si>
  <si>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</si>
  <si>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</si>
  <si>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</si>
  <si>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</si>
  <si>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</si>
  <si>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</si>
  <si>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</si>
  <si>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</si>
  <si>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</si>
  <si>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</si>
  <si>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</si>
  <si>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</si>
  <si>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</si>
  <si>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</si>
  <si>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</si>
  <si>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</si>
  <si>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</si>
  <si>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</si>
  <si>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</si>
  <si>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</si>
  <si>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</si>
  <si>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</si>
  <si>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</si>
  <si>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</si>
  <si>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</si>
  <si>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</si>
  <si>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</si>
  <si>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</si>
  <si>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</si>
  <si>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</si>
  <si>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</si>
  <si>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</si>
  <si>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</si>
  <si>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</si>
  <si>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</si>
  <si>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</si>
  <si>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</si>
  <si>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</si>
  <si>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</si>
  <si>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</si>
  <si>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</si>
  <si>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</si>
  <si>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</si>
  <si>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</si>
  <si>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</si>
  <si>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</si>
  <si>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</si>
  <si>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</si>
  <si>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</si>
  <si>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</si>
  <si>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</si>
  <si>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</si>
  <si>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</si>
  <si>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</si>
  <si>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</si>
  <si>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</si>
  <si>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</si>
  <si>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</si>
  <si>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</si>
  <si>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</si>
  <si>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</si>
  <si>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</si>
  <si>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</si>
  <si>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</si>
  <si>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</si>
  <si>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</si>
  <si>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</si>
  <si>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</si>
  <si>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</si>
  <si>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</si>
  <si>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</si>
  <si>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</si>
  <si>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</si>
  <si>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</si>
  <si>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</si>
  <si>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</si>
  <si>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</si>
  <si>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</si>
  <si>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</si>
  <si>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</si>
  <si>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</si>
  <si>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</si>
  <si>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</si>
  <si>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</si>
  <si>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</si>
  <si>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</si>
  <si>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</si>
  <si>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</si>
  <si>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</si>
  <si>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</si>
  <si>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</si>
  <si>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</si>
  <si>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</si>
  <si>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</si>
  <si>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</si>
  <si>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</si>
  <si>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</si>
  <si>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</si>
  <si>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</si>
  <si>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</si>
  <si>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</si>
  <si>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</si>
  <si>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</si>
  <si>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</si>
  <si>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</si>
  <si>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</si>
  <si>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</si>
  <si>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</si>
  <si>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</si>
  <si>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</si>
  <si>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</si>
  <si>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</si>
  <si>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</si>
  <si>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</si>
  <si>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</si>
  <si>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</si>
  <si>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</si>
  <si>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</si>
  <si>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</si>
  <si>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</si>
  <si>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</si>
  <si>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</si>
  <si>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</si>
  <si>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</si>
  <si>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</si>
  <si>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</si>
  <si>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</si>
  <si>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</si>
  <si>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</si>
  <si>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</si>
  <si>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</si>
  <si>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</si>
  <si>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</si>
  <si>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</si>
  <si>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</si>
  <si>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</si>
  <si>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</si>
  <si>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</si>
  <si>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</si>
  <si>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</si>
  <si>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</si>
  <si>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</si>
  <si>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</si>
  <si>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</si>
  <si>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</si>
  <si>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</si>
  <si>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</si>
  <si>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</si>
  <si>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</si>
  <si>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</si>
  <si>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</si>
  <si>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</si>
  <si>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</si>
  <si>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</si>
  <si>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</si>
  <si>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</si>
  <si>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</si>
  <si>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</si>
  <si>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</si>
  <si>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</si>
  <si>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</si>
  <si>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</si>
  <si>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</si>
  <si>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</si>
  <si>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</si>
  <si>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</si>
  <si>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</si>
  <si>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</si>
  <si>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</si>
  <si>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</si>
  <si>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</si>
  <si>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</si>
  <si>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</si>
  <si>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</si>
  <si>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</si>
  <si>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</si>
  <si>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</si>
  <si>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</si>
  <si>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</si>
  <si>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</si>
  <si>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</si>
  <si>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</si>
  <si>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</si>
  <si>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</si>
  <si>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</si>
  <si>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</si>
  <si>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</si>
  <si>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</si>
  <si>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</si>
  <si>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</si>
  <si>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</si>
  <si>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</si>
  <si>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</si>
  <si>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</si>
  <si>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</si>
  <si>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</si>
  <si>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</si>
  <si>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</si>
  <si>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</si>
  <si>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</si>
  <si>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</si>
  <si>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</si>
  <si>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</si>
  <si>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</si>
  <si>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</si>
  <si>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</si>
  <si>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</si>
  <si>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</si>
  <si>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</si>
  <si>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</si>
  <si>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</si>
  <si>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</si>
  <si>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</si>
  <si>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</si>
  <si>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</si>
  <si>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</si>
  <si>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</si>
  <si>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</si>
  <si>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</si>
  <si>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</si>
  <si>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</si>
  <si>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</si>
  <si>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</si>
  <si>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</si>
  <si>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</si>
  <si>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</si>
  <si>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</si>
  <si>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</si>
  <si>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</si>
  <si>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</si>
  <si>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</si>
  <si>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</si>
  <si>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</si>
  <si>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</si>
  <si>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</si>
  <si>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</si>
  <si>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</si>
  <si>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</si>
  <si>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</si>
  <si>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</si>
  <si>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</si>
  <si>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</si>
  <si>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</si>
  <si>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</si>
  <si>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</si>
  <si>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</si>
  <si>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</si>
  <si>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</si>
  <si>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</si>
  <si>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</si>
  <si>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</si>
  <si>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</si>
  <si>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</si>
  <si>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</si>
  <si>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</si>
  <si>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</si>
  <si>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</si>
  <si>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</si>
  <si>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</si>
  <si>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</si>
  <si>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</si>
  <si>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</si>
  <si>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</si>
  <si>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</si>
  <si>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</si>
  <si>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</si>
  <si>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</si>
  <si>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</si>
  <si>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</si>
  <si>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</si>
  <si>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</si>
  <si>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</si>
  <si>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</si>
  <si>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</si>
  <si>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</si>
  <si>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</si>
  <si>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</si>
  <si>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</si>
  <si>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</si>
  <si>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</si>
  <si>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</si>
  <si>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</si>
  <si>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</si>
  <si>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</si>
  <si>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</si>
  <si>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</si>
  <si>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</si>
  <si>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</si>
  <si>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</si>
  <si>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</si>
  <si>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</si>
  <si>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</si>
  <si>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</si>
  <si>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</si>
  <si>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</si>
  <si>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</si>
  <si>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</si>
  <si>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</si>
  <si>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</si>
  <si>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</si>
  <si>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</si>
  <si>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</si>
  <si>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</si>
  <si>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</si>
  <si>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</si>
  <si>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</si>
  <si>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</si>
  <si>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</si>
  <si>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</si>
  <si>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</si>
  <si>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</si>
  <si>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</si>
  <si>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</si>
  <si>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</si>
  <si>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</si>
  <si>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</si>
  <si>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</si>
  <si>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</si>
  <si>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</si>
  <si>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</si>
  <si>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</si>
  <si>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</si>
  <si>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</si>
  <si>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</si>
  <si>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</si>
  <si>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</si>
  <si>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</si>
  <si>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</si>
  <si>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</si>
  <si>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</si>
  <si>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</si>
  <si>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</si>
  <si>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</si>
  <si>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</si>
  <si>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</si>
  <si>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</si>
  <si>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</si>
  <si>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</si>
  <si>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</si>
  <si>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</si>
  <si>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</si>
  <si>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</si>
  <si>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</si>
  <si>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</si>
  <si>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</si>
  <si>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</si>
  <si>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</si>
  <si>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</si>
  <si>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</si>
  <si>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</si>
  <si>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</si>
  <si>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</si>
  <si>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</si>
  <si>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</si>
  <si>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</si>
  <si>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</si>
  <si>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</si>
  <si>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</si>
  <si>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</si>
  <si>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</si>
  <si>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</si>
  <si>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</si>
  <si>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</si>
  <si>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</si>
  <si>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</si>
  <si>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</si>
  <si>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</si>
  <si>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</si>
  <si>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</si>
  <si>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</si>
  <si>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</si>
  <si>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</si>
  <si>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</si>
  <si>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</si>
  <si>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</si>
  <si>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</si>
  <si>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</si>
  <si>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</si>
  <si>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</si>
  <si>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</si>
  <si>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</si>
  <si>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</si>
  <si>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</si>
  <si>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</si>
  <si>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</si>
  <si>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</si>
  <si>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</si>
  <si>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</si>
  <si>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</si>
  <si>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</si>
  <si>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</si>
  <si>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</si>
  <si>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</si>
  <si>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</si>
  <si>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</si>
  <si>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</si>
  <si>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</si>
  <si>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</si>
  <si>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</si>
  <si>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</si>
  <si>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</si>
  <si>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</si>
  <si>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</si>
  <si>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</si>
  <si>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</si>
  <si>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</si>
  <si>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</si>
  <si>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</si>
  <si>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</si>
  <si>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</si>
  <si>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</si>
  <si>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</si>
  <si>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</si>
  <si>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</si>
  <si>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</si>
  <si>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</si>
  <si>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</si>
  <si>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</si>
  <si>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</si>
  <si>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</si>
  <si>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</si>
  <si>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</si>
  <si>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</si>
  <si>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</si>
  <si>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</si>
  <si>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</si>
  <si>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</si>
  <si>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</si>
  <si>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</si>
  <si>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</si>
  <si>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</si>
  <si>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</si>
  <si>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</si>
  <si>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</si>
  <si>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</si>
  <si>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</si>
  <si>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</si>
  <si>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</si>
  <si>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</si>
  <si>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</si>
  <si>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</si>
  <si>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</si>
  <si>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</si>
  <si>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</si>
  <si>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</si>
  <si>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</si>
  <si>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</si>
  <si>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</si>
  <si>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</si>
  <si>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</si>
  <si>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</si>
  <si>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</si>
  <si>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</si>
  <si>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</si>
  <si>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</si>
  <si>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</si>
  <si>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</si>
  <si>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</si>
  <si>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</si>
  <si>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</si>
  <si>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</si>
  <si>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</si>
  <si>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</si>
  <si>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</si>
  <si>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</si>
  <si>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</si>
  <si>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</si>
  <si>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</si>
  <si>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</si>
  <si>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</si>
  <si>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</si>
  <si>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</si>
  <si>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</si>
  <si>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</si>
  <si>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</si>
  <si>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</si>
  <si>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</si>
  <si>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</si>
  <si>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</si>
  <si>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</si>
  <si>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</si>
  <si>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</si>
  <si>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</si>
  <si>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</si>
  <si>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</si>
  <si>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</si>
  <si>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</si>
  <si>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</si>
  <si>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</si>
  <si>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</si>
  <si>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</si>
  <si>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</si>
  <si>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</si>
  <si>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</si>
  <si>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</si>
  <si>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</si>
  <si>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</si>
  <si>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</si>
  <si>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</si>
  <si>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</si>
  <si>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</si>
  <si>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</si>
  <si>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</si>
  <si>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</si>
  <si>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</si>
  <si>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</si>
  <si>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</si>
  <si>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</si>
  <si>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</si>
  <si>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</si>
  <si>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</si>
  <si>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</si>
  <si>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</si>
  <si>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</si>
  <si>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</si>
  <si>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</si>
  <si>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</si>
  <si>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</si>
  <si>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</si>
  <si>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</si>
  <si>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</si>
  <si>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</si>
  <si>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</si>
  <si>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</si>
  <si>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</si>
  <si>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</si>
  <si>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</si>
  <si>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</si>
  <si>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</si>
  <si>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</si>
  <si>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</si>
  <si>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</si>
  <si>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</si>
  <si>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</si>
  <si>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</si>
  <si>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</si>
  <si>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</si>
  <si>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</si>
  <si>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</si>
  <si>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</si>
  <si>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</si>
  <si>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</si>
  <si>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</si>
  <si>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</si>
  <si>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</si>
  <si>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</si>
  <si>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</si>
  <si>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</si>
  <si>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</si>
  <si>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</si>
  <si>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</si>
  <si>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</si>
  <si>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</si>
  <si>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</si>
  <si>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</si>
  <si>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</si>
  <si>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</si>
  <si>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</si>
  <si>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</si>
  <si>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</si>
  <si>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</si>
  <si>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</si>
  <si>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</si>
  <si>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</si>
  <si>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</si>
  <si>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</si>
  <si>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</si>
  <si>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</si>
  <si>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</si>
  <si>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</si>
  <si>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</si>
  <si>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</si>
  <si>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</si>
  <si>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</si>
  <si>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</si>
  <si>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</si>
  <si>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</si>
  <si>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</si>
  <si>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</si>
  <si>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</si>
  <si>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</si>
  <si>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</si>
  <si>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</si>
  <si>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</si>
  <si>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</si>
  <si>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</si>
  <si>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</si>
  <si>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</si>
  <si>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</si>
  <si>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</si>
  <si>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</si>
  <si>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</si>
  <si>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</si>
  <si>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</si>
  <si>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</si>
  <si>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</si>
  <si>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</si>
  <si>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</si>
  <si>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</si>
  <si>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</si>
  <si>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</si>
  <si>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</si>
  <si>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</si>
  <si>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</si>
  <si>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</si>
  <si>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</si>
  <si>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</si>
  <si>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</si>
  <si>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</si>
  <si>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</si>
  <si>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</si>
  <si>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</si>
  <si>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</si>
  <si>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</si>
  <si>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</si>
  <si>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</si>
  <si>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</si>
  <si>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</si>
  <si>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</si>
  <si>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</si>
  <si>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</si>
  <si>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</si>
  <si>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</si>
  <si>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</si>
  <si>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</si>
  <si>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</si>
  <si>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</si>
  <si>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</si>
  <si>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</si>
  <si>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</si>
  <si>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</si>
  <si>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</si>
  <si>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</si>
  <si>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</si>
  <si>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</si>
  <si>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</si>
  <si>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</si>
  <si>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</si>
  <si>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</si>
  <si>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</si>
  <si>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</si>
  <si>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</si>
  <si>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</si>
  <si>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</si>
  <si>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</si>
  <si>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</si>
  <si>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</si>
  <si>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</si>
  <si>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</si>
  <si>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</si>
  <si>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</si>
  <si>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</si>
  <si>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</si>
  <si>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</si>
  <si>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</si>
  <si>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</si>
  <si>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</si>
  <si>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</si>
  <si>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</si>
  <si>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</si>
  <si>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</si>
  <si>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</si>
  <si>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</si>
  <si>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</si>
  <si>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</si>
  <si>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</si>
  <si>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</si>
  <si>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</si>
  <si>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</si>
  <si>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</si>
  <si>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</si>
  <si>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</si>
  <si>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</si>
  <si>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</si>
  <si>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</si>
  <si>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</si>
  <si>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</si>
  <si>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</si>
  <si>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</si>
  <si>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</si>
  <si>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</si>
  <si>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</si>
  <si>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</si>
  <si>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</si>
  <si>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</si>
  <si>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</si>
  <si>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</si>
  <si>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</si>
  <si>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</si>
  <si>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</si>
  <si>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</si>
  <si>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</si>
  <si>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</si>
  <si>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</si>
  <si>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</si>
  <si>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</si>
  <si>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</si>
  <si>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</si>
  <si>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</si>
  <si>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</si>
  <si>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</si>
  <si>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</si>
  <si>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</si>
  <si>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</si>
  <si>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</si>
  <si>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</si>
  <si>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</si>
  <si>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</si>
  <si>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</si>
  <si>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</si>
  <si>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</si>
  <si>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</si>
  <si>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</si>
  <si>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</si>
  <si>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</si>
  <si>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</si>
  <si>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</si>
  <si>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</si>
  <si>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</si>
  <si>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</si>
  <si>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</si>
  <si>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</si>
  <si>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</si>
  <si>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</si>
  <si>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</si>
  <si>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</si>
  <si>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</si>
  <si>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</si>
  <si>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</si>
  <si>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</si>
  <si>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</si>
  <si>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</si>
  <si>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</si>
  <si>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</si>
  <si>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</si>
  <si>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</si>
  <si>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</si>
  <si>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</si>
  <si>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</si>
  <si>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</si>
  <si>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</si>
  <si>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</si>
  <si>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</si>
  <si>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</si>
  <si>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</si>
  <si>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</si>
  <si>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</si>
  <si>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</si>
  <si>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</si>
  <si>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</si>
  <si>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</si>
  <si>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</si>
  <si>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</si>
  <si>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</si>
  <si>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</si>
  <si>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</si>
  <si>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</si>
  <si>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</si>
  <si>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</si>
  <si>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</si>
  <si>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</si>
  <si>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</si>
  <si>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</si>
  <si>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</si>
  <si>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</si>
  <si>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</si>
  <si>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</si>
  <si>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</si>
  <si>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</si>
  <si>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</si>
  <si>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</si>
  <si>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</si>
  <si>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</si>
  <si>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</si>
  <si>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</si>
  <si>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</si>
  <si>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</si>
  <si>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</si>
  <si>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</si>
  <si>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</si>
  <si>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</si>
  <si>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</si>
  <si>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</si>
  <si>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</si>
  <si>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</si>
  <si>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</si>
  <si>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</si>
  <si>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</si>
  <si>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</si>
  <si>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</si>
  <si>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</si>
  <si>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</si>
  <si>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</si>
  <si>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</si>
  <si>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</si>
  <si>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</si>
  <si>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</si>
  <si>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</si>
  <si>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</si>
  <si>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</si>
  <si>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</si>
  <si>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</si>
  <si>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</si>
  <si>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</si>
  <si>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</si>
  <si>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</si>
  <si>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</si>
  <si>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</si>
  <si>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</si>
  <si>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</si>
  <si>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</si>
  <si>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</si>
  <si>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</si>
  <si>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</si>
  <si>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</si>
  <si>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</si>
  <si>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</si>
  <si>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</si>
  <si>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</si>
  <si>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</si>
  <si>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</si>
  <si>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</si>
  <si>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</si>
  <si>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</si>
  <si>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</si>
  <si>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</si>
  <si>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</si>
  <si>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</si>
  <si>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</si>
  <si>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</si>
  <si>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</si>
  <si>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</si>
  <si>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</si>
  <si>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</si>
  <si>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</si>
  <si>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</si>
  <si>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</si>
  <si>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</si>
  <si>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</si>
  <si>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</si>
  <si>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</si>
  <si>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</si>
  <si>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</si>
  <si>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</si>
  <si>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</si>
  <si>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</si>
  <si>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</si>
  <si>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</si>
  <si>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</si>
  <si>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</si>
  <si>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</si>
  <si>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</si>
  <si>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</si>
  <si>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</si>
  <si>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</si>
  <si>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</si>
  <si>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</si>
  <si>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</si>
  <si>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</si>
  <si>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</si>
  <si>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</si>
  <si>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</si>
  <si>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</si>
  <si>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</si>
  <si>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</si>
  <si>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</si>
  <si>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</si>
  <si>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</si>
  <si>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</si>
  <si>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</si>
  <si>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</si>
  <si>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</si>
  <si>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</si>
  <si>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</si>
  <si>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</si>
  <si>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</si>
  <si>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</si>
  <si>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</si>
  <si>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</si>
  <si>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</si>
  <si>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</si>
  <si>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</si>
  <si>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</si>
  <si>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</si>
  <si>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</si>
  <si>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</si>
  <si>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</si>
  <si>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</si>
  <si>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</si>
  <si>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</si>
  <si>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</si>
  <si>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</si>
  <si>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</si>
  <si>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</si>
  <si>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</si>
  <si>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</si>
  <si>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</si>
  <si>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</si>
  <si>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</si>
  <si>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</si>
  <si>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</si>
  <si>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</si>
  <si>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</si>
  <si>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</si>
  <si>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</si>
  <si>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</si>
  <si>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</si>
  <si>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</si>
  <si>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</si>
  <si>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</si>
  <si>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</si>
  <si>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</si>
  <si>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</si>
  <si>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</si>
  <si>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</si>
  <si>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</si>
  <si>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</si>
  <si>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</si>
  <si>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</si>
  <si>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</si>
  <si>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</si>
  <si>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</si>
  <si>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</si>
  <si>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</si>
  <si>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</si>
  <si>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</si>
  <si>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</si>
  <si>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</si>
  <si>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</si>
  <si>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</si>
  <si>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</si>
  <si>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</si>
  <si>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</si>
  <si>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</si>
  <si>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</si>
  <si>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</si>
  <si>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</si>
  <si>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</si>
  <si>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</si>
  <si>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</si>
  <si>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</si>
  <si>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</si>
  <si>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</si>
  <si>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</si>
  <si>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</si>
  <si>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</si>
  <si>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</si>
  <si>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</si>
  <si>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</si>
  <si>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</si>
  <si>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</si>
  <si>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</si>
  <si>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</si>
  <si>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</si>
  <si>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</si>
  <si>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</si>
  <si>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</si>
  <si>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</si>
  <si>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</si>
  <si>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</si>
  <si>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</si>
  <si>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</si>
  <si>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</si>
  <si>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</si>
  <si>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</si>
  <si>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</si>
  <si>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</si>
  <si>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</si>
  <si>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</si>
  <si>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</si>
  <si>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</si>
  <si>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</si>
  <si>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</si>
  <si>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</si>
  <si>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</si>
  <si>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</si>
  <si>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</si>
  <si>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</si>
  <si>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</si>
  <si>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</si>
  <si>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</si>
  <si>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</si>
  <si>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</si>
  <si>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</si>
  <si>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</si>
  <si>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</si>
  <si>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</si>
  <si>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</si>
  <si>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</si>
  <si>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</si>
  <si>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</si>
  <si>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</si>
  <si>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</si>
  <si>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</si>
  <si>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</si>
  <si>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</si>
  <si>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</si>
  <si>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</si>
  <si>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</si>
  <si>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</si>
  <si>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</si>
  <si>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</si>
  <si>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</si>
  <si>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</si>
  <si>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</si>
  <si>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</si>
  <si>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</si>
  <si>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</si>
  <si>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</si>
  <si>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</si>
  <si>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</si>
  <si>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</si>
  <si>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</si>
  <si>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</si>
  <si>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</si>
  <si>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</si>
  <si>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</si>
  <si>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</si>
  <si>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</si>
  <si>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</si>
  <si>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</si>
  <si>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</si>
  <si>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</si>
  <si>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</si>
  <si>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</si>
  <si>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</si>
  <si>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</si>
  <si>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</si>
  <si>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</si>
  <si>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</si>
  <si>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</si>
  <si>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</si>
  <si>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</si>
  <si>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</si>
  <si>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</si>
  <si>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</si>
  <si>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</si>
  <si>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</si>
  <si>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</si>
  <si>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</si>
  <si>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</si>
  <si>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</si>
  <si>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</si>
  <si>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</si>
  <si>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</si>
  <si>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</si>
  <si>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</si>
  <si>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</si>
  <si>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</si>
  <si>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</si>
  <si>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</si>
  <si>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</si>
  <si>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</si>
  <si>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</si>
  <si>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</si>
  <si>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</si>
  <si>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</si>
  <si>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</si>
  <si>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</si>
  <si>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</si>
  <si>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</si>
  <si>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</si>
  <si>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</si>
  <si>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</si>
  <si>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</si>
  <si>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</si>
  <si>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</si>
  <si>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</si>
  <si>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</si>
  <si>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</si>
  <si>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</si>
  <si>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</si>
  <si>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</si>
  <si>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</si>
  <si>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</si>
  <si>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</si>
  <si>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</si>
  <si>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</si>
  <si>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</si>
  <si>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</si>
  <si>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</si>
  <si>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</si>
  <si>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</si>
  <si>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</si>
  <si>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</si>
  <si>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</si>
  <si>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</si>
  <si>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</si>
  <si>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</si>
  <si>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</si>
  <si>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</si>
  <si>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</si>
  <si>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</si>
  <si>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</si>
  <si>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</si>
  <si>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</si>
  <si>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</si>
  <si>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</si>
  <si>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</si>
  <si>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</si>
  <si>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</si>
  <si>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</si>
  <si>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</si>
  <si>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</si>
  <si>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</si>
  <si>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</si>
  <si>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</si>
  <si>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</si>
  <si>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</si>
  <si>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</si>
  <si>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</si>
  <si>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</si>
  <si>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</si>
  <si>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</si>
  <si>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</si>
  <si>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</si>
  <si>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</si>
  <si>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</si>
  <si>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</si>
  <si>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</si>
  <si>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</si>
  <si>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</si>
  <si>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</si>
  <si>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</si>
  <si>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</si>
  <si>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</si>
  <si>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</si>
  <si>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</si>
  <si>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</si>
  <si>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</si>
  <si>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</si>
  <si>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</si>
  <si>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</si>
  <si>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</si>
  <si>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</si>
  <si>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</si>
  <si>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</si>
  <si>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</si>
  <si>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</si>
  <si>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</si>
  <si>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</si>
  <si>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</si>
  <si>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</si>
  <si>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</si>
  <si>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</si>
  <si>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</si>
  <si>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</si>
  <si>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</si>
  <si>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</si>
  <si>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</si>
  <si>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</si>
  <si>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</si>
  <si>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</si>
  <si>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</si>
  <si>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</si>
  <si>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</si>
  <si>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</si>
  <si>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</si>
  <si>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</si>
  <si>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</si>
  <si>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</si>
  <si>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</si>
  <si>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</si>
  <si>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</si>
  <si>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</si>
  <si>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</si>
  <si>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</si>
  <si>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</si>
  <si>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</si>
  <si>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</si>
  <si>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</si>
  <si>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</si>
  <si>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</si>
  <si>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</si>
  <si>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</si>
  <si>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</si>
  <si>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</si>
  <si>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</si>
  <si>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</si>
  <si>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</si>
  <si>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</si>
  <si>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</si>
  <si>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</si>
  <si>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</si>
  <si>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</si>
  <si>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</si>
  <si>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</si>
  <si>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</si>
  <si>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</si>
  <si>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</si>
  <si>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</si>
  <si>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</si>
  <si>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</si>
  <si>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</si>
  <si>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</si>
  <si>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</si>
  <si>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</si>
  <si>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</si>
  <si>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</si>
  <si>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</si>
  <si>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</si>
  <si>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</si>
  <si>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</si>
  <si>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</si>
  <si>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</si>
  <si>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</si>
  <si>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</si>
  <si>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</si>
  <si>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</si>
  <si>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</si>
  <si>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</si>
  <si>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</si>
  <si>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</si>
  <si>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</si>
  <si>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</si>
  <si>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</si>
  <si>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</si>
  <si>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</si>
  <si>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</si>
  <si>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</si>
  <si>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</si>
  <si>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</si>
  <si>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</si>
  <si>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</si>
  <si>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</si>
  <si>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</si>
  <si>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</si>
  <si>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</si>
  <si>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</si>
  <si>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</si>
  <si>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</si>
  <si>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</si>
  <si>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</si>
  <si>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</si>
  <si>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</si>
  <si>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</si>
  <si>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</si>
  <si>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</si>
  <si>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</si>
  <si>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</si>
  <si>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</si>
  <si>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</si>
  <si>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</si>
  <si>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</si>
  <si>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</si>
  <si>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</si>
  <si>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</si>
  <si>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</si>
  <si>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</si>
  <si>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</si>
  <si>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</si>
  <si>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</si>
  <si>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</si>
  <si>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</si>
  <si>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</si>
  <si>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</si>
  <si>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</si>
  <si>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</si>
  <si>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</si>
  <si>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</si>
  <si>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</si>
  <si>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</si>
  <si>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</si>
  <si>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</si>
  <si>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</si>
  <si>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</si>
  <si>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</si>
  <si>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</si>
  <si>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</si>
  <si>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</si>
  <si>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</si>
  <si>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</si>
  <si>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</si>
  <si>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</si>
  <si>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</si>
  <si>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</si>
  <si>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</si>
  <si>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</si>
  <si>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</si>
  <si>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</si>
  <si>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</si>
  <si>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</si>
  <si>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</si>
  <si>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</si>
  <si>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</si>
  <si>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</si>
  <si>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</si>
  <si>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</si>
  <si>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</si>
  <si>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</si>
  <si>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</si>
  <si>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</si>
  <si>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</si>
  <si>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</si>
  <si>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</si>
  <si>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</si>
  <si>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</si>
  <si>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</si>
  <si>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</si>
  <si>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</si>
  <si>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</si>
  <si>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</si>
  <si>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</si>
  <si>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</si>
  <si>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</si>
  <si>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</si>
  <si>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</si>
  <si>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</si>
  <si>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</si>
  <si>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</si>
  <si>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</si>
  <si>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</si>
  <si>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</si>
  <si>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</si>
  <si>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</si>
  <si>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</si>
  <si>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</si>
  <si>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</si>
  <si>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</si>
  <si>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</si>
  <si>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</si>
  <si>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</si>
  <si>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</si>
  <si>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</si>
  <si>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</si>
  <si>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</si>
  <si>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</si>
  <si>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</si>
  <si>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</si>
  <si>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</si>
  <si>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</si>
  <si>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</si>
  <si>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</si>
  <si>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</si>
  <si>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</si>
  <si>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</si>
  <si>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</si>
  <si>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</si>
  <si>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</si>
  <si>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</si>
  <si>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</si>
  <si>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</si>
  <si>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</si>
  <si>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</si>
  <si>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</si>
  <si>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</si>
  <si>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</si>
  <si>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</si>
  <si>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</si>
  <si>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</si>
  <si>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</si>
  <si>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</si>
  <si>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</si>
  <si>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</si>
  <si>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</si>
  <si>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</si>
  <si>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</si>
  <si>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</si>
  <si>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</si>
  <si>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</si>
  <si>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</si>
  <si>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</si>
  <si>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</si>
  <si>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</si>
  <si>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</si>
  <si>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</si>
  <si>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</si>
  <si>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</si>
  <si>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</si>
  <si>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</si>
  <si>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</si>
  <si>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</si>
  <si>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</si>
  <si>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</si>
  <si>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</si>
  <si>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</si>
  <si>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</si>
  <si>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</si>
  <si>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</si>
  <si>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</si>
  <si>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</si>
  <si>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</si>
  <si>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</si>
  <si>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</si>
  <si>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</si>
  <si>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</si>
  <si>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</si>
  <si>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</si>
  <si>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</si>
  <si>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</si>
  <si>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</si>
  <si>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</si>
  <si>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</si>
  <si>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</si>
  <si>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</si>
  <si>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</si>
  <si>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</si>
  <si>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</si>
  <si>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</si>
  <si>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</si>
  <si>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</si>
  <si>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</si>
  <si>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</si>
  <si>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</si>
  <si>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</si>
  <si>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</si>
  <si>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</si>
  <si>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</si>
  <si>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</si>
  <si>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</si>
  <si>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</si>
  <si>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</si>
  <si>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</si>
  <si>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</si>
  <si>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</si>
  <si>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</si>
  <si>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</si>
  <si>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</si>
  <si>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</si>
  <si>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</si>
  <si>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</si>
  <si>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</si>
  <si>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</si>
  <si>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</si>
  <si>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</si>
  <si>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</si>
  <si>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</si>
  <si>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</si>
  <si>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</si>
  <si>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</si>
  <si>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</si>
  <si>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</si>
  <si>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</si>
  <si>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</si>
  <si>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</si>
  <si>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</si>
  <si>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</si>
  <si>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</si>
  <si>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</si>
  <si>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</si>
  <si>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</si>
  <si>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</si>
  <si>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</si>
  <si>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</si>
  <si>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</si>
  <si>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</si>
  <si>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</si>
  <si>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</si>
  <si>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</si>
  <si>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</si>
  <si>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</si>
  <si>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</si>
  <si>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</si>
  <si>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</si>
  <si>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</si>
  <si>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</si>
  <si>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</si>
  <si>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</si>
  <si>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</si>
  <si>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</si>
  <si>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</si>
  <si>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</si>
  <si>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</si>
  <si>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</si>
  <si>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</si>
  <si>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</si>
  <si>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</si>
  <si>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</si>
  <si>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</si>
  <si>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</si>
  <si>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</si>
  <si>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</si>
  <si>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</si>
  <si>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</si>
  <si>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</si>
  <si>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</si>
  <si>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</si>
  <si>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</si>
  <si>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</si>
  <si>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</si>
  <si>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</si>
  <si>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</si>
  <si>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</si>
  <si>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</si>
  <si>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</si>
  <si>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</si>
  <si>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</si>
  <si>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</si>
  <si>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</si>
  <si>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</si>
  <si>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</si>
  <si>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</si>
  <si>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</si>
  <si>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</si>
  <si>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</si>
  <si>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</si>
  <si>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</si>
  <si>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</si>
  <si>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</si>
  <si>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</si>
  <si>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</si>
  <si>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</si>
  <si>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</si>
  <si>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</si>
  <si>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</si>
  <si>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</si>
  <si>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</si>
  <si>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</si>
  <si>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</si>
  <si>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</si>
  <si>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</si>
  <si>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</si>
  <si>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</si>
  <si>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</si>
  <si>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</si>
  <si>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</si>
  <si>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</si>
  <si>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</si>
  <si>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</si>
  <si>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</si>
  <si>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</si>
  <si>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</si>
  <si>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</si>
  <si>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</si>
  <si>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</si>
  <si>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</si>
  <si>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</si>
  <si>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</si>
  <si>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</si>
  <si>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</si>
  <si>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</si>
  <si>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</si>
  <si>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</si>
  <si>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</si>
  <si>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</si>
  <si>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</si>
  <si>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</si>
  <si>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</si>
  <si>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</si>
  <si>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</si>
  <si>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</si>
  <si>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</si>
  <si>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</si>
  <si>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</si>
  <si>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</si>
  <si>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</si>
  <si>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</si>
  <si>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</si>
  <si>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</si>
  <si>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</si>
  <si>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</si>
  <si>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</si>
  <si>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</si>
  <si>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</si>
  <si>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</si>
  <si>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</si>
  <si>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</si>
  <si>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</si>
  <si>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</si>
  <si>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</si>
  <si>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</si>
  <si>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</si>
  <si>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</si>
  <si>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</si>
  <si>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</si>
  <si>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</si>
  <si>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</si>
  <si>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</si>
  <si>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</si>
  <si>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</si>
  <si>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</si>
  <si>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</si>
  <si>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</si>
  <si>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</si>
  <si>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</si>
  <si>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</si>
  <si>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</si>
  <si>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</si>
  <si>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</si>
  <si>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</si>
  <si>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</si>
  <si>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</si>
  <si>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</si>
  <si>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</si>
  <si>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</si>
  <si>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</si>
  <si>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</si>
  <si>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</si>
  <si>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</si>
  <si>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</si>
  <si>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</si>
  <si>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</si>
  <si>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</si>
  <si>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</si>
  <si>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</si>
  <si>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</si>
  <si>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</si>
  <si>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</si>
  <si>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</si>
  <si>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</si>
  <si>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</si>
  <si>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</si>
  <si>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</si>
  <si>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</si>
  <si>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</si>
  <si>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</si>
  <si>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</si>
  <si>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</si>
  <si>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</si>
  <si>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</si>
  <si>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</si>
  <si>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</si>
  <si>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</si>
  <si>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</si>
  <si>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</si>
  <si>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</si>
  <si>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</si>
  <si>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</si>
  <si>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</si>
  <si>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</si>
  <si>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</si>
  <si>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</si>
  <si>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</si>
  <si>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</si>
  <si>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</si>
  <si>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</si>
  <si>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</si>
  <si>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</si>
  <si>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</si>
  <si>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</si>
  <si>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</si>
  <si>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</si>
  <si>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</si>
  <si>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</si>
  <si>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</si>
  <si>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</si>
  <si>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</si>
  <si>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</si>
  <si>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</si>
  <si>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</si>
  <si>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</si>
  <si>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</si>
  <si>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</si>
  <si>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</si>
  <si>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</si>
  <si>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</si>
  <si>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</si>
  <si>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</si>
  <si>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</si>
  <si>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</si>
  <si>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</si>
  <si>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</si>
  <si>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</si>
  <si>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</si>
  <si>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</si>
  <si>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</si>
  <si>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</si>
  <si>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</si>
  <si>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</si>
  <si>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</si>
  <si>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</si>
  <si>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</si>
  <si>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</si>
  <si>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</si>
  <si>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</si>
  <si>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</si>
  <si>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</si>
  <si>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</si>
  <si>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</si>
  <si>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</si>
  <si>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</si>
  <si>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</si>
  <si>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</si>
  <si>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</si>
  <si>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</si>
  <si>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</si>
  <si>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</si>
  <si>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</si>
  <si>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</si>
  <si>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</si>
  <si>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</si>
  <si>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</si>
  <si>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</si>
  <si>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</si>
  <si>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</si>
  <si>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</si>
  <si>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</si>
  <si>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</si>
  <si>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</si>
  <si>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</si>
  <si>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</si>
  <si>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</si>
  <si>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</si>
  <si>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</si>
  <si>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</si>
  <si>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</si>
  <si>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</si>
  <si>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</si>
  <si>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</si>
  <si>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</si>
  <si>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</si>
  <si>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</si>
  <si>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</si>
  <si>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</si>
  <si>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</si>
  <si>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</si>
  <si>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</si>
  <si>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</si>
  <si>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</si>
  <si>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</si>
  <si>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</si>
  <si>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</si>
  <si>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</si>
  <si>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</si>
  <si>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</si>
  <si>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</si>
  <si>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</si>
  <si>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</si>
  <si>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</si>
  <si>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</si>
  <si>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</si>
  <si>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</si>
  <si>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</si>
  <si>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</si>
  <si>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</si>
  <si>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</si>
  <si>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</si>
  <si>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</si>
  <si>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</si>
  <si>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</si>
  <si>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</si>
  <si>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</si>
  <si>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</si>
  <si>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</si>
  <si>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</si>
  <si>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</si>
  <si>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</si>
  <si>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</si>
  <si>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</si>
  <si>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</si>
  <si>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</si>
  <si>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</si>
  <si>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</si>
  <si>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</si>
  <si>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</si>
  <si>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</si>
  <si>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</si>
  <si>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</si>
  <si>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</si>
  <si>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</si>
  <si>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</si>
  <si>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</si>
  <si>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</si>
  <si>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</si>
  <si>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</si>
  <si>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</si>
  <si>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</si>
  <si>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</si>
  <si>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</si>
  <si>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</si>
  <si>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</si>
  <si>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</si>
  <si>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</si>
  <si>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</si>
  <si>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</si>
  <si>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</si>
  <si>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</si>
  <si>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</si>
  <si>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</si>
  <si>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</si>
  <si>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</si>
  <si>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</si>
  <si>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</si>
  <si>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</si>
  <si>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</si>
  <si>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</si>
  <si>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</si>
  <si>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</si>
  <si>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</si>
  <si>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</si>
  <si>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</si>
  <si>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</si>
  <si>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</si>
  <si>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</si>
  <si>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</si>
  <si>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</si>
  <si>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</si>
  <si>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</si>
  <si>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</si>
  <si>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</si>
  <si>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</si>
  <si>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</si>
  <si>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</si>
  <si>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</si>
  <si>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</si>
  <si>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</si>
  <si>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</si>
  <si>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</si>
  <si>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</si>
  <si>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</si>
  <si>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</si>
  <si>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</si>
  <si>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</si>
  <si>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</si>
  <si>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</si>
  <si>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</si>
  <si>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</si>
  <si>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</si>
  <si>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</si>
  <si>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</si>
  <si>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</si>
  <si>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</si>
  <si>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</si>
  <si>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</si>
  <si>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</si>
  <si>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</si>
  <si>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</si>
  <si>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</si>
  <si>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</si>
  <si>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</si>
  <si>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</si>
  <si>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</si>
  <si>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</si>
  <si>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</si>
  <si>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</si>
  <si>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</si>
  <si>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</si>
  <si>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</si>
  <si>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</si>
  <si>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</si>
  <si>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</si>
  <si>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</si>
  <si>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</si>
  <si>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</si>
  <si>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</si>
  <si>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</si>
  <si>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</si>
  <si>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</si>
  <si>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</si>
  <si>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</si>
  <si>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</si>
  <si>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</si>
  <si>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</si>
  <si>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</si>
  <si>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</si>
  <si>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</si>
  <si>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</si>
  <si>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</si>
  <si>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</si>
  <si>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</si>
  <si>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</si>
  <si>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</si>
  <si>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</si>
  <si>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</si>
  <si>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</si>
  <si>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</si>
  <si>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</si>
  <si>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</si>
  <si>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</si>
  <si>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</si>
  <si>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</si>
  <si>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</si>
  <si>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</si>
  <si>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</si>
  <si>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</si>
  <si>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</si>
  <si>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</si>
  <si>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</si>
  <si>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</si>
  <si>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</si>
  <si>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</si>
  <si>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</si>
  <si>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</si>
  <si>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</si>
  <si>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</si>
  <si>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</si>
  <si>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</si>
  <si>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</si>
  <si>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</si>
  <si>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</si>
  <si>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</si>
  <si>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</si>
  <si>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</si>
  <si>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</si>
  <si>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</si>
  <si>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</si>
  <si>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</si>
  <si>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</si>
  <si>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</si>
  <si>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</si>
  <si>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</si>
  <si>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</si>
  <si>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</si>
  <si>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</si>
  <si>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</si>
  <si>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</si>
  <si>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</si>
  <si>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</si>
  <si>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</si>
  <si>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</si>
  <si>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</si>
  <si>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</si>
  <si>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</si>
  <si>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</si>
  <si>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</si>
  <si>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</si>
  <si>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</si>
  <si>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</si>
  <si>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</si>
  <si>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</si>
  <si>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</si>
  <si>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</si>
  <si>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</si>
  <si>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</si>
  <si>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</si>
  <si>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</si>
  <si>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</si>
  <si>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</si>
  <si>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</si>
  <si>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</si>
  <si>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</si>
  <si>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</si>
  <si>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</si>
  <si>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</si>
  <si>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</si>
  <si>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</si>
  <si>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</si>
  <si>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</si>
  <si>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</si>
  <si>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</si>
  <si>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</si>
  <si>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</si>
  <si>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</si>
  <si>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</si>
  <si>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</si>
  <si>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</si>
  <si>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</si>
  <si>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</si>
  <si>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</si>
  <si>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</si>
  <si>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</si>
  <si>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</si>
  <si>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</si>
  <si>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</si>
  <si>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</si>
  <si>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</si>
  <si>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</si>
  <si>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</si>
  <si>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</si>
  <si>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</si>
  <si>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</si>
  <si>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</si>
  <si>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</si>
  <si>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</si>
  <si>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</si>
  <si>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</si>
  <si>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</si>
  <si>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</si>
  <si>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</si>
  <si>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</si>
  <si>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</si>
  <si>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</si>
  <si>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</si>
  <si>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</si>
  <si>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</si>
  <si>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</si>
  <si>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</si>
  <si>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</si>
  <si>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</si>
  <si>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</si>
  <si>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</si>
  <si>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</si>
  <si>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</si>
  <si>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</si>
  <si>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</si>
  <si>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</si>
  <si>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</si>
  <si>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</si>
  <si>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</si>
  <si>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</si>
  <si>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</si>
  <si>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</si>
  <si>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</si>
  <si>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</si>
  <si>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</si>
  <si>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</si>
  <si>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</si>
  <si>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</si>
  <si>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</si>
  <si>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</si>
  <si>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</si>
  <si>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</si>
  <si>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</si>
  <si>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</si>
  <si>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</si>
  <si>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</si>
  <si>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</si>
  <si>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</si>
  <si>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</si>
  <si>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</si>
  <si>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</si>
  <si>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</si>
  <si>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</si>
  <si>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</si>
  <si>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</si>
  <si>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</si>
  <si>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</si>
  <si>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</si>
  <si>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</si>
  <si>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</si>
  <si>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</si>
  <si>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</si>
  <si>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</si>
  <si>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</si>
  <si>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</si>
  <si>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</si>
  <si>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</si>
  <si>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</si>
  <si>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</si>
  <si>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</si>
  <si>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</si>
  <si>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</si>
  <si>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</si>
  <si>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</si>
  <si>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</si>
  <si>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</si>
  <si>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</si>
  <si>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</si>
  <si>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</si>
  <si>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</si>
  <si>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</si>
  <si>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</si>
  <si>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</si>
  <si>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</si>
  <si>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</si>
  <si>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</si>
  <si>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</si>
  <si>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</si>
  <si>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</si>
  <si>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</si>
  <si>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</si>
  <si>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</si>
  <si>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</si>
  <si>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</si>
  <si>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</si>
  <si>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</si>
  <si>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</si>
  <si>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</si>
  <si>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</si>
  <si>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</si>
  <si>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</si>
  <si>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</si>
  <si>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</si>
  <si>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</si>
  <si>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</si>
  <si>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</si>
  <si>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</si>
  <si>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</si>
  <si>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</si>
  <si>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</si>
  <si>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</si>
  <si>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</si>
  <si>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</si>
  <si>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</si>
  <si>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</si>
  <si>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</si>
  <si>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</si>
  <si>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</si>
  <si>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</si>
  <si>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</si>
  <si>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</si>
  <si>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</si>
  <si>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</si>
  <si>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</si>
  <si>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</si>
  <si>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</si>
  <si>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</si>
  <si>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</si>
  <si>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</si>
  <si>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</si>
  <si>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</si>
  <si>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</si>
  <si>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</si>
  <si>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</si>
  <si>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</si>
  <si>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</si>
  <si>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</si>
  <si>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</si>
  <si>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</si>
  <si>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</si>
  <si>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</si>
  <si>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</si>
  <si>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</si>
  <si>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</si>
  <si>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</si>
  <si>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</si>
  <si>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</si>
  <si>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</si>
  <si>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</si>
  <si>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</si>
  <si>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</si>
  <si>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</si>
  <si>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</si>
  <si>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</si>
  <si>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</si>
  <si>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</si>
  <si>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</si>
  <si>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</si>
  <si>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</si>
  <si>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</si>
  <si>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</si>
  <si>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</si>
  <si>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</si>
  <si>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</si>
  <si>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</si>
  <si>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</si>
  <si>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</si>
  <si>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</si>
  <si>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</si>
  <si>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</si>
  <si>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</si>
  <si>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</si>
  <si>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</si>
  <si>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</si>
  <si>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</si>
  <si>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</si>
  <si>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</si>
  <si>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</si>
  <si>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</si>
  <si>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</si>
  <si>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</si>
  <si>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</si>
  <si>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</si>
  <si>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</si>
  <si>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</si>
  <si>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</si>
  <si>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</si>
  <si>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</si>
  <si>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</si>
  <si>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</si>
  <si>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</si>
  <si>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</si>
  <si>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</si>
  <si>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</si>
  <si>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</si>
  <si>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</si>
  <si>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</si>
  <si>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</si>
  <si>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</si>
  <si>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</si>
  <si>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</si>
  <si>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</si>
  <si>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</si>
  <si>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</si>
  <si>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</si>
  <si>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</si>
  <si>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</si>
  <si>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</si>
  <si>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</si>
  <si>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</si>
  <si>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</si>
  <si>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</si>
  <si>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</si>
  <si>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</si>
  <si>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</si>
  <si>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</si>
  <si>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</si>
  <si>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</si>
  <si>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</si>
  <si>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</si>
  <si>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</si>
  <si>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</si>
  <si>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</si>
  <si>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</si>
  <si>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</si>
  <si>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</si>
  <si>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</si>
  <si>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</si>
  <si>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</si>
  <si>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</si>
  <si>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</si>
  <si>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</si>
  <si>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</si>
  <si>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</si>
  <si>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</si>
  <si>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</si>
  <si>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</si>
  <si>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</si>
  <si>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</si>
  <si>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</si>
  <si>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</si>
  <si>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</si>
  <si>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</si>
  <si>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</si>
  <si>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</si>
  <si>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</si>
  <si>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</si>
  <si>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</si>
  <si>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</si>
  <si>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</si>
  <si>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</si>
  <si>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</si>
  <si>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</si>
  <si>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</si>
  <si>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</si>
  <si>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</si>
  <si>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</si>
  <si>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</si>
  <si>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</si>
  <si>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</si>
  <si>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</si>
  <si>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</si>
  <si>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</si>
  <si>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</si>
  <si>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</si>
  <si>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</si>
  <si>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</si>
  <si>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</si>
  <si>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</si>
  <si>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</si>
  <si>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</si>
  <si>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</si>
  <si>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</si>
  <si>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</si>
  <si>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</si>
  <si>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</si>
  <si>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</si>
  <si>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</si>
  <si>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</si>
  <si>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</si>
  <si>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</si>
  <si>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</si>
  <si>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</si>
  <si>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</si>
  <si>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</si>
  <si>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</si>
  <si>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</si>
  <si>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</si>
  <si>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</si>
  <si>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</si>
  <si>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</si>
  <si>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</si>
  <si>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</si>
  <si>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</si>
  <si>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</si>
  <si>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</si>
  <si>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</si>
  <si>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</si>
  <si>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</si>
  <si>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</si>
  <si>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</si>
  <si>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</si>
  <si>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</si>
  <si>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</si>
  <si>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</si>
  <si>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</si>
  <si>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</si>
  <si>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</si>
  <si>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</si>
  <si>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</si>
  <si>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</si>
  <si>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</si>
  <si>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</si>
  <si>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</si>
  <si>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</si>
  <si>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</si>
  <si>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</si>
  <si>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</si>
  <si>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</si>
  <si>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</si>
  <si>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</si>
  <si>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</si>
  <si>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</si>
  <si>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</si>
  <si>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</si>
  <si>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</si>
  <si>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</si>
  <si>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</si>
  <si>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</si>
  <si>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</si>
  <si>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</si>
  <si>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</si>
  <si>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</si>
  <si>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</si>
  <si>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</si>
  <si>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</si>
  <si>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</si>
  <si>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</si>
  <si>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</si>
  <si>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</si>
  <si>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</si>
  <si>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</si>
  <si>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</si>
  <si>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</si>
  <si>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</si>
  <si>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</si>
  <si>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</si>
  <si>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</si>
  <si>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</si>
  <si>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</si>
  <si>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</si>
  <si>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</si>
  <si>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</si>
  <si>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</si>
  <si>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</si>
  <si>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</si>
  <si>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</si>
  <si>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</si>
  <si>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</si>
  <si>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</si>
  <si>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</si>
  <si>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</si>
  <si>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</si>
  <si>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</si>
  <si>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</si>
  <si>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</si>
  <si>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</si>
  <si>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</si>
  <si>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</si>
  <si>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</si>
  <si>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</si>
  <si>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</si>
  <si>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</si>
  <si>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</si>
  <si>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</si>
  <si>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</si>
  <si>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</si>
  <si>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</si>
  <si>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</si>
  <si>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</si>
  <si>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</si>
  <si>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</si>
  <si>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</si>
  <si>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</si>
  <si>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</si>
  <si>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</si>
  <si>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</si>
  <si>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</si>
  <si>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</si>
  <si>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</si>
  <si>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</si>
  <si>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</si>
  <si>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</si>
  <si>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</si>
  <si>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</si>
  <si>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</si>
  <si>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</si>
  <si>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</si>
  <si>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</si>
  <si>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</si>
  <si>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</si>
  <si>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</si>
  <si>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</si>
  <si>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</si>
  <si>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</si>
  <si>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</si>
  <si>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</si>
  <si>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</si>
  <si>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</si>
  <si>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</si>
  <si>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</si>
  <si>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</si>
  <si>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</si>
  <si>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</si>
  <si>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</si>
  <si>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</si>
  <si>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</si>
  <si>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</si>
  <si>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</si>
  <si>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</si>
  <si>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</si>
  <si>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</si>
  <si>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</si>
  <si>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</si>
  <si>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</si>
  <si>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</si>
  <si>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</si>
  <si>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</si>
  <si>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</si>
  <si>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</si>
  <si>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</si>
  <si>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</si>
  <si>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</si>
  <si>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</si>
  <si>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</si>
  <si>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</si>
  <si>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</si>
  <si>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</si>
  <si>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</si>
  <si>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</si>
  <si>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</si>
  <si>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</si>
  <si>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</si>
  <si>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</si>
  <si>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</si>
  <si>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</si>
  <si>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</si>
  <si>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</si>
  <si>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</si>
  <si>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</si>
  <si>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</si>
  <si>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</si>
  <si>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</si>
  <si>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</si>
  <si>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</si>
  <si>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</si>
  <si>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</si>
  <si>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</si>
  <si>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</si>
  <si>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</si>
  <si>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</si>
  <si>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</si>
  <si>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</si>
  <si>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</si>
  <si>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</si>
  <si>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</si>
  <si>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</si>
  <si>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</si>
  <si>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</si>
  <si>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</si>
  <si>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</si>
  <si>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</si>
  <si>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</si>
  <si>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</si>
  <si>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</si>
  <si>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</si>
  <si>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</si>
  <si>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</si>
  <si>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</si>
  <si>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</si>
  <si>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</si>
  <si>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</si>
  <si>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</si>
  <si>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</si>
  <si>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</si>
  <si>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</si>
  <si>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</si>
  <si>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</si>
  <si>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</si>
  <si>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</si>
  <si>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</si>
  <si>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</si>
  <si>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</si>
  <si>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</si>
  <si>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</si>
  <si>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</si>
  <si>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</si>
  <si>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</si>
  <si>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</si>
  <si>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</si>
  <si>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</si>
  <si>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</si>
  <si>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</si>
  <si>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</si>
  <si>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</si>
  <si>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</si>
  <si>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</si>
  <si>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</si>
  <si>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</si>
  <si>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</si>
  <si>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</si>
  <si>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</si>
  <si>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</si>
  <si>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</si>
  <si>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</si>
  <si>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</si>
  <si>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</si>
  <si>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</si>
  <si>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</si>
  <si>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</si>
  <si>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</si>
  <si>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</si>
  <si>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</si>
  <si>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</si>
  <si>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</si>
  <si>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</si>
  <si>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</si>
  <si>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</si>
  <si>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</si>
  <si>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</si>
  <si>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</si>
  <si>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</si>
  <si>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</si>
  <si>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</si>
  <si>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</si>
  <si>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</si>
  <si>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</si>
  <si>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</si>
  <si>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</si>
  <si>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</si>
  <si>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</si>
  <si>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</si>
  <si>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</si>
  <si>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</si>
  <si>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</si>
  <si>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</si>
  <si>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</si>
  <si>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</si>
  <si>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</si>
  <si>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</si>
  <si>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</si>
  <si>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</si>
  <si>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</si>
  <si>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</si>
  <si>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</si>
  <si>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</si>
  <si>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</si>
  <si>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</si>
  <si>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</si>
  <si>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</si>
  <si>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</si>
  <si>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</si>
  <si>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</si>
  <si>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</si>
  <si>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</si>
  <si>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</si>
  <si>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</si>
  <si>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</si>
  <si>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</si>
  <si>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</si>
  <si>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</si>
  <si>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</si>
  <si>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</si>
  <si>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</si>
  <si>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</si>
  <si>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</si>
  <si>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</si>
  <si>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</si>
  <si>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</si>
  <si>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</si>
  <si>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</si>
  <si>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</si>
  <si>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</si>
  <si>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</si>
  <si>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</si>
  <si>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</si>
  <si>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</si>
  <si>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</si>
  <si>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</si>
  <si>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</si>
  <si>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</si>
  <si>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</si>
  <si>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</si>
  <si>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</si>
  <si>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</si>
  <si>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</si>
  <si>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</si>
  <si>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</si>
  <si>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</si>
  <si>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</si>
  <si>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</si>
  <si>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</si>
  <si>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</si>
  <si>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</si>
  <si>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</si>
  <si>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已注销</t>
  </si>
  <si>
    <t>房地产抵押价值</t>
  </si>
  <si>
    <t>北京市</t>
  </si>
  <si>
    <t>自然人</t>
  </si>
  <si>
    <t>出让</t>
  </si>
  <si>
    <t>《不动产权证书》</t>
  </si>
  <si>
    <t>《不动产权证书》</t>
    <phoneticPr fontId="6" type="noConversion"/>
  </si>
  <si>
    <t>是</t>
  </si>
  <si>
    <t>复印件</t>
  </si>
  <si>
    <t>居住项目</t>
  </si>
  <si>
    <t>无</t>
  </si>
  <si>
    <t>否</t>
  </si>
  <si>
    <t>现房</t>
  </si>
  <si>
    <t>通路</t>
  </si>
  <si>
    <t>通电</t>
  </si>
  <si>
    <t>通讯</t>
  </si>
  <si>
    <t>通上水</t>
  </si>
  <si>
    <t>通下水</t>
  </si>
  <si>
    <t>通热</t>
  </si>
  <si>
    <t>燃气</t>
  </si>
  <si>
    <t>地上</t>
  </si>
  <si>
    <t>住宅</t>
  </si>
  <si>
    <t>普通住宅</t>
  </si>
  <si>
    <t>普通住宅</t>
    <phoneticPr fontId="7" type="noConversion"/>
  </si>
  <si>
    <t>成新度</t>
  </si>
  <si>
    <t>收益法 (元)</t>
  </si>
  <si>
    <t>较好</t>
  </si>
  <si>
    <t>较好</t>
    <phoneticPr fontId="41" type="noConversion"/>
  </si>
  <si>
    <t>较好</t>
    <phoneticPr fontId="41" type="noConversion"/>
  </si>
  <si>
    <t>七通</t>
  </si>
  <si>
    <t>七通</t>
    <phoneticPr fontId="25" type="noConversion"/>
  </si>
  <si>
    <t>住宅</t>
    <phoneticPr fontId="25" type="noConversion"/>
  </si>
  <si>
    <t>50-60（含）</t>
  </si>
  <si>
    <t>高区</t>
  </si>
  <si>
    <t>高区</t>
    <phoneticPr fontId="25" type="noConversion"/>
  </si>
  <si>
    <t>中区</t>
  </si>
  <si>
    <t>中区</t>
    <phoneticPr fontId="25" type="noConversion"/>
  </si>
  <si>
    <t>低区</t>
  </si>
  <si>
    <t>低区</t>
    <phoneticPr fontId="25" type="noConversion"/>
  </si>
  <si>
    <t>楼层</t>
    <phoneticPr fontId="25" type="noConversion"/>
  </si>
  <si>
    <t>钢混</t>
  </si>
  <si>
    <t>钢混</t>
    <phoneticPr fontId="25" type="noConversion"/>
  </si>
  <si>
    <t>中档</t>
  </si>
  <si>
    <t>中档</t>
    <phoneticPr fontId="25" type="noConversion"/>
  </si>
  <si>
    <t>精装修</t>
  </si>
  <si>
    <t>精装修</t>
    <phoneticPr fontId="25" type="noConversion"/>
  </si>
  <si>
    <t>专业</t>
  </si>
  <si>
    <t>专业</t>
    <phoneticPr fontId="25" type="noConversion"/>
  </si>
  <si>
    <t>七通</t>
    <phoneticPr fontId="25" type="noConversion"/>
  </si>
  <si>
    <t>平层</t>
  </si>
  <si>
    <t>平层</t>
    <phoneticPr fontId="25" type="noConversion"/>
  </si>
  <si>
    <t>0-50</t>
    <phoneticPr fontId="25" type="noConversion"/>
  </si>
  <si>
    <t>50-100</t>
    <phoneticPr fontId="25" type="noConversion"/>
  </si>
  <si>
    <t>100-150</t>
    <phoneticPr fontId="25" type="noConversion"/>
  </si>
  <si>
    <t>150-200</t>
    <phoneticPr fontId="25" type="noConversion"/>
  </si>
  <si>
    <t>200-250</t>
    <phoneticPr fontId="25" type="noConversion"/>
  </si>
  <si>
    <t>250-300</t>
    <phoneticPr fontId="25" type="noConversion"/>
  </si>
  <si>
    <t>300-350</t>
    <phoneticPr fontId="25" type="noConversion"/>
  </si>
  <si>
    <t>普通装修</t>
    <phoneticPr fontId="25" type="noConversion"/>
  </si>
  <si>
    <t>简单装修</t>
    <phoneticPr fontId="25" type="noConversion"/>
  </si>
  <si>
    <t>毛坯</t>
    <phoneticPr fontId="25" type="noConversion"/>
  </si>
  <si>
    <t>南北</t>
  </si>
  <si>
    <t>南北</t>
    <phoneticPr fontId="25" type="noConversion"/>
  </si>
  <si>
    <t>押一</t>
  </si>
  <si>
    <t>非生产用房</t>
  </si>
  <si>
    <t>比较法-住宅</t>
  </si>
  <si>
    <t>项目局部</t>
  </si>
  <si>
    <t>基准户型1号楼1单元101</t>
    <phoneticPr fontId="25" type="noConversion"/>
  </si>
  <si>
    <t>朝向</t>
    <phoneticPr fontId="3" type="noConversion"/>
  </si>
  <si>
    <t>南北</t>
    <phoneticPr fontId="25" type="noConversion"/>
  </si>
  <si>
    <t>楼层</t>
    <phoneticPr fontId="3" type="noConversion"/>
  </si>
  <si>
    <t>装修</t>
    <phoneticPr fontId="3" type="noConversion"/>
  </si>
  <si>
    <t>精装修</t>
    <phoneticPr fontId="25" type="noConversion"/>
  </si>
  <si>
    <t>房型</t>
    <phoneticPr fontId="3" type="noConversion"/>
  </si>
  <si>
    <t>平层</t>
    <phoneticPr fontId="25" type="noConversion"/>
  </si>
  <si>
    <t>中区</t>
    <phoneticPr fontId="25" type="noConversion"/>
  </si>
  <si>
    <t>塔楼</t>
  </si>
  <si>
    <t>塔楼</t>
    <phoneticPr fontId="25" type="noConversion"/>
  </si>
  <si>
    <t>海淀区枫涟山庄12号楼2层5单元201号</t>
    <phoneticPr fontId="6" type="noConversion"/>
  </si>
  <si>
    <r>
      <t>12</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5</t>
    </r>
    <r>
      <rPr>
        <sz val="10"/>
        <color indexed="8"/>
        <rFont val="宋体"/>
        <family val="3"/>
        <charset val="134"/>
      </rPr>
      <t>单元</t>
    </r>
    <r>
      <rPr>
        <sz val="10"/>
        <color indexed="8"/>
        <rFont val="Arial"/>
        <family val="2"/>
      </rPr>
      <t>201</t>
    </r>
    <r>
      <rPr>
        <sz val="10"/>
        <color indexed="8"/>
        <rFont val="宋体"/>
        <family val="3"/>
        <charset val="134"/>
      </rPr>
      <t>号</t>
    </r>
    <phoneticPr fontId="3" type="noConversion"/>
  </si>
  <si>
    <t>枫涟山庄</t>
    <phoneticPr fontId="3" type="noConversion"/>
  </si>
  <si>
    <t>低区</t>
    <phoneticPr fontId="25" type="noConversion"/>
  </si>
  <si>
    <t>中区</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</si>
</sst>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47" fillId="11" borderId="24" xfId="0"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4" fillId="10"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618020</xdr:colOff>
      <xdr:row>41</xdr:row>
      <xdr:rowOff>94360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47620" cy="7123810"/>
        </a:xfrm>
        <a:prstGeom prst="rect">
          <a:avLst/>
        </a:prstGeom>
      </xdr:spPr>
    </xdr:pic>
    <xdr:clientData/>
  </xdr:twoCellAnchor>
  <xdr:twoCellAnchor editAs="oneCell">
    <xdr:from>
      <xdr:col>0</xdr:col>
      <xdr:colOff>0</xdr:colOff>
      <xdr:row>42</xdr:row>
      <xdr:rowOff>0</xdr:rowOff>
    </xdr:from>
    <xdr:to>
      <xdr:col>14</xdr:col>
      <xdr:colOff>189277</xdr:colOff>
      <xdr:row>63</xdr:row>
      <xdr:rowOff>28122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9790477" cy="3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北京市海淀区枫涟山庄12号楼2层5单元201号房地产抵押价值预评估</v>
      </c>
    </row>
    <row r="3" spans="1:2" s="1596" customFormat="1">
      <c r="A3" s="1594" t="s">
        <v>1221</v>
      </c>
      <c r="B3" s="1595">
        <f>'预评函-封皮'!B40</f>
        <v>0</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受贵公司委托，我公司对北京市海淀区枫涟山庄12号楼2层5单元201号房地产抵押价值进行了预评估。</v>
      </c>
    </row>
    <row r="7" spans="1:2" s="1596" customFormat="1">
      <c r="A7" s="1594" t="s">
        <v>1264</v>
      </c>
      <c r="B7" s="1595" t="str">
        <f>'预评函-1'!A7</f>
        <v>估价对象为北京市海淀区枫涟山庄12号楼2层5单元201号房地产，为所有。根据，估价对象（分摊）出让国有建设用地使用权面积为0平方米。根据《不动产权证书》，估价对象建筑面积为124.73平方米。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海淀区枫涟山庄12号楼2层5单元201号房地产,属开发建设的居住项目，该项目尚在开发建设中。根据，估价对象（分摊）出让国有建设用地使用权面积为0平方米。根据《不动产权证书》，估价对象规划建筑面积为124.73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海淀区枫涟山庄12号楼2层5单元201号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2018年4月27日（评估专业人员实地查勘之日）</v>
      </c>
    </row>
    <row r="13" spans="1:2" s="1596" customFormat="1">
      <c r="A13" s="1594" t="s">
        <v>1227</v>
      </c>
      <c r="B13" s="1595" t="str">
        <f>'预评函-1'!A18</f>
        <v>本次估价的“房地产价值”是指在正常市场情况下，在价值时点2018年4月27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822</v>
      </c>
    </row>
    <row r="21" spans="1:2" s="1596" customFormat="1">
      <c r="A21" s="1594" t="s">
        <v>1235</v>
      </c>
      <c r="B21" s="1595">
        <f ca="1">'预评函-2'!D7</f>
        <v>65902</v>
      </c>
    </row>
    <row r="22" spans="1:2" s="1596" customFormat="1">
      <c r="A22" s="1594" t="s">
        <v>1236</v>
      </c>
      <c r="B22" s="1595" t="str">
        <f ca="1">'预评函-2'!D6</f>
        <v>捌佰贰拾贰万元整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822</v>
      </c>
    </row>
    <row r="35" spans="1:2" s="1596" customFormat="1">
      <c r="A35" s="1594" t="s">
        <v>1275</v>
      </c>
      <c r="B35" s="1595">
        <f ca="1">'预评函-2'!D18</f>
        <v>65902</v>
      </c>
    </row>
    <row r="36" spans="1:2" s="1596" customFormat="1">
      <c r="A36" s="1594" t="s">
        <v>1242</v>
      </c>
      <c r="B36" s="1595" t="str">
        <f ca="1">'预评函-2'!D17</f>
        <v>捌佰贰拾贰万元整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北京市海淀区枫涟山庄12号楼2层5单元201号房地产</v>
      </c>
    </row>
    <row r="42" spans="1:2" s="1596" customFormat="1">
      <c r="A42" s="1594" t="s">
        <v>1288</v>
      </c>
      <c r="B42" s="1595" t="str">
        <f>'预评函-3'!B2</f>
        <v>建筑面积</v>
      </c>
    </row>
    <row r="43" spans="1:2" s="1596" customFormat="1">
      <c r="A43" s="1594" t="s">
        <v>1289</v>
      </c>
      <c r="B43" s="1595">
        <f>'预评函-3'!B4</f>
        <v>124.73</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枫涟山庄12号楼2层5单元201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4" t="s">
        <v>864</v>
      </c>
      <c r="C54" s="2021" t="s">
        <v>1281</v>
      </c>
    </row>
    <row r="55" spans="1:4">
      <c r="A55" s="3003"/>
      <c r="B55" s="2024" t="s">
        <v>865</v>
      </c>
      <c r="C55" s="2021" t="s">
        <v>1282</v>
      </c>
    </row>
    <row r="56" spans="1:4">
      <c r="A56" s="3003"/>
      <c r="B56" s="2024" t="s">
        <v>866</v>
      </c>
      <c r="C56" s="2021" t="s">
        <v>1286</v>
      </c>
    </row>
    <row r="57" spans="1:4">
      <c r="A57" s="300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10" sqref="F1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1776</v>
      </c>
      <c r="B1" s="3004" t="str">
        <f>IF(B10="北京市","北京市",C10)&amp;F10&amp;IF(结果表!G1="在建","出让国有建设用地使用权及在建建筑物",IF(结果表!G1="土地","出让国有建设用地使用权",))&amp;B9&amp;"预评估"</f>
        <v>北京市海淀区枫涟山庄12号楼2层5单元201号房地产抵押价值预评估</v>
      </c>
      <c r="C1" s="3005"/>
      <c r="D1" s="3005"/>
      <c r="E1" s="3005"/>
      <c r="F1" s="3005"/>
      <c r="G1" s="3005"/>
      <c r="H1" s="3005"/>
      <c r="I1" s="300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北京市海淀区枫涟山庄12号楼2层5单元201号房地产抵押价值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北京市海淀区枫涟山庄12号楼2层5单元201号房地产</v>
      </c>
    </row>
    <row r="3" spans="1:19" ht="18" customHeight="1">
      <c r="A3" s="2037" t="s">
        <v>1778</v>
      </c>
      <c r="B3" s="2038">
        <v>43217</v>
      </c>
      <c r="C3" s="2039" t="s">
        <v>1779</v>
      </c>
      <c r="D3" s="2038">
        <f>B3</f>
        <v>43217</v>
      </c>
      <c r="E3" s="2028"/>
      <c r="F3" s="2028"/>
      <c r="G3" s="2028"/>
      <c r="H3" s="2028"/>
      <c r="I3" s="2028"/>
      <c r="J3" s="2028"/>
      <c r="K3" s="2029"/>
      <c r="L3" s="2030"/>
      <c r="M3" s="2030"/>
      <c r="N3" s="2031"/>
      <c r="O3" s="2032"/>
      <c r="P3" s="2031"/>
      <c r="Q3" s="2031"/>
      <c r="R3" s="2031"/>
      <c r="S3" s="2033"/>
    </row>
    <row r="4" spans="1:19" ht="18" customHeight="1" thickBot="1">
      <c r="A4" s="2040" t="s">
        <v>1780</v>
      </c>
      <c r="B4" s="2041" t="s">
        <v>3029</v>
      </c>
      <c r="C4" s="1040">
        <f ca="1">SUMIF(注册房地产估价师,B4,估价师及机构信息!B3:B24)</f>
        <v>1120000080</v>
      </c>
      <c r="D4" s="2041" t="s">
        <v>3030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3031</v>
      </c>
      <c r="C8" s="2058"/>
      <c r="D8" s="3007" t="s">
        <v>1785</v>
      </c>
      <c r="E8" s="2059" t="s">
        <v>3032</v>
      </c>
      <c r="F8" s="2060"/>
      <c r="G8" s="2028"/>
      <c r="H8" s="2028"/>
      <c r="I8" s="2028"/>
      <c r="J8" s="2044"/>
      <c r="K8" s="2045"/>
      <c r="L8" s="2030"/>
      <c r="M8" s="2030"/>
      <c r="N8" s="2031"/>
      <c r="O8" s="2032"/>
      <c r="P8" s="2031"/>
      <c r="Q8" s="2031"/>
      <c r="R8" s="2031"/>
    </row>
    <row r="9" spans="1:19" ht="18" customHeight="1" thickBot="1">
      <c r="A9" s="2042" t="s">
        <v>1786</v>
      </c>
      <c r="B9" s="2061" t="s">
        <v>3033</v>
      </c>
      <c r="C9" s="2062"/>
      <c r="D9" s="3008"/>
      <c r="E9" s="2061"/>
      <c r="F9" s="2063"/>
      <c r="G9" s="2064"/>
      <c r="H9" s="2064"/>
      <c r="I9" s="2064"/>
      <c r="J9" s="2044"/>
      <c r="K9" s="2056"/>
      <c r="L9" s="2030"/>
      <c r="M9" s="2030"/>
      <c r="N9" s="2031"/>
      <c r="O9" s="2032"/>
      <c r="P9" s="2031"/>
      <c r="Q9" s="2031"/>
      <c r="R9" s="2031"/>
    </row>
    <row r="10" spans="1:19" ht="18" customHeight="1" thickTop="1">
      <c r="A10" s="2065" t="s">
        <v>1787</v>
      </c>
      <c r="B10" s="2066" t="s">
        <v>3034</v>
      </c>
      <c r="C10" s="2067"/>
      <c r="D10" s="2049"/>
      <c r="E10" s="2068" t="s">
        <v>1788</v>
      </c>
      <c r="F10" s="3286" t="s">
        <v>3110</v>
      </c>
      <c r="G10" s="2069"/>
      <c r="H10" s="2070"/>
      <c r="I10" s="2049"/>
      <c r="J10" s="2044"/>
      <c r="K10" s="2056"/>
      <c r="L10" s="2030"/>
      <c r="M10" s="2030"/>
      <c r="N10" s="2031"/>
      <c r="O10" s="2032"/>
      <c r="P10" s="2031"/>
      <c r="Q10" s="2031"/>
      <c r="R10" s="2031"/>
    </row>
    <row r="11" spans="1:19" ht="18" customHeight="1">
      <c r="A11" s="2071" t="s">
        <v>1789</v>
      </c>
      <c r="B11" s="2072" t="s">
        <v>3035</v>
      </c>
      <c r="C11" s="2073"/>
      <c r="D11" s="2074"/>
      <c r="E11" s="2044"/>
      <c r="F11" s="2044"/>
      <c r="G11" s="2044"/>
      <c r="H11" s="2044"/>
      <c r="I11" s="2044"/>
      <c r="J11" s="2044"/>
      <c r="K11" s="2056"/>
      <c r="L11" s="2030"/>
      <c r="M11" s="2030"/>
      <c r="N11" s="2031"/>
      <c r="O11" s="2032"/>
      <c r="P11" s="2031"/>
      <c r="Q11" s="2031"/>
      <c r="R11" s="2031"/>
    </row>
    <row r="12" spans="1:19" ht="18" customHeight="1">
      <c r="A12" s="2075" t="s">
        <v>1790</v>
      </c>
      <c r="B12" s="2072" t="s">
        <v>3036</v>
      </c>
      <c r="C12" s="2076" t="s">
        <v>1791</v>
      </c>
      <c r="D12" s="2077" t="s">
        <v>1792</v>
      </c>
      <c r="E12" s="2077" t="s">
        <v>1793</v>
      </c>
      <c r="F12" s="2077" t="s">
        <v>1794</v>
      </c>
      <c r="G12" s="2077" t="s">
        <v>1795</v>
      </c>
      <c r="H12" s="2077" t="s">
        <v>1796</v>
      </c>
      <c r="I12" s="2077" t="s">
        <v>1797</v>
      </c>
      <c r="J12" s="2044"/>
      <c r="K12" s="2056"/>
      <c r="L12" s="2030"/>
      <c r="M12" s="2030"/>
      <c r="N12" s="2031"/>
      <c r="O12" s="2032"/>
      <c r="P12" s="2031"/>
      <c r="Q12" s="2031"/>
      <c r="R12" s="2031"/>
    </row>
    <row r="13" spans="1:19" ht="18" customHeight="1">
      <c r="A13" s="2078"/>
      <c r="B13" s="2079"/>
      <c r="C13" s="2080" t="s">
        <v>1798</v>
      </c>
      <c r="D13" s="2081"/>
      <c r="E13" s="2081"/>
      <c r="F13" s="2081"/>
      <c r="G13" s="2081"/>
      <c r="H13" s="2081"/>
      <c r="I13" s="1050"/>
      <c r="J13" s="2044"/>
      <c r="K13" s="2056"/>
      <c r="L13" s="2030"/>
      <c r="M13" s="2030"/>
      <c r="N13" s="2031"/>
      <c r="O13" s="2032"/>
      <c r="P13" s="2031"/>
      <c r="Q13" s="2031"/>
      <c r="R13" s="2031"/>
    </row>
    <row r="14" spans="1:19" ht="18" customHeight="1">
      <c r="A14" s="2078"/>
      <c r="B14" s="2079"/>
      <c r="C14" s="2080" t="s">
        <v>1799</v>
      </c>
      <c r="D14" s="1053"/>
      <c r="E14" s="1053"/>
      <c r="F14" s="1053"/>
      <c r="G14" s="1053"/>
      <c r="H14" s="1053"/>
      <c r="I14" s="1053"/>
      <c r="J14" s="2044"/>
      <c r="K14" s="2082"/>
      <c r="L14" s="2030"/>
      <c r="M14" s="2030"/>
      <c r="N14" s="2031"/>
      <c r="O14" s="2032"/>
      <c r="P14" s="2031"/>
      <c r="Q14" s="2031"/>
      <c r="R14" s="2031"/>
    </row>
    <row r="15" spans="1:19" ht="18" customHeight="1">
      <c r="A15" s="2065"/>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4"/>
      <c r="L15" s="2085"/>
      <c r="M15" s="2085"/>
      <c r="N15" s="2086"/>
      <c r="O15" s="2085"/>
      <c r="P15" s="2086"/>
      <c r="Q15" s="2031"/>
      <c r="R15" s="2031"/>
    </row>
    <row r="16" spans="1:19" ht="30.75" customHeight="1">
      <c r="A16" s="2068" t="s">
        <v>1801</v>
      </c>
      <c r="B16" s="3014"/>
      <c r="C16" s="3015"/>
      <c r="D16" s="3016"/>
      <c r="E16" s="2087" t="s">
        <v>1802</v>
      </c>
      <c r="F16" s="3017"/>
      <c r="G16" s="3018"/>
      <c r="H16" s="3018"/>
      <c r="I16" s="3019"/>
      <c r="J16" s="2031"/>
      <c r="K16" s="2084"/>
      <c r="L16" s="2085"/>
      <c r="M16" s="2085"/>
      <c r="N16" s="2086"/>
      <c r="O16" s="2085"/>
      <c r="P16" s="2086"/>
      <c r="Q16" s="2031"/>
      <c r="R16" s="2031"/>
    </row>
    <row r="17" spans="1:22" ht="18" customHeight="1">
      <c r="A17" s="2088" t="s">
        <v>1803</v>
      </c>
      <c r="B17" s="2037" t="s">
        <v>1804</v>
      </c>
      <c r="C17" s="1057">
        <f>'数据-汇总表'!E3</f>
        <v>124.73</v>
      </c>
      <c r="D17" s="2089" t="s">
        <v>1805</v>
      </c>
      <c r="E17" s="3020" t="s">
        <v>3038</v>
      </c>
      <c r="F17" s="3021"/>
      <c r="G17" s="3021"/>
      <c r="H17" s="3021"/>
      <c r="I17" s="3022"/>
      <c r="J17" s="2031"/>
      <c r="K17" s="2090"/>
      <c r="L17" s="2085"/>
      <c r="M17" s="2085"/>
      <c r="N17" s="2086"/>
      <c r="O17" s="2085"/>
      <c r="P17" s="2086"/>
      <c r="Q17" s="2031"/>
      <c r="R17" s="2031"/>
      <c r="S17" s="2031"/>
      <c r="T17" s="2031"/>
      <c r="U17" s="2031"/>
      <c r="V17" s="2031"/>
    </row>
    <row r="18" spans="1:22" ht="36" customHeight="1" thickBot="1">
      <c r="A18" s="2091" t="s">
        <v>70</v>
      </c>
      <c r="B18" s="2040" t="s">
        <v>1806</v>
      </c>
      <c r="C18" s="1447">
        <f>'数据-汇总表'!D3</f>
        <v>0</v>
      </c>
      <c r="D18" s="2092" t="s">
        <v>1805</v>
      </c>
      <c r="E18" s="3023"/>
      <c r="F18" s="3024"/>
      <c r="G18" s="3024"/>
      <c r="H18" s="3024"/>
      <c r="I18" s="3025"/>
      <c r="J18" s="2031"/>
      <c r="K18" s="2090"/>
      <c r="L18" s="2085"/>
      <c r="M18" s="2085"/>
      <c r="N18" s="2086"/>
      <c r="O18" s="2085"/>
      <c r="P18" s="2086"/>
      <c r="Q18" s="2031"/>
      <c r="R18" s="2031"/>
      <c r="S18" s="2031"/>
      <c r="T18" s="2031"/>
      <c r="U18" s="2031"/>
      <c r="V18" s="2031"/>
    </row>
    <row r="19" spans="1:22" ht="37.5" customHeight="1" thickTop="1" thickBot="1">
      <c r="A19" s="373" t="s">
        <v>1807</v>
      </c>
      <c r="B19" s="352" t="s">
        <v>1808</v>
      </c>
      <c r="C19" s="2093" t="s">
        <v>3039</v>
      </c>
      <c r="D19" s="2094" t="s">
        <v>1809</v>
      </c>
      <c r="E19" s="2095"/>
      <c r="F19" s="2096" t="str">
        <f>IF(AND(C19="是",E19="否"),"是否提供他项权证或相关说明","")</f>
        <v/>
      </c>
      <c r="G19" s="2097"/>
      <c r="H19" s="2044"/>
      <c r="I19" s="2044"/>
      <c r="J19" s="2044"/>
      <c r="K19" s="2056"/>
      <c r="L19" s="2030"/>
      <c r="M19" s="2030"/>
      <c r="N19" s="2086"/>
      <c r="O19" s="2085"/>
      <c r="P19" s="2086"/>
      <c r="Q19" s="2031"/>
      <c r="R19" s="2031"/>
      <c r="S19" s="2031"/>
      <c r="T19" s="2031"/>
      <c r="U19" s="2031"/>
      <c r="V19" s="2031"/>
    </row>
    <row r="20" spans="1:22" ht="18" customHeight="1">
      <c r="A20" s="2098" t="s">
        <v>1810</v>
      </c>
      <c r="B20" s="3010" t="s">
        <v>1811</v>
      </c>
      <c r="C20" s="3011"/>
      <c r="D20" s="3012" t="s">
        <v>1812</v>
      </c>
      <c r="E20" s="3013"/>
      <c r="F20" s="2099" t="s">
        <v>1813</v>
      </c>
      <c r="G20" s="2044"/>
      <c r="H20" s="2044"/>
      <c r="I20" s="2044"/>
      <c r="J20" s="2044"/>
      <c r="K20" s="3009" t="s">
        <v>1814</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6"/>
      <c r="O20" s="2085"/>
      <c r="P20" s="2086"/>
      <c r="Q20" s="2031"/>
      <c r="R20" s="2031"/>
      <c r="S20" s="2031"/>
      <c r="T20" s="2031"/>
      <c r="U20" s="2031"/>
      <c r="V20" s="2031"/>
    </row>
    <row r="21" spans="1:22" ht="24.75" customHeight="1">
      <c r="A21" s="2098"/>
      <c r="B21" s="2100" t="s">
        <v>3037</v>
      </c>
      <c r="C21" s="2101" t="s">
        <v>3040</v>
      </c>
      <c r="D21" s="2102"/>
      <c r="E21" s="2103"/>
      <c r="F21" s="2104"/>
      <c r="G21" s="2044"/>
      <c r="H21" s="2044"/>
      <c r="I21" s="2044"/>
      <c r="J21" s="2044"/>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c r="C22" s="2101"/>
      <c r="D22" s="2028"/>
      <c r="E22" s="2028"/>
      <c r="F22" s="2106"/>
      <c r="G22" s="2044"/>
      <c r="H22" s="2044"/>
      <c r="I22" s="2044"/>
      <c r="J22" s="2044"/>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1815</v>
      </c>
      <c r="B23" s="183" t="s">
        <v>1816</v>
      </c>
      <c r="C23" s="2108"/>
      <c r="D23" s="2109" t="s">
        <v>1816</v>
      </c>
      <c r="E23" s="2110"/>
      <c r="F23" s="2106"/>
      <c r="G23" s="2044"/>
      <c r="H23" s="2044"/>
      <c r="I23" s="2044"/>
      <c r="J23" s="2044"/>
      <c r="K23" s="2111"/>
      <c r="L23" s="748"/>
      <c r="M23" s="2030"/>
      <c r="N23" s="2086"/>
      <c r="O23" s="2085"/>
      <c r="P23" s="2086"/>
      <c r="Q23" s="2031"/>
      <c r="R23" s="2031"/>
      <c r="S23" s="2031"/>
      <c r="T23" s="2031"/>
      <c r="U23" s="2031"/>
      <c r="V23" s="2031"/>
    </row>
    <row r="24" spans="1:22" ht="18" customHeight="1">
      <c r="A24" s="2112"/>
      <c r="B24" s="183" t="s">
        <v>1817</v>
      </c>
      <c r="C24" s="2113"/>
      <c r="D24" s="2107" t="s">
        <v>1817</v>
      </c>
      <c r="E24" s="2114"/>
      <c r="F24" s="2106"/>
      <c r="G24" s="2044"/>
      <c r="H24" s="2044"/>
      <c r="I24" s="2044"/>
      <c r="J24" s="2044"/>
      <c r="K24" s="2111"/>
      <c r="L24" s="748"/>
      <c r="M24" s="2030"/>
      <c r="N24" s="2086"/>
      <c r="O24" s="2085"/>
      <c r="P24" s="2086"/>
      <c r="Q24" s="2031"/>
      <c r="R24" s="2031"/>
      <c r="S24" s="2031"/>
      <c r="T24" s="2031"/>
      <c r="U24" s="2031"/>
      <c r="V24" s="2031"/>
    </row>
    <row r="25" spans="1:22" ht="18" customHeight="1">
      <c r="A25" s="2112"/>
      <c r="B25" s="183" t="s">
        <v>1818</v>
      </c>
      <c r="C25" s="2113"/>
      <c r="D25" s="2107" t="s">
        <v>1818</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1819</v>
      </c>
      <c r="C26" s="2117"/>
      <c r="D26" s="2118" t="s">
        <v>1820</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3027" t="s">
        <v>1821</v>
      </c>
      <c r="B27" s="2065" t="s">
        <v>1822</v>
      </c>
      <c r="C27" s="2121" t="s">
        <v>3041</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27"/>
      <c r="B28" s="2037" t="s">
        <v>1823</v>
      </c>
      <c r="C28" s="2123" t="s">
        <v>3042</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27"/>
      <c r="B29" s="2037" t="s">
        <v>1824</v>
      </c>
      <c r="C29" s="2126" t="s">
        <v>3043</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28"/>
      <c r="B30" s="2037" t="s">
        <v>1825</v>
      </c>
      <c r="C30" s="3029"/>
      <c r="D30" s="3030"/>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31" t="s">
        <v>1826</v>
      </c>
      <c r="B31" s="2128" t="s">
        <v>3044</v>
      </c>
      <c r="C31" s="2129" t="str">
        <f>IF(B31="现房","成新及维护状况正常否",IF(B31="在建","工程状态是否正常",IF(B31="土地","是否闲置","-")))</f>
        <v>成新及维护状况正常否</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032"/>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032"/>
      <c r="B33" s="2132"/>
      <c r="C33" s="2071"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1827</v>
      </c>
      <c r="B34" s="2135" t="s">
        <v>3045</v>
      </c>
      <c r="C34" s="2135" t="s">
        <v>3046</v>
      </c>
      <c r="D34" s="2135" t="s">
        <v>3047</v>
      </c>
      <c r="E34" s="2135" t="s">
        <v>3048</v>
      </c>
      <c r="F34" s="2135" t="s">
        <v>3049</v>
      </c>
      <c r="G34" s="2135" t="s">
        <v>3050</v>
      </c>
      <c r="H34" s="2135" t="s">
        <v>3051</v>
      </c>
      <c r="I34" s="2044"/>
      <c r="J34" s="2044"/>
      <c r="K34" s="1797">
        <f>COUNTIF(B34:H34,"——")</f>
        <v>0</v>
      </c>
      <c r="L34" s="2076" t="s">
        <v>1828</v>
      </c>
      <c r="M34" s="2076" t="s">
        <v>1829</v>
      </c>
      <c r="N34" s="2076" t="s">
        <v>1830</v>
      </c>
      <c r="O34" s="2076" t="s">
        <v>1831</v>
      </c>
      <c r="P34" s="2076" t="s">
        <v>1832</v>
      </c>
      <c r="Q34" s="2076" t="s">
        <v>1833</v>
      </c>
      <c r="R34" s="2076" t="s">
        <v>1834</v>
      </c>
      <c r="S34" s="3026" t="s">
        <v>1835</v>
      </c>
      <c r="T34" s="2136" t="str">
        <f>NUMBERSTRING(7-K34,1)&amp;"通"</f>
        <v>七通</v>
      </c>
      <c r="U34" s="2031"/>
      <c r="V34" s="2031"/>
    </row>
    <row r="35" spans="1:22" ht="18" customHeight="1">
      <c r="A35" s="2137"/>
      <c r="B35" s="3033" t="s">
        <v>1836</v>
      </c>
      <c r="C35" s="3033"/>
      <c r="D35" s="3033"/>
      <c r="E35" s="3033"/>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6"/>
      <c r="T35" s="48" t="str">
        <f>IF(T34="一通",L35,IF(T34="二通",M35,IF(T34="三通",N35,IF(T34="四通",O35,IF(T34="五通",P35,IF(T34="六通",Q35,R35))))))</f>
        <v>通路、通电、通讯、通上水、通下水、通热、燃气</v>
      </c>
      <c r="U35" s="2031"/>
      <c r="V35" s="2031"/>
    </row>
    <row r="36" spans="1:22" ht="18" customHeight="1">
      <c r="A36" s="2139"/>
      <c r="B36" s="2138" t="s">
        <v>1837</v>
      </c>
      <c r="C36" s="2138" t="s">
        <v>1838</v>
      </c>
      <c r="D36" s="2138" t="s">
        <v>1839</v>
      </c>
      <c r="E36" s="2138" t="s">
        <v>1840</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1841</v>
      </c>
      <c r="B37" s="2142"/>
      <c r="C37" s="2142"/>
      <c r="D37" s="2142"/>
      <c r="E37" s="2142"/>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1842</v>
      </c>
      <c r="B38" s="2144"/>
      <c r="C38" s="2144"/>
      <c r="D38" s="2144"/>
      <c r="E38" s="2144"/>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1843</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1844</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1845</v>
      </c>
      <c r="B42" s="1797" t="s">
        <v>1846</v>
      </c>
      <c r="C42" s="1797" t="s">
        <v>1847</v>
      </c>
      <c r="D42" s="1797" t="s">
        <v>1848</v>
      </c>
      <c r="E42" s="1797" t="s">
        <v>1849</v>
      </c>
      <c r="F42" s="1797" t="s">
        <v>1850</v>
      </c>
      <c r="G42" s="1797" t="s">
        <v>1851</v>
      </c>
      <c r="H42" s="1797" t="s">
        <v>1852</v>
      </c>
      <c r="I42" s="1797" t="s">
        <v>1853</v>
      </c>
      <c r="J42" s="2154" t="s">
        <v>1854</v>
      </c>
      <c r="K42" s="2077" t="s">
        <v>1855</v>
      </c>
      <c r="L42" s="2077" t="s">
        <v>1856</v>
      </c>
      <c r="M42" s="2077" t="s">
        <v>1857</v>
      </c>
      <c r="N42" s="1797" t="s">
        <v>1858</v>
      </c>
      <c r="O42" s="1797" t="s">
        <v>1859</v>
      </c>
      <c r="P42" s="1797" t="s">
        <v>1860</v>
      </c>
      <c r="Q42" s="2076" t="s">
        <v>1861</v>
      </c>
      <c r="R42" s="2076" t="s">
        <v>1862</v>
      </c>
      <c r="S42" s="2031"/>
      <c r="T42" s="2031"/>
      <c r="U42" s="2031"/>
      <c r="V42" s="2031"/>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1865</v>
      </c>
      <c r="B2" s="11" t="s">
        <v>1866</v>
      </c>
      <c r="C2" s="11" t="s">
        <v>1867</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1868</v>
      </c>
      <c r="AZ2" s="1273" t="s">
        <v>1869</v>
      </c>
      <c r="BA2" s="11" t="s">
        <v>1870</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124.73</v>
      </c>
      <c r="C3" s="2170" t="s">
        <v>1871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1872</v>
      </c>
      <c r="B5" s="1805"/>
      <c r="C5" s="1805"/>
      <c r="D5" s="1808"/>
      <c r="E5" s="16" t="s">
        <v>1</v>
      </c>
      <c r="F5" s="16">
        <f>SUM(F13:F587)</f>
        <v>0</v>
      </c>
      <c r="G5" s="16">
        <f>SUM(G13:G587)</f>
        <v>124.73</v>
      </c>
      <c r="H5" s="16">
        <f t="shared" ref="H5:AT5" si="0">SUM(H13:H656)</f>
        <v>124.73</v>
      </c>
      <c r="I5" s="16">
        <f t="shared" si="0"/>
        <v>124.73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124.73</v>
      </c>
      <c r="BA5" s="18">
        <f t="shared" si="1"/>
        <v>124.73</v>
      </c>
      <c r="BB5" s="18">
        <f t="shared" si="1"/>
        <v>124.73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1873</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1873</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1874</v>
      </c>
      <c r="B7" s="2111" t="s">
        <v>1875</v>
      </c>
      <c r="C7" s="2111" t="s">
        <v>1876</v>
      </c>
      <c r="D7" s="2111" t="s">
        <v>1877</v>
      </c>
      <c r="E7" s="2111" t="s">
        <v>1878</v>
      </c>
      <c r="F7" s="2111" t="s">
        <v>1879</v>
      </c>
      <c r="G7" s="2180" t="s">
        <v>1880</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1881</v>
      </c>
      <c r="AV7" s="23" t="s">
        <v>1882</v>
      </c>
      <c r="AW7" s="2168" t="s">
        <v>1883</v>
      </c>
      <c r="AX7" s="23" t="s">
        <v>1876</v>
      </c>
      <c r="AY7" s="1805" t="s">
        <v>1884</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1885</v>
      </c>
      <c r="H8" s="2186" t="s">
        <v>1886</v>
      </c>
      <c r="I8" s="2187"/>
      <c r="J8" s="1820"/>
      <c r="K8" s="1820"/>
      <c r="L8" s="1820"/>
      <c r="M8" s="1820"/>
      <c r="N8" s="1820"/>
      <c r="O8" s="1820"/>
      <c r="P8" s="1820"/>
      <c r="Q8" s="1820"/>
      <c r="R8" s="1820"/>
      <c r="S8" s="1820"/>
      <c r="T8" s="1820"/>
      <c r="U8" s="1820"/>
      <c r="V8" s="2188"/>
      <c r="W8" s="1820"/>
      <c r="X8" s="1820"/>
      <c r="Y8" s="1820"/>
      <c r="Z8" s="1820"/>
      <c r="AA8" s="2188"/>
      <c r="AB8" s="2189"/>
      <c r="AC8" s="984" t="s">
        <v>1887</v>
      </c>
      <c r="AD8" s="2190"/>
      <c r="AE8" s="2182"/>
      <c r="AF8" s="1820"/>
      <c r="AG8" s="1820"/>
      <c r="AH8" s="1820"/>
      <c r="AI8" s="1820"/>
      <c r="AJ8" s="1820"/>
      <c r="AK8" s="1820"/>
      <c r="AL8" s="1820"/>
      <c r="AM8" s="1820"/>
      <c r="AN8" s="1820"/>
      <c r="AO8" s="1820"/>
      <c r="AP8" s="1820"/>
      <c r="AQ8" s="1820"/>
      <c r="AR8" s="1820"/>
      <c r="AS8" s="1820"/>
      <c r="AT8" s="1295" t="s">
        <v>1888</v>
      </c>
      <c r="AU8" s="2184" t="s">
        <v>1889</v>
      </c>
      <c r="AV8" s="1295"/>
      <c r="AW8" s="2167"/>
      <c r="AX8" s="1295"/>
      <c r="AY8" s="2168"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5"/>
      <c r="H9" s="2192" t="s">
        <v>1892</v>
      </c>
      <c r="I9" s="2193" t="s">
        <v>3052</v>
      </c>
      <c r="J9" s="984"/>
      <c r="K9" s="2193"/>
      <c r="L9" s="984"/>
      <c r="M9" s="2193"/>
      <c r="N9" s="984"/>
      <c r="O9" s="2193"/>
      <c r="P9" s="984"/>
      <c r="Q9" s="2193"/>
      <c r="R9" s="984"/>
      <c r="S9" s="2193"/>
      <c r="T9" s="984"/>
      <c r="U9" s="2193"/>
      <c r="V9" s="984"/>
      <c r="W9" s="2193"/>
      <c r="X9" s="2194"/>
      <c r="Y9" s="2193"/>
      <c r="Z9" s="984"/>
      <c r="AA9" s="2193"/>
      <c r="AB9" s="984"/>
      <c r="AC9" s="2185"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5"/>
      <c r="AT9" s="2184"/>
      <c r="AU9" s="2184" t="s">
        <v>1895</v>
      </c>
      <c r="AV9" s="1295"/>
      <c r="AW9" s="2167"/>
      <c r="AX9" s="1295"/>
      <c r="AY9" s="28"/>
      <c r="AZ9" s="28" t="s">
        <v>1885</v>
      </c>
      <c r="BA9" s="2196" t="s">
        <v>1896</v>
      </c>
      <c r="BB9" s="2197"/>
      <c r="BC9" s="1341"/>
      <c r="BD9" s="1341"/>
      <c r="BE9" s="1341"/>
      <c r="BF9" s="1341"/>
      <c r="BG9" s="1341"/>
      <c r="BH9" s="1341"/>
      <c r="BI9" s="1341"/>
      <c r="BJ9" s="1341"/>
      <c r="BK9" s="2198"/>
      <c r="BL9" s="15" t="s">
        <v>1897</v>
      </c>
      <c r="BM9" s="1820"/>
      <c r="BN9" s="2187"/>
      <c r="BO9" s="1820"/>
      <c r="BP9" s="1820"/>
      <c r="BQ9" s="1820"/>
      <c r="BR9" s="1820"/>
      <c r="BS9" s="1820"/>
      <c r="BT9" s="26"/>
    </row>
    <row r="10" spans="1:72" s="2191" customFormat="1" ht="12.75">
      <c r="A10" s="2184"/>
      <c r="B10" s="2184"/>
      <c r="C10" s="2184"/>
      <c r="D10" s="2184"/>
      <c r="E10" s="2184"/>
      <c r="F10" s="2184"/>
      <c r="G10" s="1295"/>
      <c r="H10" s="28"/>
      <c r="I10" s="2193" t="s">
        <v>3053</v>
      </c>
      <c r="J10" s="984"/>
      <c r="K10" s="2199"/>
      <c r="L10" s="984"/>
      <c r="M10" s="2199"/>
      <c r="N10" s="984"/>
      <c r="O10" s="2199"/>
      <c r="P10" s="984"/>
      <c r="Q10" s="2199"/>
      <c r="R10" s="984"/>
      <c r="S10" s="2199"/>
      <c r="T10" s="984"/>
      <c r="U10" s="2199"/>
      <c r="V10" s="984"/>
      <c r="W10" s="2199"/>
      <c r="X10" s="984"/>
      <c r="Y10" s="2199"/>
      <c r="Z10" s="984"/>
      <c r="AA10" s="2199"/>
      <c r="AB10" s="984"/>
      <c r="AC10" s="1295"/>
      <c r="AD10" s="15" t="s">
        <v>1898</v>
      </c>
      <c r="AE10" s="2200"/>
      <c r="AF10" s="15" t="s">
        <v>1898</v>
      </c>
      <c r="AG10" s="2200"/>
      <c r="AH10" s="15" t="s">
        <v>1899</v>
      </c>
      <c r="AI10" s="2200"/>
      <c r="AJ10" s="15" t="s">
        <v>1899</v>
      </c>
      <c r="AK10" s="2200"/>
      <c r="AL10" s="15" t="s">
        <v>1900</v>
      </c>
      <c r="AM10" s="1301"/>
      <c r="AN10" s="15" t="s">
        <v>1900</v>
      </c>
      <c r="AO10" s="1301"/>
      <c r="AP10" s="15" t="s">
        <v>1901</v>
      </c>
      <c r="AQ10" s="1301"/>
      <c r="AR10" s="15" t="s">
        <v>1901</v>
      </c>
      <c r="AS10" s="1301"/>
      <c r="AT10" s="2184"/>
      <c r="AU10" s="2184"/>
      <c r="AV10" s="1295"/>
      <c r="AW10" s="2167"/>
      <c r="AX10" s="1295"/>
      <c r="AY10" s="28"/>
      <c r="AZ10" s="28"/>
      <c r="BA10" s="2201" t="s">
        <v>1892</v>
      </c>
      <c r="BB10" s="2202"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5"/>
      <c r="H11" s="2201"/>
      <c r="I11" s="2204" t="s">
        <v>3054</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1902</v>
      </c>
      <c r="AE11" s="1821"/>
      <c r="AF11" s="2206" t="s">
        <v>1902</v>
      </c>
      <c r="AG11" s="1821"/>
      <c r="AH11" s="2206" t="s">
        <v>1903</v>
      </c>
      <c r="AI11" s="2207"/>
      <c r="AJ11" s="2206" t="s">
        <v>1903</v>
      </c>
      <c r="AK11" s="1821"/>
      <c r="AL11" s="1819"/>
      <c r="AM11" s="1821"/>
      <c r="AN11" s="1819"/>
      <c r="AO11" s="1821"/>
      <c r="AP11" s="1819"/>
      <c r="AQ11" s="1821"/>
      <c r="AR11" s="1819"/>
      <c r="AS11" s="1821"/>
      <c r="AT11" s="2167"/>
      <c r="AU11" s="2184"/>
      <c r="AV11" s="1295"/>
      <c r="AW11" s="2167"/>
      <c r="AX11" s="1295"/>
      <c r="AY11" s="28"/>
      <c r="AZ11" s="28"/>
      <c r="BA11" s="28"/>
      <c r="BB11" s="2189" t="str">
        <f>I10</f>
        <v>住宅</v>
      </c>
      <c r="BC11" s="2189">
        <f>K10</f>
        <v>0</v>
      </c>
      <c r="BD11" s="2189">
        <f>M10</f>
        <v>0</v>
      </c>
      <c r="BE11" s="2189">
        <f>O10</f>
        <v>0</v>
      </c>
      <c r="BF11" s="2189">
        <f>Q10</f>
        <v>0</v>
      </c>
      <c r="BG11" s="2189">
        <f>S10</f>
        <v>0</v>
      </c>
      <c r="BH11" s="2189">
        <f>U10</f>
        <v>0</v>
      </c>
      <c r="BI11" s="2189">
        <f>W10</f>
        <v>0</v>
      </c>
      <c r="BJ11" s="2189">
        <f>Y10</f>
        <v>0</v>
      </c>
      <c r="BK11" s="2189">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11"/>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9" t="s">
        <v>1905</v>
      </c>
      <c r="AT12" s="2212"/>
      <c r="AU12" s="2209"/>
      <c r="AV12" s="31"/>
      <c r="AW12" s="2168"/>
      <c r="AX12" s="31"/>
      <c r="AY12" s="2213"/>
      <c r="AZ12" s="28"/>
      <c r="BA12" s="2201"/>
      <c r="BB12" s="24" t="str">
        <f>I11</f>
        <v>普通住宅</v>
      </c>
      <c r="BC12" s="2214">
        <f>K11</f>
        <v>0</v>
      </c>
      <c r="BD12" s="2214">
        <f>M11</f>
        <v>0</v>
      </c>
      <c r="BE12" s="2189">
        <f>O11</f>
        <v>0</v>
      </c>
      <c r="BF12" s="2189">
        <f>Q11</f>
        <v>0</v>
      </c>
      <c r="BG12" s="2189">
        <f>S11</f>
        <v>0</v>
      </c>
      <c r="BH12" s="2189">
        <f>U11</f>
        <v>0</v>
      </c>
      <c r="BI12" s="2189">
        <f>W11</f>
        <v>0</v>
      </c>
      <c r="BJ12" s="2189">
        <f>Y11</f>
        <v>0</v>
      </c>
      <c r="BK12" s="2189">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1275" t="s">
        <v>3111</v>
      </c>
      <c r="D13" s="2215" t="s">
        <v>3039</v>
      </c>
      <c r="E13" s="16">
        <f>IF($C$3="是",ROUND($A$3*G13/$B$3,2),ROUND($A$3*(G13-AT13)/$B$3,2))</f>
        <v>0</v>
      </c>
      <c r="F13" s="32"/>
      <c r="G13" s="33">
        <f>H13+AC13+AT13</f>
        <v>124.73</v>
      </c>
      <c r="H13" s="20">
        <f>SUMIF(I$12:AB$12,"总值",I13:AB13)</f>
        <v>124.73</v>
      </c>
      <c r="I13" s="2216">
        <v>124.73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12号楼2层5单元201号</v>
      </c>
      <c r="AY13" s="1808">
        <f>ROUND($AY$6*AZ13/$AZ$5,2)</f>
        <v>0</v>
      </c>
      <c r="AZ13" s="16">
        <f>BA13+BL13</f>
        <v>124.73</v>
      </c>
      <c r="BA13" s="16">
        <f>SUM(BB13:BK13)</f>
        <v>124.73</v>
      </c>
      <c r="BB13" s="16">
        <f>IF($D13="是",I13-J13,0)</f>
        <v>124.73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127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127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5"/>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1931</v>
      </c>
      <c r="B1" s="1395"/>
      <c r="C1" s="1395"/>
      <c r="D1" s="1395"/>
      <c r="E1" s="1395"/>
      <c r="F1" s="1395"/>
      <c r="G1" s="1395"/>
      <c r="H1" s="1395"/>
      <c r="I1" s="1395"/>
      <c r="J1" s="1395"/>
      <c r="K1" s="1395"/>
      <c r="L1" s="1395"/>
      <c r="M1" s="1395"/>
      <c r="N1" s="1395"/>
      <c r="O1" s="1395"/>
      <c r="P1" s="1395"/>
    </row>
    <row r="2" spans="1:16" ht="15">
      <c r="A2" s="3045" t="s">
        <v>1932</v>
      </c>
      <c r="B2" s="3045"/>
      <c r="C2" s="3045"/>
      <c r="D2" s="970" t="s">
        <v>1908</v>
      </c>
      <c r="E2" s="2229" t="s">
        <v>1909</v>
      </c>
      <c r="F2" s="1395"/>
      <c r="G2" s="2230"/>
      <c r="H2" s="2231"/>
      <c r="I2" s="2232" t="s">
        <v>1933</v>
      </c>
      <c r="J2" s="1395"/>
      <c r="K2" s="1395"/>
      <c r="L2" s="1395"/>
      <c r="M2" s="1395"/>
      <c r="N2" s="1430"/>
      <c r="O2" s="1395"/>
      <c r="P2" s="1395"/>
    </row>
    <row r="3" spans="1:16" ht="15.75" thickBot="1">
      <c r="A3" s="3046" t="s">
        <v>1906</v>
      </c>
      <c r="B3" s="3046"/>
      <c r="C3" s="3046"/>
      <c r="D3" s="46">
        <f>'数据-基础表'!AY6</f>
        <v>0</v>
      </c>
      <c r="E3" s="46">
        <f>'数据-基础表'!AZ5</f>
        <v>124.73</v>
      </c>
      <c r="F3" s="1395"/>
      <c r="G3" s="1402"/>
      <c r="H3" s="1250" t="s">
        <v>1907</v>
      </c>
      <c r="I3" s="55" t="e">
        <f>ROUND('数据-基础表'!B3/'数据-基础表'!A3,2)</f>
        <v>#DIV/0!</v>
      </c>
      <c r="J3" s="1395"/>
      <c r="K3" s="1395"/>
      <c r="L3" s="1395"/>
      <c r="M3" s="1395"/>
      <c r="N3" s="1430"/>
      <c r="O3" s="1395"/>
      <c r="P3" s="1395"/>
    </row>
    <row r="4" spans="1:16" ht="15">
      <c r="A4" s="3047"/>
      <c r="B4" s="3048"/>
      <c r="C4" s="3049"/>
      <c r="D4" s="2233" t="s">
        <v>1908</v>
      </c>
      <c r="E4" s="2234" t="s">
        <v>1909</v>
      </c>
      <c r="F4" s="1395"/>
      <c r="G4" s="2235" t="s">
        <v>1934</v>
      </c>
      <c r="H4" s="1250" t="s">
        <v>1914</v>
      </c>
      <c r="I4" s="55" t="e">
        <f>ROUND(SUMIF('数据-基础表'!I9:AS9,"地上",'数据-基础表'!I5:AS5)/'数据-基础表'!A3,2)</f>
        <v>#DIV/0!</v>
      </c>
      <c r="J4" s="1395"/>
      <c r="K4" s="1395"/>
      <c r="L4" s="1395"/>
      <c r="M4" s="1395"/>
      <c r="N4" s="1430"/>
      <c r="O4" s="1395"/>
      <c r="P4" s="1395"/>
    </row>
    <row r="5" spans="1:16">
      <c r="A5" s="47" t="s">
        <v>1910</v>
      </c>
      <c r="B5" s="3050" t="s">
        <v>1911</v>
      </c>
      <c r="C5" s="3050"/>
      <c r="D5" s="48">
        <f>ROUND($D$3*E5/$E$3,2)</f>
        <v>0</v>
      </c>
      <c r="E5" s="49">
        <f>SUMIF('数据-基础表'!$11:$11,"住宅",'数据-基础表'!$5:$5)</f>
        <v>124.73</v>
      </c>
      <c r="F5" s="1395"/>
      <c r="G5" s="1402"/>
      <c r="H5" s="1250" t="s">
        <v>1907</v>
      </c>
      <c r="I5" s="55" t="e">
        <f>ROUND(E31/D31,2)</f>
        <v>#DIV/0!</v>
      </c>
      <c r="J5" s="1395"/>
      <c r="K5" s="1395"/>
      <c r="L5" s="1395"/>
      <c r="M5" s="1395"/>
      <c r="N5" s="1395"/>
      <c r="O5" s="1395"/>
      <c r="P5" s="1395"/>
    </row>
    <row r="6" spans="1:16" ht="15" thickBot="1">
      <c r="A6" s="2236"/>
      <c r="B6" s="3050" t="s">
        <v>1912</v>
      </c>
      <c r="C6" s="3050"/>
      <c r="D6" s="48">
        <f>ROUND($D$3*E6/$E$3,2)</f>
        <v>0</v>
      </c>
      <c r="E6" s="49">
        <f>E3-E5</f>
        <v>0</v>
      </c>
      <c r="F6" s="1395"/>
      <c r="G6" s="2237" t="s">
        <v>1913</v>
      </c>
      <c r="H6" s="1402" t="s">
        <v>1914</v>
      </c>
      <c r="I6" s="942" t="e">
        <f>ROUND(F31/D31,2)</f>
        <v>#DIV/0!</v>
      </c>
      <c r="J6" s="1395"/>
      <c r="K6" s="1395"/>
      <c r="L6" s="1395"/>
      <c r="M6" s="1395"/>
      <c r="N6" s="1395"/>
      <c r="O6" s="1395"/>
      <c r="P6" s="1395"/>
    </row>
    <row r="7" spans="1:16" ht="15">
      <c r="A7" s="3042"/>
      <c r="B7" s="3043"/>
      <c r="C7" s="3044"/>
      <c r="D7" s="2233" t="s">
        <v>1908</v>
      </c>
      <c r="E7" s="2238" t="s">
        <v>1915</v>
      </c>
      <c r="F7" s="1395"/>
      <c r="G7" s="2230" t="s">
        <v>1916</v>
      </c>
      <c r="H7" s="64"/>
      <c r="I7" s="420"/>
      <c r="J7" s="1395"/>
      <c r="K7" s="1395"/>
      <c r="L7" s="1395"/>
      <c r="M7" s="1395"/>
      <c r="N7" s="1395"/>
      <c r="O7" s="1395"/>
      <c r="P7" s="1395"/>
    </row>
    <row r="8" spans="1:16">
      <c r="A8" s="47" t="s">
        <v>1917</v>
      </c>
      <c r="B8" s="50" t="s">
        <v>1918</v>
      </c>
      <c r="C8" s="48" t="s">
        <v>1919</v>
      </c>
      <c r="D8" s="48">
        <f t="shared" ref="D8:D15" si="0">ROUND($D$3*E8/$E$3,2)</f>
        <v>0</v>
      </c>
      <c r="E8" s="51">
        <f>SUMIF('数据-基础表'!BB10:BK10,"地上",'数据-基础表'!BB5:BK5)</f>
        <v>124.73</v>
      </c>
      <c r="F8" s="1395"/>
      <c r="G8" s="2239"/>
      <c r="H8" s="2239"/>
      <c r="I8" s="1395"/>
      <c r="J8" s="1395"/>
      <c r="K8" s="1395"/>
      <c r="L8" s="1395"/>
      <c r="M8" s="1395"/>
      <c r="N8" s="1395"/>
      <c r="O8" s="1395"/>
      <c r="P8" s="1395"/>
    </row>
    <row r="9" spans="1:16">
      <c r="A9" s="2240"/>
      <c r="B9" s="2241"/>
      <c r="C9" s="48" t="s">
        <v>1920</v>
      </c>
      <c r="D9" s="48">
        <f t="shared" si="0"/>
        <v>0</v>
      </c>
      <c r="E9" s="52">
        <v>0</v>
      </c>
      <c r="F9" s="1395"/>
      <c r="G9" s="2239"/>
      <c r="H9" s="2239"/>
      <c r="I9" s="1395"/>
      <c r="J9" s="1395"/>
      <c r="K9" s="1395"/>
      <c r="L9" s="1395"/>
      <c r="M9" s="1395"/>
      <c r="N9" s="1395"/>
      <c r="O9" s="1395"/>
      <c r="P9" s="1395"/>
    </row>
    <row r="10" spans="1:16">
      <c r="A10" s="2240"/>
      <c r="B10" s="2241"/>
      <c r="C10" s="48" t="s">
        <v>1929</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1921</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1922</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1923</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1935</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1930</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1924</v>
      </c>
      <c r="D16" s="50">
        <f>SUM(D8:D15)</f>
        <v>0</v>
      </c>
      <c r="E16" s="53">
        <f>SUM(E8:E15)</f>
        <v>124.73</v>
      </c>
      <c r="F16" s="1395"/>
      <c r="G16" s="2239"/>
      <c r="H16" s="2242" t="s">
        <v>1936</v>
      </c>
      <c r="I16" s="2243"/>
      <c r="J16" s="1395"/>
      <c r="K16" s="3039" t="s">
        <v>1936</v>
      </c>
      <c r="L16" s="3040"/>
      <c r="M16" s="3040"/>
      <c r="N16" s="3040"/>
      <c r="O16" s="3040"/>
      <c r="P16" s="3041"/>
    </row>
    <row r="17" spans="1:19" ht="15">
      <c r="A17" s="2244" t="s">
        <v>1937</v>
      </c>
      <c r="B17" s="2245" t="s">
        <v>1938</v>
      </c>
      <c r="C17" s="2246" t="s">
        <v>1939</v>
      </c>
      <c r="D17" s="2247" t="s">
        <v>1927</v>
      </c>
      <c r="E17" s="2248" t="s">
        <v>1928</v>
      </c>
      <c r="F17" s="2249"/>
      <c r="G17" s="2250"/>
      <c r="H17" s="2251" t="s">
        <v>1940</v>
      </c>
      <c r="I17" s="2252" t="s">
        <v>1925</v>
      </c>
      <c r="J17" s="1395"/>
      <c r="K17" s="3036" t="s">
        <v>1941</v>
      </c>
      <c r="L17" s="3037"/>
      <c r="M17" s="3038"/>
      <c r="N17" s="3036" t="s">
        <v>1942</v>
      </c>
      <c r="O17" s="3037"/>
      <c r="P17" s="3038"/>
      <c r="R17" s="2230" t="s">
        <v>1943</v>
      </c>
      <c r="S17" s="64"/>
    </row>
    <row r="18" spans="1:19" ht="15">
      <c r="A18" s="2240"/>
      <c r="B18" s="2253"/>
      <c r="C18" s="2254"/>
      <c r="D18" s="2255"/>
      <c r="E18" s="2256" t="s">
        <v>1944</v>
      </c>
      <c r="F18" s="2257" t="s">
        <v>1945</v>
      </c>
      <c r="G18" s="2258" t="s">
        <v>1946</v>
      </c>
      <c r="H18" s="1265" t="s">
        <v>1947</v>
      </c>
      <c r="I18" s="2259" t="s">
        <v>1948</v>
      </c>
      <c r="J18" s="1395"/>
      <c r="K18" s="1265" t="s">
        <v>1949</v>
      </c>
      <c r="L18" s="2260" t="s">
        <v>1950</v>
      </c>
      <c r="M18" s="1049" t="s">
        <v>1951</v>
      </c>
      <c r="N18" s="1265" t="s">
        <v>1949</v>
      </c>
      <c r="O18" s="2260" t="s">
        <v>1950</v>
      </c>
      <c r="P18" s="1049" t="s">
        <v>1951</v>
      </c>
      <c r="R18" s="1250" t="s">
        <v>1952</v>
      </c>
      <c r="S18" s="1250" t="s">
        <v>1953</v>
      </c>
    </row>
    <row r="19" spans="1:19">
      <c r="A19" s="2261"/>
      <c r="B19" s="50" t="s">
        <v>1926</v>
      </c>
      <c r="C19" s="2942" t="s">
        <v>3055</v>
      </c>
      <c r="D19" s="48">
        <f>ROUND($D$3*E19/$E$3,2)</f>
        <v>0</v>
      </c>
      <c r="E19" s="56">
        <f t="shared" ref="E19:E26" si="1">SUM(F19:G19)</f>
        <v>124.73</v>
      </c>
      <c r="F19" s="57">
        <f>'数据-基础表'!I13</f>
        <v>124.73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124.73</v>
      </c>
    </row>
    <row r="20" spans="1:19">
      <c r="A20" s="2265"/>
      <c r="B20" s="50" t="s">
        <v>1954</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1954</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1955</v>
      </c>
      <c r="D27" s="1396">
        <f>SUM(D19:D26)</f>
        <v>0</v>
      </c>
      <c r="E27" s="1397">
        <f>IF(SUM(E19:E26)='数据-基础表'!BA5,SUM(E19:E26),IF(F27="地上面积有误","面积有误","地下面积有误"))</f>
        <v>124.73</v>
      </c>
      <c r="F27" s="1396">
        <f>IF(SUM(F19:F26)=E8,SUM(F19:F26),"地上面积有误")</f>
        <v>124.73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124.73</v>
      </c>
    </row>
    <row r="28" spans="1:19">
      <c r="A28" s="2265"/>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1956</v>
      </c>
      <c r="C29" s="2269"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1959</v>
      </c>
      <c r="D31" s="729">
        <f>D27+D30</f>
        <v>0</v>
      </c>
      <c r="E31" s="729">
        <f>E27+E30</f>
        <v>124.73</v>
      </c>
      <c r="F31" s="730">
        <f>F27+F30</f>
        <v>124.73</v>
      </c>
      <c r="G31" s="731">
        <f>G27+G30</f>
        <v>0</v>
      </c>
      <c r="H31" s="1395"/>
      <c r="I31" s="1395"/>
      <c r="J31" s="1395"/>
      <c r="K31" s="1395"/>
      <c r="L31" s="1395"/>
      <c r="M31" s="1395"/>
      <c r="N31" s="1395"/>
      <c r="O31" s="1395"/>
      <c r="P31" s="1395"/>
    </row>
    <row r="32" spans="1:19">
      <c r="A32" s="2235"/>
      <c r="B32" s="2235" t="s">
        <v>1960</v>
      </c>
      <c r="C32" s="2235"/>
      <c r="D32" s="2235"/>
      <c r="E32" s="1277">
        <f>SUMIF(C19:C26,"*住宅*",E19:E26)</f>
        <v>124.73</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36" activePane="bottomRight" state="frozen"/>
      <selection activeCell="C50" sqref="C50"/>
      <selection pane="topRight" activeCell="C50" sqref="C50"/>
      <selection pane="bottomLeft" activeCell="C50" sqref="C50"/>
      <selection pane="bottomRight" activeCell="U25" sqref="U25"/>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1961</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8" t="s">
        <v>1962</v>
      </c>
      <c r="B2" s="1269">
        <f>项目基本情况!D3</f>
        <v>43217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1963</v>
      </c>
      <c r="B4" s="2283"/>
      <c r="C4" s="2284"/>
      <c r="D4" s="2285"/>
      <c r="E4" s="2284" t="s">
        <v>1964</v>
      </c>
      <c r="F4" s="2284"/>
      <c r="G4" s="2284"/>
      <c r="H4" s="2284"/>
      <c r="I4" s="2284"/>
      <c r="J4" s="2286"/>
      <c r="K4" s="2287"/>
      <c r="L4" s="2288"/>
      <c r="M4" s="2284"/>
      <c r="N4" s="2284" t="s">
        <v>1965</v>
      </c>
      <c r="O4" s="2284"/>
      <c r="P4" s="2284"/>
      <c r="Q4" s="2284"/>
      <c r="R4" s="2284"/>
      <c r="S4" s="2286"/>
      <c r="T4" s="2289" t="str">
        <f>'数据-汇总表'!I17</f>
        <v>按面积比例</v>
      </c>
      <c r="U4" s="2283" t="s">
        <v>1966</v>
      </c>
      <c r="V4" s="2284"/>
      <c r="W4" s="2284"/>
      <c r="X4" s="2284"/>
      <c r="Y4" s="2286"/>
      <c r="Z4" s="2246" t="s">
        <v>1967</v>
      </c>
      <c r="AA4" s="2246"/>
      <c r="AB4" s="2246"/>
      <c r="AC4" s="2246"/>
      <c r="AD4" s="2246"/>
      <c r="AE4" s="2244" t="s">
        <v>1968</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1969</v>
      </c>
      <c r="B5" s="2292" t="s">
        <v>1970</v>
      </c>
      <c r="C5" s="2293" t="s">
        <v>1971</v>
      </c>
      <c r="D5" s="2294" t="s">
        <v>1972</v>
      </c>
      <c r="E5" s="1271" t="s">
        <v>1973</v>
      </c>
      <c r="F5" s="2295" t="s">
        <v>1974</v>
      </c>
      <c r="G5" s="1271" t="s">
        <v>1975</v>
      </c>
      <c r="H5" s="1271" t="s">
        <v>1976</v>
      </c>
      <c r="I5" s="1271" t="s">
        <v>1977</v>
      </c>
      <c r="J5" s="2296" t="s">
        <v>1978</v>
      </c>
      <c r="K5" s="2297" t="s">
        <v>1979</v>
      </c>
      <c r="L5" s="2298" t="s">
        <v>1980</v>
      </c>
      <c r="M5" s="2299" t="s">
        <v>1981</v>
      </c>
      <c r="N5" s="2300" t="s">
        <v>3056</v>
      </c>
      <c r="O5" s="2298" t="s">
        <v>1982</v>
      </c>
      <c r="P5" s="2301" t="s">
        <v>1983</v>
      </c>
      <c r="Q5" s="69" t="s">
        <v>1984</v>
      </c>
      <c r="R5" s="2302" t="s">
        <v>1985</v>
      </c>
      <c r="S5" s="2303" t="s">
        <v>1986</v>
      </c>
      <c r="T5" s="2304" t="s">
        <v>1987</v>
      </c>
      <c r="U5" s="1270" t="s">
        <v>1988</v>
      </c>
      <c r="V5" s="1271" t="s">
        <v>1989</v>
      </c>
      <c r="W5" s="1271" t="s">
        <v>1990</v>
      </c>
      <c r="X5" s="71"/>
      <c r="Y5" s="70" t="s">
        <v>1991</v>
      </c>
      <c r="Z5" s="2305" t="s">
        <v>1988</v>
      </c>
      <c r="AA5" s="1271" t="s">
        <v>1989</v>
      </c>
      <c r="AB5" s="1271" t="s">
        <v>1990</v>
      </c>
      <c r="AC5" s="71"/>
      <c r="AD5" s="71" t="s">
        <v>1991</v>
      </c>
      <c r="AE5" s="1270" t="s">
        <v>1992</v>
      </c>
      <c r="AF5" s="1271" t="s">
        <v>1993</v>
      </c>
      <c r="AG5" s="70" t="s">
        <v>1994</v>
      </c>
      <c r="AH5" s="1270" t="s">
        <v>1995</v>
      </c>
      <c r="AI5" s="2305" t="s">
        <v>1996</v>
      </c>
      <c r="AJ5" s="2305" t="s">
        <v>1997</v>
      </c>
      <c r="AK5" s="1271" t="s">
        <v>1998</v>
      </c>
      <c r="AL5" s="1271" t="s">
        <v>1999</v>
      </c>
      <c r="AM5" s="70" t="s">
        <v>2000</v>
      </c>
      <c r="AN5" s="2306" t="s">
        <v>2001</v>
      </c>
      <c r="AO5" s="2076" t="s">
        <v>2002</v>
      </c>
      <c r="AP5" s="1252" t="s">
        <v>2003</v>
      </c>
      <c r="AQ5" s="2307" t="s">
        <v>2004</v>
      </c>
      <c r="AR5" s="2307" t="s">
        <v>2005</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8" t="str">
        <f>'数据-汇总表'!C19</f>
        <v>普通住宅</v>
      </c>
      <c r="B6" s="2309" t="str">
        <f>IF(A6=0,"","经营性")</f>
        <v>经营性</v>
      </c>
      <c r="C6" s="2310" t="s">
        <v>3053</v>
      </c>
      <c r="D6" s="1054">
        <f>SUMIF(项目基本情况!D$12:I$12,C6,项目基本情况!D$14:I$14)</f>
        <v>0</v>
      </c>
      <c r="E6" s="1051">
        <f>IF(B6="","",SUMIF(项目基本情况!D$12:I$12,C6,项目基本情况!D$13:I$13))</f>
        <v>0</v>
      </c>
      <c r="F6" s="72">
        <f>SUMIF(项目基本情况!D$12:I$12,C6,项目基本情况!D$15:I$15)</f>
        <v>0</v>
      </c>
      <c r="G6" s="73">
        <f>IF(ISERROR(ROUND(POWER(1+H6,D6-F6)*(POWER(1+H6,F6)-1)/(POWER(1+H6,D6)-1),3)),0,ROUND(POWER(1+H6,D6-F6)*(POWER(1+H6,F6)-1)/(POWER(1+H6,D6)-1),3))</f>
        <v>0</v>
      </c>
      <c r="H6" s="802">
        <v>0.04</v>
      </c>
      <c r="I6" s="802">
        <v>4.4999999999999998E-2</v>
      </c>
      <c r="J6" s="74">
        <v>8.5000000000000006E-2</v>
      </c>
      <c r="K6" s="1254">
        <f>SUMIF('数据-汇总表'!C$19:C$33,A6,'数据-汇总表'!E$19:E$33)</f>
        <v>124.73</v>
      </c>
      <c r="L6" s="803">
        <v>3000</v>
      </c>
      <c r="M6" s="75">
        <f t="shared" ref="M6:M14" si="0">ROUND(K6*L6/10000,0)</f>
        <v>37</v>
      </c>
      <c r="N6" s="801">
        <f>ROUND(1-(1-0%)*(2018-2004)/60,2)</f>
        <v>0.77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3</v>
      </c>
      <c r="V6" s="79">
        <v>0.03</v>
      </c>
      <c r="W6" s="79">
        <v>0.1</v>
      </c>
      <c r="X6" s="1264"/>
      <c r="Y6" s="80">
        <f>N6</f>
        <v>0.77</v>
      </c>
      <c r="Z6" s="81"/>
      <c r="AA6" s="74"/>
      <c r="AB6" s="74"/>
      <c r="AC6" s="1264"/>
      <c r="AD6" s="82"/>
      <c r="AE6" s="1265">
        <f ca="1">IF(AN6="",0,SUMIF(INDIRECT("'"&amp;AN6&amp;"'"&amp;"!E:E"),$AE$5,INDIRECT("'"&amp;AN6&amp;"'"&amp;"!F:F")))</f>
        <v>42</v>
      </c>
      <c r="AF6" s="1806"/>
      <c r="AG6" s="147">
        <f>IF(AF6="",0,AE6-AF6)</f>
        <v>0</v>
      </c>
      <c r="AH6" s="83"/>
      <c r="AI6" s="85">
        <v>365</v>
      </c>
      <c r="AJ6" s="86"/>
      <c r="AK6" s="87">
        <v>1.4999999999999999E-2</v>
      </c>
      <c r="AL6" s="88">
        <v>1.5E-3</v>
      </c>
      <c r="AM6" s="89">
        <v>0.01</v>
      </c>
      <c r="AN6" s="2311" t="s">
        <v>3057</v>
      </c>
      <c r="AO6" s="55">
        <f ca="1">SUMIF(INDIRECT("'"&amp;AN6&amp;"'"&amp;"!A:A"),"总价",INDIRECT("'"&amp;AN6&amp;"'"&amp;"!B:B"))</f>
        <v>322</v>
      </c>
      <c r="AP6" s="2312">
        <f>IF(C6="住宅",K6*L6,0)</f>
        <v>374190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2006</v>
      </c>
      <c r="B14" s="2309" t="s">
        <v>2007</v>
      </c>
      <c r="C14" s="2314"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2008</v>
      </c>
      <c r="B15" s="2309" t="s">
        <v>2007</v>
      </c>
      <c r="C15" s="2314"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2010</v>
      </c>
      <c r="B16" s="97"/>
      <c r="C16" s="1008"/>
      <c r="D16" s="2316"/>
      <c r="E16" s="97"/>
      <c r="F16" s="97"/>
      <c r="G16" s="98" t="e">
        <f>ROUND(SUMPRODUCT(G6:G13,K6:K13)/SUMPRODUCT((G6:G13&gt;0)*(K6:K13)),3)</f>
        <v>#DIV/0!</v>
      </c>
      <c r="H16" s="99">
        <f>ROUND(SUMPRODUCT(H6:H13,K6:K13)/SUMPRODUCT((H6:H13&gt;0)*(K6:K13)),3)</f>
        <v>0.04</v>
      </c>
      <c r="I16" s="100"/>
      <c r="J16" s="100"/>
      <c r="K16" s="101">
        <f>SUM(K6:K15)</f>
        <v>124.73</v>
      </c>
      <c r="L16" s="102">
        <f>ROUND(M16*10000/SUM(K6:K14),0)</f>
        <v>2966</v>
      </c>
      <c r="M16" s="102">
        <f>SUM(M6:M14)</f>
        <v>37</v>
      </c>
      <c r="N16" s="103">
        <f>ROUND(SUMPRODUCT(M6:M14,N6:N14)/M16,3)</f>
        <v>0.77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2012</v>
      </c>
      <c r="B19" s="112">
        <v>0</v>
      </c>
      <c r="C19" s="2279" t="s">
        <v>2013</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2014</v>
      </c>
      <c r="B20" s="113">
        <v>2</v>
      </c>
      <c r="C20" s="2279" t="s">
        <v>2015</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2016</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2017</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2018</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2019</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2020</v>
      </c>
      <c r="B26" s="2322" t="s">
        <v>2021</v>
      </c>
      <c r="C26" s="2323" t="s">
        <v>2022</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2023</v>
      </c>
      <c r="B27" s="116">
        <v>200</v>
      </c>
      <c r="C27" s="1767" t="s">
        <v>2024</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2025</v>
      </c>
      <c r="B28" s="119"/>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2026</v>
      </c>
      <c r="B29" s="121">
        <f>ROUND(B27*K16/10000,0)</f>
        <v>2</v>
      </c>
      <c r="C29" s="1767" t="s">
        <v>2027</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2028</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2029</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2030</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2031</v>
      </c>
      <c r="B33" s="726">
        <v>0.03</v>
      </c>
      <c r="C33" s="1766" t="s">
        <v>2032</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2033</v>
      </c>
      <c r="B34" s="122">
        <v>0.05</v>
      </c>
      <c r="C34" s="1766" t="s">
        <v>2034</v>
      </c>
      <c r="D34" s="2280" t="s">
        <v>2035</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2036</v>
      </c>
      <c r="B35" s="119">
        <v>200</v>
      </c>
      <c r="C35" s="1766" t="s">
        <v>2037</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2038</v>
      </c>
      <c r="B36" s="123">
        <v>1.4999999999999999E-2</v>
      </c>
      <c r="C36" s="1766" t="s">
        <v>2039</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2040</v>
      </c>
      <c r="B37" s="124">
        <v>0.02</v>
      </c>
      <c r="C37" s="1766" t="s">
        <v>2041</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2042</v>
      </c>
      <c r="B38" s="122">
        <v>0.02</v>
      </c>
      <c r="C38" s="1766" t="s">
        <v>2041</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2043</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2044</v>
      </c>
      <c r="B40" s="1303">
        <f ca="1">存贷款利率!G1</f>
        <v>4.7500000000000001E-2</v>
      </c>
      <c r="C40" s="1766" t="s">
        <v>2045</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2046</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2047</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2048</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2049</v>
      </c>
      <c r="B44" s="128">
        <v>7.0000000000000007E-2</v>
      </c>
      <c r="C44" s="1766" t="s">
        <v>2050</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2051</v>
      </c>
      <c r="B45" s="126">
        <v>0.03</v>
      </c>
      <c r="C45" s="1767" t="s">
        <v>2052</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2053</v>
      </c>
      <c r="B46" s="126">
        <v>0.02</v>
      </c>
      <c r="C46" s="1767" t="s">
        <v>2054</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2055</v>
      </c>
      <c r="B47" s="129">
        <v>0</v>
      </c>
      <c r="C47" s="1767" t="s">
        <v>2056</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2057</v>
      </c>
      <c r="B48" s="130">
        <v>0.03</v>
      </c>
      <c r="C48" s="1773" t="s">
        <v>2058</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2059</v>
      </c>
      <c r="B49" s="126">
        <v>5.0000000000000001E-4</v>
      </c>
      <c r="C49" s="1773" t="s">
        <v>2060</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2061</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2062</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2063</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2064</v>
      </c>
      <c r="B53" s="2338" t="s">
        <v>523</v>
      </c>
      <c r="C53" s="1430" t="s">
        <v>2065</v>
      </c>
      <c r="D53" s="2339" t="s">
        <v>2066</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2067</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2068</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2069</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2070</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2071</v>
      </c>
      <c r="B58" s="2943">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2072</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2073</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2074</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2075</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2076</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7" sqref="G37"/>
    </sheetView>
  </sheetViews>
  <sheetFormatPr defaultRowHeight="14.25"/>
  <cols>
    <col min="1" max="1" width="9.5" style="2371"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0"/>
    <col min="30" max="16384" width="9" style="2371"/>
  </cols>
  <sheetData>
    <row r="1" spans="1:29" s="2364" customFormat="1" ht="19.5" thickBot="1">
      <c r="A1" s="3051" t="s">
        <v>2077</v>
      </c>
      <c r="B1" s="3052"/>
      <c r="C1" s="3052"/>
      <c r="D1" s="3052"/>
      <c r="E1" s="3052"/>
      <c r="F1" s="3052"/>
      <c r="G1" s="3052"/>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2078</v>
      </c>
      <c r="D2" s="2368"/>
      <c r="E2" s="2369"/>
      <c r="F2" s="2288"/>
      <c r="G2" s="2367" t="s">
        <v>2079</v>
      </c>
      <c r="H2" s="2370"/>
      <c r="I2" s="2370"/>
      <c r="J2" s="2370"/>
      <c r="K2" s="2370"/>
      <c r="L2" s="2370"/>
      <c r="M2" s="2370"/>
      <c r="N2" s="2370"/>
      <c r="O2" s="2370"/>
      <c r="P2" s="2370"/>
      <c r="Q2" s="2370"/>
      <c r="R2" s="2370"/>
    </row>
    <row r="3" spans="1:29" ht="27">
      <c r="A3" s="415" t="s">
        <v>2080</v>
      </c>
      <c r="B3" s="1271" t="s">
        <v>2081</v>
      </c>
      <c r="C3" s="2944" t="s">
        <v>3059</v>
      </c>
      <c r="D3" s="2372"/>
      <c r="E3" s="431" t="s">
        <v>2080</v>
      </c>
      <c r="F3" s="2373" t="s">
        <v>2082</v>
      </c>
      <c r="G3" s="2374"/>
      <c r="H3" s="2370"/>
      <c r="I3" s="2370"/>
      <c r="J3" s="2370"/>
      <c r="K3" s="2370"/>
      <c r="L3" s="2370"/>
      <c r="M3" s="2370"/>
      <c r="N3" s="2370"/>
      <c r="O3" s="2370"/>
      <c r="P3" s="2370"/>
      <c r="Q3" s="2370"/>
      <c r="R3" s="2370"/>
    </row>
    <row r="4" spans="1:29" ht="15">
      <c r="A4" s="431"/>
      <c r="B4" s="1797" t="s">
        <v>2083</v>
      </c>
      <c r="C4" s="2375"/>
      <c r="D4" s="2372"/>
      <c r="E4" s="2376"/>
      <c r="F4" s="42" t="s">
        <v>2084</v>
      </c>
      <c r="G4" s="2377"/>
      <c r="H4" s="2370"/>
      <c r="I4" s="2370"/>
      <c r="J4" s="2370"/>
      <c r="K4" s="2370"/>
      <c r="L4" s="2370"/>
      <c r="M4" s="2370"/>
      <c r="N4" s="2370"/>
      <c r="O4" s="2370"/>
      <c r="P4" s="2370"/>
      <c r="Q4" s="2370"/>
      <c r="R4" s="2370"/>
    </row>
    <row r="5" spans="1:29" ht="15">
      <c r="A5" s="431"/>
      <c r="B5" s="1797" t="s">
        <v>2085</v>
      </c>
      <c r="C5" s="2375"/>
      <c r="D5" s="2372"/>
      <c r="E5" s="2376"/>
      <c r="F5" s="1797" t="s">
        <v>2086</v>
      </c>
      <c r="G5" s="2377"/>
      <c r="H5" s="2370"/>
      <c r="I5" s="2370"/>
      <c r="J5" s="2370"/>
      <c r="K5" s="2370"/>
      <c r="L5" s="2370"/>
      <c r="M5" s="2370"/>
      <c r="N5" s="2370"/>
      <c r="O5" s="2370"/>
      <c r="P5" s="2370"/>
      <c r="Q5" s="2370"/>
      <c r="R5" s="2370"/>
    </row>
    <row r="6" spans="1:29" ht="15">
      <c r="A6" s="431"/>
      <c r="B6" s="1797" t="s">
        <v>2087</v>
      </c>
      <c r="C6" s="2945" t="s">
        <v>3060</v>
      </c>
      <c r="D6" s="2372"/>
      <c r="E6" s="2376"/>
      <c r="F6" s="1797" t="s">
        <v>2088</v>
      </c>
      <c r="G6" s="2377"/>
      <c r="H6" s="2370"/>
      <c r="I6" s="2370"/>
      <c r="J6" s="2370"/>
      <c r="K6" s="2370"/>
      <c r="L6" s="2370"/>
      <c r="M6" s="2370"/>
      <c r="N6" s="2370"/>
      <c r="O6" s="2370"/>
      <c r="P6" s="2370"/>
      <c r="Q6" s="2370"/>
      <c r="R6" s="2370"/>
    </row>
    <row r="7" spans="1:29" ht="15.75" thickBot="1">
      <c r="A7" s="431"/>
      <c r="B7" s="1797" t="s">
        <v>2086</v>
      </c>
      <c r="C7" s="2945" t="s">
        <v>3060</v>
      </c>
      <c r="D7" s="2378"/>
      <c r="E7" s="2379"/>
      <c r="F7" s="2380" t="s">
        <v>2089</v>
      </c>
      <c r="G7" s="2381"/>
      <c r="H7" s="2370"/>
      <c r="I7" s="2370"/>
      <c r="J7" s="2370"/>
      <c r="K7" s="2370"/>
      <c r="L7" s="2370"/>
      <c r="M7" s="2370"/>
      <c r="N7" s="2370"/>
      <c r="O7" s="2370"/>
      <c r="P7" s="2370"/>
      <c r="Q7" s="2370"/>
      <c r="R7" s="2370"/>
    </row>
    <row r="8" spans="1:29" ht="15">
      <c r="A8" s="431"/>
      <c r="B8" s="1797" t="s">
        <v>2088</v>
      </c>
      <c r="C8" s="2945" t="s">
        <v>3062</v>
      </c>
      <c r="D8" s="2378"/>
      <c r="E8" s="2378"/>
      <c r="F8" s="1136"/>
      <c r="G8" s="1136"/>
      <c r="H8" s="2370"/>
      <c r="I8" s="2370"/>
      <c r="J8" s="2370"/>
      <c r="K8" s="2370"/>
      <c r="L8" s="2370"/>
      <c r="M8" s="2370"/>
      <c r="N8" s="2370"/>
      <c r="O8" s="2370"/>
      <c r="P8" s="2370"/>
      <c r="Q8" s="2370"/>
      <c r="R8" s="2370"/>
    </row>
    <row r="9" spans="1:29" ht="15">
      <c r="A9" s="431"/>
      <c r="B9" s="1797" t="s">
        <v>2090</v>
      </c>
      <c r="C9" s="2946" t="s">
        <v>3060</v>
      </c>
      <c r="D9" s="2372"/>
      <c r="E9" s="2378"/>
      <c r="F9" s="1136"/>
      <c r="G9" s="1136"/>
      <c r="H9" s="2370"/>
      <c r="I9" s="2370"/>
      <c r="J9" s="2370"/>
      <c r="K9" s="2370"/>
      <c r="L9" s="2370"/>
      <c r="M9" s="2370"/>
      <c r="N9" s="2370"/>
      <c r="O9" s="2370"/>
      <c r="P9" s="2370"/>
      <c r="Q9" s="2370"/>
      <c r="R9" s="2370"/>
    </row>
    <row r="10" spans="1:29" s="117" customFormat="1" ht="15.75" thickBot="1">
      <c r="A10" s="2382"/>
      <c r="B10" s="2383" t="s">
        <v>2091</v>
      </c>
      <c r="C10" s="2384"/>
      <c r="D10" s="2372"/>
      <c r="E10" s="2372"/>
      <c r="F10" s="1136"/>
      <c r="G10" s="1136"/>
      <c r="H10" s="2385"/>
      <c r="I10" s="2386"/>
      <c r="J10" s="2387"/>
      <c r="K10" s="2385"/>
      <c r="L10" s="2386"/>
      <c r="M10" s="2387"/>
      <c r="N10" s="2385"/>
      <c r="O10" s="2386"/>
      <c r="P10" s="2387"/>
      <c r="Q10" s="2385"/>
      <c r="R10" s="2386"/>
      <c r="S10" s="2370"/>
      <c r="T10" s="2370"/>
      <c r="U10" s="2370"/>
      <c r="V10" s="2370"/>
      <c r="W10" s="2370"/>
      <c r="X10" s="2370"/>
      <c r="Y10" s="2370"/>
      <c r="Z10" s="2370"/>
      <c r="AA10" s="2370"/>
      <c r="AB10" s="2370"/>
      <c r="AC10" s="2370"/>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70"/>
      <c r="T11" s="2370"/>
      <c r="U11" s="2370"/>
      <c r="V11" s="2370"/>
      <c r="W11" s="2370"/>
      <c r="X11" s="2370"/>
      <c r="Y11" s="2370"/>
      <c r="Z11" s="2370"/>
      <c r="AA11" s="2370"/>
      <c r="AB11" s="2370"/>
      <c r="AC11" s="2370"/>
    </row>
    <row r="12" spans="1:29" s="2364" customFormat="1" ht="18">
      <c r="A12" s="2388"/>
      <c r="B12" s="2378"/>
      <c r="C12" s="2372"/>
      <c r="D12" s="2389"/>
      <c r="E12" s="2372"/>
      <c r="F12" s="2378"/>
      <c r="G12" s="1154"/>
      <c r="H12" s="2390"/>
      <c r="I12" s="2391"/>
      <c r="J12" s="2390"/>
      <c r="K12" s="2390"/>
      <c r="L12" s="2392"/>
      <c r="M12" s="2390"/>
      <c r="N12" s="2393"/>
      <c r="O12" s="2394"/>
      <c r="P12" s="2393"/>
      <c r="Q12" s="2393"/>
      <c r="R12" s="2362"/>
      <c r="S12" s="2363"/>
      <c r="T12" s="2363"/>
      <c r="U12" s="2363"/>
      <c r="V12" s="2363"/>
      <c r="W12" s="2363"/>
      <c r="X12" s="2363"/>
      <c r="Y12" s="2363"/>
      <c r="Z12" s="2363"/>
      <c r="AA12" s="2363"/>
      <c r="AB12" s="2363"/>
      <c r="AC12" s="2363"/>
    </row>
    <row r="13" spans="1:29" ht="19.5" thickBot="1">
      <c r="A13" s="2395" t="s">
        <v>2092</v>
      </c>
      <c r="B13" s="2389"/>
      <c r="C13" s="2389"/>
      <c r="D13" s="2396"/>
      <c r="E13" s="2389"/>
      <c r="F13" s="2389"/>
      <c r="G13" s="2389"/>
    </row>
    <row r="14" spans="1:29" ht="15.75" thickBot="1">
      <c r="A14" s="2400"/>
      <c r="B14" s="2401"/>
      <c r="C14" s="2402" t="s">
        <v>2093</v>
      </c>
      <c r="D14" s="2372"/>
      <c r="E14" s="2403"/>
      <c r="F14" s="2403"/>
      <c r="G14" s="2367" t="s">
        <v>2094</v>
      </c>
    </row>
    <row r="15" spans="1:29" ht="27">
      <c r="A15" s="68" t="s">
        <v>2095</v>
      </c>
      <c r="B15" s="1270" t="s">
        <v>2081</v>
      </c>
      <c r="C15" s="2404" t="str">
        <f>C3</f>
        <v>较好</v>
      </c>
      <c r="D15" s="2372"/>
      <c r="E15" s="2405" t="s">
        <v>2096</v>
      </c>
      <c r="F15" s="1270" t="s">
        <v>2097</v>
      </c>
      <c r="G15" s="135">
        <f>G3</f>
        <v>0</v>
      </c>
    </row>
    <row r="16" spans="1:29" ht="15">
      <c r="A16" s="645"/>
      <c r="B16" s="2406" t="s">
        <v>2083</v>
      </c>
      <c r="C16" s="2407">
        <f>C4</f>
        <v>0</v>
      </c>
      <c r="D16" s="2372"/>
      <c r="E16" s="2408"/>
      <c r="F16" s="2409" t="s">
        <v>2084</v>
      </c>
      <c r="G16" s="136">
        <f>G4</f>
        <v>0</v>
      </c>
    </row>
    <row r="17" spans="1:18" ht="15">
      <c r="A17" s="645"/>
      <c r="B17" s="2406" t="s">
        <v>2085</v>
      </c>
      <c r="C17" s="2407">
        <f>C5</f>
        <v>0</v>
      </c>
      <c r="D17" s="2378"/>
      <c r="E17" s="2408"/>
      <c r="F17" s="2409" t="s">
        <v>2098</v>
      </c>
      <c r="G17" s="1572"/>
    </row>
    <row r="18" spans="1:18" ht="15">
      <c r="A18" s="645"/>
      <c r="B18" s="2409" t="s">
        <v>2087</v>
      </c>
      <c r="C18" s="136" t="str">
        <f>C6</f>
        <v>较好</v>
      </c>
      <c r="D18" s="2378"/>
      <c r="E18" s="2408"/>
      <c r="F18" s="2409" t="s">
        <v>2089</v>
      </c>
      <c r="G18" s="136">
        <f>G7</f>
        <v>0</v>
      </c>
    </row>
    <row r="19" spans="1:18" ht="15">
      <c r="A19" s="645"/>
      <c r="B19" s="2409" t="s">
        <v>2099</v>
      </c>
      <c r="C19" s="1572"/>
      <c r="D19" s="2372"/>
      <c r="E19" s="2408"/>
      <c r="F19" s="1797" t="s">
        <v>2086</v>
      </c>
      <c r="G19" s="136">
        <f>G5</f>
        <v>0</v>
      </c>
    </row>
    <row r="20" spans="1:18" ht="15">
      <c r="A20" s="645"/>
      <c r="B20" s="2409" t="s">
        <v>2100</v>
      </c>
      <c r="C20" s="2407" t="str">
        <f>C9</f>
        <v>较好</v>
      </c>
      <c r="D20" s="2378"/>
      <c r="E20" s="2408"/>
      <c r="F20" s="1797" t="s">
        <v>2101</v>
      </c>
      <c r="G20" s="136">
        <f>G6</f>
        <v>0</v>
      </c>
    </row>
    <row r="21" spans="1:18" ht="15">
      <c r="A21" s="645"/>
      <c r="B21" s="1797" t="s">
        <v>2086</v>
      </c>
      <c r="C21" s="136" t="str">
        <f>C7</f>
        <v>较好</v>
      </c>
      <c r="D21" s="2372"/>
      <c r="E21" s="2408"/>
      <c r="F21" s="2409" t="s">
        <v>2102</v>
      </c>
      <c r="G21" s="2410"/>
    </row>
    <row r="22" spans="1:18" ht="13.5" customHeight="1">
      <c r="A22" s="645"/>
      <c r="B22" s="1797" t="s">
        <v>2088</v>
      </c>
      <c r="C22" s="136" t="str">
        <f>C8</f>
        <v>七通</v>
      </c>
      <c r="D22" s="2372"/>
      <c r="E22" s="2408"/>
      <c r="F22" s="2409" t="s">
        <v>2091</v>
      </c>
      <c r="G22" s="1572"/>
    </row>
    <row r="23" spans="1:18" s="2370" customFormat="1" ht="15.75" thickBot="1">
      <c r="A23" s="645"/>
      <c r="B23" s="2409" t="s">
        <v>2102</v>
      </c>
      <c r="C23" s="2410"/>
      <c r="D23" s="2397"/>
      <c r="E23" s="2411"/>
      <c r="F23" s="2412" t="s">
        <v>2103</v>
      </c>
      <c r="G23" s="2413"/>
      <c r="H23" s="2397"/>
      <c r="I23" s="2398"/>
      <c r="J23" s="2397"/>
      <c r="K23" s="2397"/>
      <c r="L23" s="2398"/>
      <c r="M23" s="2397"/>
      <c r="N23" s="2397"/>
      <c r="O23" s="2398"/>
      <c r="P23" s="2397"/>
      <c r="Q23" s="2397"/>
      <c r="R23" s="2399"/>
    </row>
    <row r="24" spans="1:18" s="2370" customFormat="1" ht="15.75" thickBot="1">
      <c r="A24" s="2414"/>
      <c r="B24" s="2412" t="s">
        <v>2104</v>
      </c>
      <c r="C24" s="137">
        <f>C10</f>
        <v>0</v>
      </c>
      <c r="D24" s="2397"/>
      <c r="E24" s="2415"/>
      <c r="F24" s="2415"/>
      <c r="G24" s="2416"/>
      <c r="H24" s="2397"/>
      <c r="I24" s="2398"/>
      <c r="J24" s="2397"/>
      <c r="K24" s="2397"/>
      <c r="L24" s="2398"/>
      <c r="M24" s="2397"/>
      <c r="N24" s="2397"/>
      <c r="O24" s="2398"/>
      <c r="P24" s="2397"/>
      <c r="Q24" s="2397"/>
      <c r="R24" s="2399"/>
    </row>
    <row r="25" spans="1:18" s="2370" customFormat="1">
      <c r="B25" s="2397"/>
      <c r="C25" s="2397"/>
      <c r="D25" s="2397"/>
      <c r="H25" s="2397"/>
      <c r="I25" s="2398"/>
      <c r="J25" s="2397"/>
      <c r="K25" s="2397"/>
      <c r="L25" s="2398"/>
      <c r="M25" s="2397"/>
      <c r="N25" s="2397"/>
      <c r="O25" s="2398"/>
      <c r="P25" s="2397"/>
      <c r="Q25" s="2397"/>
      <c r="R25" s="2399"/>
    </row>
    <row r="26" spans="1:18" s="2370" customFormat="1">
      <c r="B26" s="2397"/>
      <c r="C26" s="2397"/>
      <c r="D26" s="2397"/>
      <c r="H26" s="2397"/>
      <c r="I26" s="2398"/>
      <c r="J26" s="2397"/>
      <c r="K26" s="2397"/>
      <c r="L26" s="2398"/>
      <c r="M26" s="2397"/>
      <c r="N26" s="2397"/>
      <c r="O26" s="2398"/>
      <c r="P26" s="2397"/>
      <c r="Q26" s="2397"/>
      <c r="R26" s="2399"/>
    </row>
    <row r="27" spans="1:18" s="2370" customFormat="1">
      <c r="B27" s="2397"/>
      <c r="C27" s="2397"/>
      <c r="D27" s="2397"/>
      <c r="H27" s="2397"/>
      <c r="I27" s="2398"/>
      <c r="J27" s="2397"/>
      <c r="K27" s="2397"/>
      <c r="L27" s="2398"/>
      <c r="M27" s="2397"/>
      <c r="N27" s="2397"/>
      <c r="O27" s="2398"/>
      <c r="P27" s="2397"/>
      <c r="Q27" s="2397"/>
      <c r="R27" s="2399"/>
    </row>
    <row r="28" spans="1:18" s="2370" customFormat="1">
      <c r="B28" s="2397"/>
      <c r="C28" s="2397"/>
      <c r="D28" s="2397"/>
      <c r="H28" s="2397"/>
      <c r="I28" s="2398"/>
      <c r="J28" s="2397"/>
      <c r="K28" s="2397"/>
      <c r="L28" s="2398"/>
      <c r="M28" s="2397"/>
      <c r="N28" s="2397"/>
      <c r="O28" s="2398"/>
      <c r="P28" s="2397"/>
      <c r="Q28" s="2397"/>
      <c r="R28" s="2399"/>
    </row>
    <row r="29" spans="1:18" s="2370" customFormat="1">
      <c r="B29" s="2397"/>
      <c r="C29" s="2397"/>
      <c r="D29" s="2397"/>
      <c r="H29" s="2397"/>
      <c r="I29" s="2398"/>
      <c r="J29" s="2397"/>
      <c r="K29" s="2397"/>
      <c r="L29" s="2398"/>
      <c r="M29" s="2397"/>
      <c r="N29" s="2397"/>
      <c r="O29" s="2398"/>
      <c r="P29" s="2397"/>
      <c r="Q29" s="2397"/>
      <c r="R29" s="2399"/>
    </row>
    <row r="30" spans="1:18" s="2370" customFormat="1">
      <c r="B30" s="2397"/>
      <c r="C30" s="2397"/>
      <c r="D30" s="2397"/>
      <c r="H30" s="2397"/>
      <c r="I30" s="2398"/>
      <c r="J30" s="2397"/>
      <c r="K30" s="2397"/>
      <c r="L30" s="2398"/>
      <c r="M30" s="2397"/>
      <c r="N30" s="2397"/>
      <c r="O30" s="2398"/>
      <c r="P30" s="2397"/>
      <c r="Q30" s="2397"/>
      <c r="R30" s="2399"/>
    </row>
    <row r="31" spans="1:18" s="2370" customFormat="1">
      <c r="B31" s="2397"/>
      <c r="C31" s="2397"/>
      <c r="D31" s="2397"/>
      <c r="H31" s="2397"/>
      <c r="I31" s="2398"/>
      <c r="J31" s="2397"/>
      <c r="K31" s="2397"/>
      <c r="L31" s="2398"/>
      <c r="M31" s="2397"/>
      <c r="N31" s="2397"/>
      <c r="O31" s="2398"/>
      <c r="P31" s="2397"/>
      <c r="Q31" s="2397"/>
      <c r="R31" s="2399"/>
    </row>
    <row r="32" spans="1:18" s="2370" customFormat="1">
      <c r="B32" s="2397"/>
      <c r="C32" s="2397"/>
      <c r="D32" s="2397"/>
      <c r="H32" s="2397"/>
      <c r="I32" s="2398"/>
      <c r="J32" s="2397"/>
      <c r="K32" s="2397"/>
      <c r="L32" s="2398"/>
      <c r="M32" s="2397"/>
      <c r="N32" s="2397"/>
      <c r="O32" s="2398"/>
      <c r="P32" s="2397"/>
      <c r="Q32" s="2397"/>
      <c r="R32" s="2399"/>
    </row>
    <row r="33" spans="2:18" s="2370" customFormat="1">
      <c r="B33" s="2397"/>
      <c r="C33" s="2397"/>
      <c r="D33" s="2397"/>
      <c r="H33" s="2397"/>
      <c r="I33" s="2398"/>
      <c r="J33" s="2397"/>
      <c r="K33" s="2397"/>
      <c r="L33" s="2398"/>
      <c r="M33" s="2397"/>
      <c r="N33" s="2397"/>
      <c r="O33" s="2398"/>
      <c r="P33" s="2397"/>
      <c r="Q33" s="2397"/>
      <c r="R33" s="2399"/>
    </row>
    <row r="34" spans="2:18" s="2370" customFormat="1">
      <c r="B34" s="2397"/>
      <c r="C34" s="2397"/>
      <c r="D34" s="2397"/>
      <c r="H34" s="2397"/>
      <c r="I34" s="2398"/>
      <c r="J34" s="2397"/>
      <c r="K34" s="2397"/>
      <c r="L34" s="2398"/>
      <c r="M34" s="2397"/>
      <c r="N34" s="2397"/>
      <c r="O34" s="2398"/>
      <c r="P34" s="2397"/>
      <c r="Q34" s="2397"/>
      <c r="R34" s="2399"/>
    </row>
    <row r="35" spans="2:18" s="2370" customFormat="1">
      <c r="B35" s="2397"/>
      <c r="C35" s="2397"/>
      <c r="D35" s="2397"/>
      <c r="H35" s="2397"/>
      <c r="I35" s="2398"/>
      <c r="J35" s="2397"/>
      <c r="K35" s="2397"/>
      <c r="L35" s="2398"/>
      <c r="M35" s="2397"/>
      <c r="N35" s="2397"/>
      <c r="O35" s="2398"/>
      <c r="P35" s="2397"/>
      <c r="Q35" s="2397"/>
      <c r="R35" s="2399"/>
    </row>
    <row r="36" spans="2:18" s="2370" customFormat="1">
      <c r="B36" s="2397"/>
      <c r="C36" s="2397"/>
      <c r="D36" s="2397"/>
      <c r="H36" s="2397"/>
      <c r="I36" s="2398"/>
      <c r="J36" s="2397"/>
      <c r="K36" s="2397"/>
      <c r="L36" s="2398"/>
      <c r="M36" s="2397"/>
      <c r="N36" s="2397"/>
      <c r="O36" s="2398"/>
      <c r="P36" s="2397"/>
      <c r="Q36" s="2397"/>
      <c r="R36" s="2399"/>
    </row>
    <row r="37" spans="2:18" s="2370" customFormat="1">
      <c r="B37" s="2397"/>
      <c r="C37" s="2397"/>
      <c r="D37" s="2397"/>
      <c r="H37" s="2397"/>
      <c r="I37" s="2398"/>
      <c r="J37" s="2397"/>
      <c r="K37" s="2397"/>
      <c r="L37" s="2398"/>
      <c r="M37" s="2397"/>
      <c r="N37" s="2397"/>
      <c r="O37" s="2398"/>
      <c r="P37" s="2397"/>
      <c r="Q37" s="2397"/>
      <c r="R37" s="2399"/>
    </row>
    <row r="38" spans="2:18" s="2370" customFormat="1">
      <c r="B38" s="2397"/>
      <c r="C38" s="2397"/>
      <c r="D38" s="2397"/>
      <c r="E38" s="2397"/>
      <c r="F38" s="2397"/>
      <c r="G38" s="2398"/>
      <c r="H38" s="2397"/>
      <c r="I38" s="2398"/>
      <c r="J38" s="2397"/>
      <c r="K38" s="2397"/>
      <c r="L38" s="2398"/>
      <c r="M38" s="2397"/>
      <c r="N38" s="2397"/>
      <c r="O38" s="2398"/>
      <c r="P38" s="2397"/>
      <c r="Q38" s="2397"/>
      <c r="R38" s="2399"/>
    </row>
    <row r="39" spans="2:18" s="2370" customFormat="1">
      <c r="B39" s="2397"/>
      <c r="C39" s="2397"/>
      <c r="D39" s="2397"/>
      <c r="E39" s="2397"/>
      <c r="F39" s="2397"/>
      <c r="G39" s="2398"/>
      <c r="H39" s="2397"/>
      <c r="I39" s="2398"/>
      <c r="J39" s="2397"/>
      <c r="K39" s="2397"/>
      <c r="L39" s="2398"/>
      <c r="M39" s="2397"/>
      <c r="N39" s="2397"/>
      <c r="O39" s="2398"/>
      <c r="P39" s="2397"/>
      <c r="Q39" s="2397"/>
      <c r="R39" s="2399"/>
    </row>
    <row r="40" spans="2:18" s="2370" customFormat="1">
      <c r="B40" s="2397"/>
      <c r="C40" s="2397"/>
      <c r="D40" s="2397"/>
      <c r="E40" s="2397"/>
      <c r="F40" s="2397"/>
      <c r="G40" s="2398"/>
      <c r="H40" s="2397"/>
      <c r="I40" s="2398"/>
      <c r="J40" s="2397"/>
      <c r="K40" s="2397"/>
      <c r="L40" s="2398"/>
      <c r="M40" s="2397"/>
      <c r="N40" s="2397"/>
      <c r="O40" s="2398"/>
      <c r="P40" s="2397"/>
      <c r="Q40" s="2397"/>
      <c r="R40" s="2399"/>
    </row>
    <row r="41" spans="2:18" s="2370" customFormat="1">
      <c r="B41" s="2397"/>
      <c r="C41" s="2397"/>
      <c r="D41" s="2397"/>
      <c r="E41" s="2397"/>
      <c r="F41" s="2397"/>
      <c r="G41" s="2398"/>
      <c r="H41" s="2397"/>
      <c r="I41" s="2398"/>
      <c r="J41" s="2397"/>
      <c r="K41" s="2397"/>
      <c r="L41" s="2398"/>
      <c r="M41" s="2397"/>
      <c r="N41" s="2397"/>
      <c r="O41" s="2398"/>
      <c r="P41" s="2397"/>
      <c r="Q41" s="2397"/>
      <c r="R41" s="2399"/>
    </row>
    <row r="42" spans="2:18" s="2370" customFormat="1">
      <c r="B42" s="2397"/>
      <c r="C42" s="2397"/>
      <c r="D42" s="2397"/>
      <c r="E42" s="2397"/>
      <c r="F42" s="2397"/>
      <c r="G42" s="2398"/>
      <c r="H42" s="2397"/>
      <c r="I42" s="2398"/>
      <c r="J42" s="2397"/>
      <c r="K42" s="2397"/>
      <c r="L42" s="2398"/>
      <c r="M42" s="2397"/>
      <c r="N42" s="2397"/>
      <c r="O42" s="2398"/>
      <c r="P42" s="2397"/>
      <c r="Q42" s="2397"/>
      <c r="R42" s="2399"/>
    </row>
    <row r="43" spans="2:18" s="2370" customFormat="1">
      <c r="B43" s="2397"/>
      <c r="C43" s="2397"/>
      <c r="D43" s="2397"/>
      <c r="E43" s="2397"/>
      <c r="F43" s="2397"/>
      <c r="G43" s="2398"/>
      <c r="H43" s="2397"/>
      <c r="I43" s="2398"/>
      <c r="J43" s="2397"/>
      <c r="K43" s="2397"/>
      <c r="L43" s="2398"/>
      <c r="M43" s="2397"/>
      <c r="N43" s="2397"/>
      <c r="O43" s="2398"/>
      <c r="P43" s="2397"/>
      <c r="Q43" s="2397"/>
      <c r="R43" s="2399"/>
    </row>
    <row r="44" spans="2:18" s="2370" customFormat="1">
      <c r="B44" s="2397"/>
      <c r="C44" s="2397"/>
      <c r="D44" s="2397"/>
      <c r="E44" s="2397"/>
      <c r="F44" s="2397"/>
      <c r="G44" s="2398"/>
      <c r="H44" s="2397"/>
      <c r="I44" s="2398"/>
      <c r="J44" s="2397"/>
      <c r="K44" s="2397"/>
      <c r="L44" s="2398"/>
      <c r="M44" s="2397"/>
      <c r="N44" s="2397"/>
      <c r="O44" s="2398"/>
      <c r="P44" s="2397"/>
      <c r="Q44" s="2397"/>
      <c r="R44" s="2399"/>
    </row>
    <row r="45" spans="2:18" s="2370" customFormat="1">
      <c r="B45" s="2397"/>
      <c r="C45" s="2397"/>
      <c r="D45" s="2397"/>
      <c r="E45" s="2397"/>
      <c r="F45" s="2397"/>
      <c r="G45" s="2398"/>
      <c r="H45" s="2397"/>
      <c r="I45" s="2398"/>
      <c r="J45" s="2397"/>
      <c r="K45" s="2397"/>
      <c r="L45" s="2398"/>
      <c r="M45" s="2397"/>
      <c r="N45" s="2397"/>
      <c r="O45" s="2398"/>
      <c r="P45" s="2397"/>
      <c r="Q45" s="2397"/>
      <c r="R45" s="2399"/>
    </row>
    <row r="46" spans="2:18" s="2370" customFormat="1">
      <c r="B46" s="2397"/>
      <c r="C46" s="2397"/>
      <c r="D46" s="2397"/>
      <c r="E46" s="2397"/>
      <c r="F46" s="2397"/>
      <c r="G46" s="2398"/>
      <c r="H46" s="2397"/>
      <c r="I46" s="2398"/>
      <c r="J46" s="2397"/>
      <c r="K46" s="2397"/>
      <c r="L46" s="2398"/>
      <c r="M46" s="2397"/>
      <c r="N46" s="2397"/>
      <c r="O46" s="2398"/>
      <c r="P46" s="2397"/>
      <c r="Q46" s="2397"/>
      <c r="R46" s="2399"/>
    </row>
    <row r="47" spans="2:18" s="2370" customFormat="1">
      <c r="B47" s="2397"/>
      <c r="C47" s="2397"/>
      <c r="D47" s="2397"/>
      <c r="E47" s="2397"/>
      <c r="F47" s="2397"/>
      <c r="G47" s="2398"/>
      <c r="H47" s="2397"/>
      <c r="I47" s="2398"/>
      <c r="J47" s="2397"/>
      <c r="K47" s="2397"/>
      <c r="L47" s="2398"/>
      <c r="M47" s="2397"/>
      <c r="N47" s="2397"/>
      <c r="O47" s="2398"/>
      <c r="P47" s="2397"/>
      <c r="Q47" s="2397"/>
      <c r="R47" s="2399"/>
    </row>
    <row r="48" spans="2:18" s="2370" customFormat="1">
      <c r="B48" s="2397"/>
      <c r="C48" s="2397"/>
      <c r="D48" s="2397"/>
      <c r="E48" s="2397"/>
      <c r="F48" s="2397"/>
      <c r="G48" s="2398"/>
      <c r="H48" s="2397"/>
      <c r="I48" s="2398"/>
      <c r="J48" s="2397"/>
      <c r="K48" s="2397"/>
      <c r="L48" s="2398"/>
      <c r="M48" s="2397"/>
      <c r="N48" s="2397"/>
      <c r="O48" s="2398"/>
      <c r="P48" s="2397"/>
      <c r="Q48" s="2397"/>
      <c r="R48" s="2399"/>
    </row>
    <row r="49" spans="2:18" s="2370" customFormat="1">
      <c r="B49" s="2397"/>
      <c r="C49" s="2397"/>
      <c r="D49" s="2397"/>
      <c r="E49" s="2397"/>
      <c r="F49" s="2397"/>
      <c r="G49" s="2398"/>
      <c r="H49" s="2397"/>
      <c r="I49" s="2398"/>
      <c r="J49" s="2397"/>
      <c r="K49" s="2397"/>
      <c r="L49" s="2398"/>
      <c r="M49" s="2397"/>
      <c r="N49" s="2397"/>
      <c r="O49" s="2398"/>
      <c r="P49" s="2397"/>
      <c r="Q49" s="2397"/>
      <c r="R49" s="2399"/>
    </row>
    <row r="50" spans="2:18" s="2370" customFormat="1">
      <c r="B50" s="2397"/>
      <c r="C50" s="2397"/>
      <c r="D50" s="2397"/>
      <c r="E50" s="2397"/>
      <c r="F50" s="2397"/>
      <c r="G50" s="2398"/>
      <c r="H50" s="2397"/>
      <c r="I50" s="2398"/>
      <c r="J50" s="2397"/>
      <c r="K50" s="2397"/>
      <c r="L50" s="2398"/>
      <c r="M50" s="2397"/>
      <c r="N50" s="2397"/>
      <c r="O50" s="2398"/>
      <c r="P50" s="2397"/>
      <c r="Q50" s="2397"/>
      <c r="R50" s="2399"/>
    </row>
    <row r="51" spans="2:18" s="2370" customFormat="1">
      <c r="B51" s="2397"/>
      <c r="C51" s="2397"/>
      <c r="D51" s="2397"/>
      <c r="E51" s="2397"/>
      <c r="F51" s="2397"/>
      <c r="G51" s="2398"/>
      <c r="H51" s="2397"/>
      <c r="I51" s="2398"/>
      <c r="J51" s="2397"/>
      <c r="K51" s="2397"/>
      <c r="L51" s="2398"/>
      <c r="M51" s="2397"/>
      <c r="N51" s="2397"/>
      <c r="O51" s="2398"/>
      <c r="P51" s="2397"/>
      <c r="Q51" s="2397"/>
      <c r="R51" s="2399"/>
    </row>
    <row r="52" spans="2:18" s="2370" customFormat="1">
      <c r="B52" s="2397"/>
      <c r="C52" s="2397"/>
      <c r="D52" s="2397"/>
      <c r="E52" s="2397"/>
      <c r="F52" s="2397"/>
      <c r="G52" s="2398"/>
      <c r="H52" s="2397"/>
      <c r="I52" s="2398"/>
      <c r="J52" s="2397"/>
      <c r="K52" s="2397"/>
      <c r="L52" s="2398"/>
      <c r="M52" s="2397"/>
      <c r="N52" s="2397"/>
      <c r="O52" s="2398"/>
      <c r="P52" s="2397"/>
      <c r="Q52" s="2397"/>
      <c r="R52" s="2399"/>
    </row>
    <row r="53" spans="2:18" s="2370" customFormat="1">
      <c r="B53" s="2397"/>
      <c r="C53" s="2397"/>
      <c r="D53" s="2397"/>
      <c r="E53" s="2397"/>
      <c r="F53" s="2397"/>
      <c r="G53" s="2398"/>
      <c r="H53" s="2397"/>
      <c r="I53" s="2398"/>
      <c r="J53" s="2397"/>
      <c r="K53" s="2397"/>
      <c r="L53" s="2398"/>
      <c r="M53" s="2397"/>
      <c r="N53" s="2397"/>
      <c r="O53" s="2398"/>
      <c r="P53" s="2397"/>
      <c r="Q53" s="2397"/>
      <c r="R53" s="2399"/>
    </row>
    <row r="54" spans="2:18" s="2370" customFormat="1">
      <c r="B54" s="2397"/>
      <c r="C54" s="2397"/>
      <c r="D54" s="2397"/>
      <c r="E54" s="2397"/>
      <c r="F54" s="2397"/>
      <c r="G54" s="2398"/>
      <c r="H54" s="2397"/>
      <c r="I54" s="2398"/>
      <c r="J54" s="2397"/>
      <c r="K54" s="2397"/>
      <c r="L54" s="2398"/>
      <c r="M54" s="2397"/>
      <c r="N54" s="2397"/>
      <c r="O54" s="2398"/>
      <c r="P54" s="2397"/>
      <c r="Q54" s="2397"/>
      <c r="R54" s="2399"/>
    </row>
    <row r="55" spans="2:18" s="2370" customFormat="1">
      <c r="B55" s="2397"/>
      <c r="C55" s="2397"/>
      <c r="D55" s="2397"/>
      <c r="E55" s="2397"/>
      <c r="F55" s="2397"/>
      <c r="G55" s="2398"/>
      <c r="H55" s="2397"/>
      <c r="I55" s="2398"/>
      <c r="J55" s="2397"/>
      <c r="K55" s="2397"/>
      <c r="L55" s="2398"/>
      <c r="M55" s="2397"/>
      <c r="N55" s="2397"/>
      <c r="O55" s="2398"/>
      <c r="P55" s="2397"/>
      <c r="Q55" s="2397"/>
      <c r="R55" s="2399"/>
    </row>
    <row r="56" spans="2:18" s="2370" customFormat="1">
      <c r="B56" s="2397"/>
      <c r="C56" s="2397"/>
      <c r="D56" s="2397"/>
      <c r="E56" s="2397"/>
      <c r="F56" s="2397"/>
      <c r="G56" s="2398"/>
      <c r="H56" s="2397"/>
      <c r="I56" s="2398"/>
      <c r="J56" s="2397"/>
      <c r="K56" s="2397"/>
      <c r="L56" s="2398"/>
      <c r="M56" s="2397"/>
      <c r="N56" s="2397"/>
      <c r="O56" s="2398"/>
      <c r="P56" s="2397"/>
      <c r="Q56" s="2397"/>
      <c r="R56" s="2399"/>
    </row>
    <row r="57" spans="2:18" s="2370" customFormat="1">
      <c r="B57" s="2397"/>
      <c r="C57" s="2397"/>
      <c r="D57" s="2397"/>
      <c r="E57" s="2397"/>
      <c r="F57" s="2397"/>
      <c r="G57" s="2398"/>
      <c r="H57" s="2397"/>
      <c r="I57" s="2398"/>
      <c r="J57" s="2397"/>
      <c r="K57" s="2397"/>
      <c r="L57" s="2398"/>
      <c r="M57" s="2397"/>
      <c r="N57" s="2397"/>
      <c r="O57" s="2398"/>
      <c r="P57" s="2397"/>
      <c r="Q57" s="2397"/>
      <c r="R57" s="2399"/>
    </row>
    <row r="58" spans="2:18" s="2370" customFormat="1">
      <c r="B58" s="2397"/>
      <c r="C58" s="2397"/>
      <c r="D58" s="2397"/>
      <c r="E58" s="2397"/>
      <c r="F58" s="2397"/>
      <c r="G58" s="2398"/>
      <c r="H58" s="2397"/>
      <c r="I58" s="2398"/>
      <c r="J58" s="2397"/>
      <c r="K58" s="2397"/>
      <c r="L58" s="2398"/>
      <c r="M58" s="2397"/>
      <c r="N58" s="2397"/>
      <c r="O58" s="2398"/>
      <c r="P58" s="2397"/>
      <c r="Q58" s="2397"/>
      <c r="R58" s="2399"/>
    </row>
    <row r="59" spans="2:18" s="2370" customFormat="1">
      <c r="B59" s="2397"/>
      <c r="C59" s="2397"/>
      <c r="D59" s="2397"/>
      <c r="E59" s="2397"/>
      <c r="F59" s="2397"/>
      <c r="G59" s="2398"/>
      <c r="H59" s="2397"/>
      <c r="I59" s="2398"/>
      <c r="J59" s="2397"/>
      <c r="K59" s="2397"/>
      <c r="L59" s="2398"/>
      <c r="M59" s="2397"/>
      <c r="N59" s="2397"/>
      <c r="O59" s="2398"/>
      <c r="P59" s="2397"/>
      <c r="Q59" s="2397"/>
      <c r="R59" s="2399"/>
    </row>
    <row r="60" spans="2:18" s="2370" customFormat="1">
      <c r="B60" s="2397"/>
      <c r="C60" s="2397"/>
      <c r="D60" s="2397"/>
      <c r="E60" s="2397"/>
      <c r="F60" s="2397"/>
      <c r="G60" s="2398"/>
      <c r="H60" s="2397"/>
      <c r="I60" s="2398"/>
      <c r="J60" s="2397"/>
      <c r="K60" s="2397"/>
      <c r="L60" s="2398"/>
      <c r="M60" s="2397"/>
      <c r="N60" s="2397"/>
      <c r="O60" s="2398"/>
      <c r="P60" s="2397"/>
      <c r="Q60" s="2397"/>
      <c r="R60" s="2399"/>
    </row>
    <row r="61" spans="2:18" s="2370" customFormat="1">
      <c r="B61" s="2397"/>
      <c r="C61" s="2397"/>
      <c r="D61" s="2397"/>
      <c r="E61" s="2397"/>
      <c r="F61" s="2397"/>
      <c r="G61" s="2398"/>
      <c r="H61" s="2397"/>
      <c r="I61" s="2398"/>
      <c r="J61" s="2397"/>
      <c r="K61" s="2397"/>
      <c r="L61" s="2398"/>
      <c r="M61" s="2397"/>
      <c r="N61" s="2397"/>
      <c r="O61" s="2398"/>
      <c r="P61" s="2397"/>
      <c r="Q61" s="2397"/>
      <c r="R61" s="2399"/>
    </row>
    <row r="62" spans="2:18" s="2370" customFormat="1">
      <c r="B62" s="2397"/>
      <c r="C62" s="2397"/>
      <c r="D62" s="2397"/>
      <c r="E62" s="2397"/>
      <c r="F62" s="2397"/>
      <c r="G62" s="2398"/>
      <c r="H62" s="2397"/>
      <c r="I62" s="2398"/>
      <c r="J62" s="2397"/>
      <c r="K62" s="2397"/>
      <c r="L62" s="2398"/>
      <c r="M62" s="2397"/>
      <c r="N62" s="2397"/>
      <c r="O62" s="2398"/>
      <c r="P62" s="2397"/>
      <c r="Q62" s="2397"/>
      <c r="R62" s="2399"/>
    </row>
    <row r="63" spans="2:18" s="2370" customFormat="1">
      <c r="B63" s="2397"/>
      <c r="C63" s="2397"/>
      <c r="D63" s="2397"/>
      <c r="E63" s="2397"/>
      <c r="F63" s="2397"/>
      <c r="G63" s="2398"/>
      <c r="H63" s="2397"/>
      <c r="I63" s="2398"/>
      <c r="J63" s="2397"/>
      <c r="K63" s="2397"/>
      <c r="L63" s="2398"/>
      <c r="M63" s="2397"/>
      <c r="N63" s="2397"/>
      <c r="O63" s="2398"/>
      <c r="P63" s="2397"/>
      <c r="Q63" s="2397"/>
      <c r="R63" s="2399"/>
    </row>
    <row r="64" spans="2:18" s="2370" customFormat="1">
      <c r="B64" s="2397"/>
      <c r="C64" s="2397"/>
      <c r="D64" s="2397"/>
      <c r="E64" s="2397"/>
      <c r="F64" s="2397"/>
      <c r="G64" s="2398"/>
      <c r="H64" s="2397"/>
      <c r="I64" s="2398"/>
      <c r="J64" s="2397"/>
      <c r="K64" s="2397"/>
      <c r="L64" s="2398"/>
      <c r="M64" s="2397"/>
      <c r="N64" s="2397"/>
      <c r="O64" s="2398"/>
      <c r="P64" s="2397"/>
      <c r="Q64" s="2397"/>
      <c r="R64" s="2399"/>
    </row>
    <row r="65" spans="2:18" s="2370" customFormat="1">
      <c r="B65" s="2397"/>
      <c r="C65" s="2397"/>
      <c r="D65" s="2397"/>
      <c r="E65" s="2397"/>
      <c r="F65" s="2397"/>
      <c r="G65" s="2398"/>
      <c r="H65" s="2397"/>
      <c r="I65" s="2398"/>
      <c r="J65" s="2397"/>
      <c r="K65" s="2397"/>
      <c r="L65" s="2398"/>
      <c r="M65" s="2397"/>
      <c r="N65" s="2397"/>
      <c r="O65" s="2398"/>
      <c r="P65" s="2397"/>
      <c r="Q65" s="2397"/>
      <c r="R65" s="2399"/>
    </row>
    <row r="66" spans="2:18" s="2370" customFormat="1">
      <c r="B66" s="2397"/>
      <c r="C66" s="2397"/>
      <c r="D66" s="2397"/>
      <c r="E66" s="2397"/>
      <c r="F66" s="2397"/>
      <c r="G66" s="2398"/>
      <c r="H66" s="2397"/>
      <c r="I66" s="2398"/>
      <c r="J66" s="2397"/>
      <c r="K66" s="2397"/>
      <c r="L66" s="2398"/>
      <c r="M66" s="2397"/>
      <c r="N66" s="2397"/>
      <c r="O66" s="2398"/>
      <c r="P66" s="2397"/>
      <c r="Q66" s="2397"/>
      <c r="R66" s="2399"/>
    </row>
    <row r="67" spans="2:18" s="2370" customFormat="1">
      <c r="B67" s="2397"/>
      <c r="C67" s="2397"/>
      <c r="D67" s="2397"/>
      <c r="E67" s="2397"/>
      <c r="F67" s="2397"/>
      <c r="G67" s="2398"/>
      <c r="H67" s="2397"/>
      <c r="I67" s="2398"/>
      <c r="J67" s="2397"/>
      <c r="K67" s="2397"/>
      <c r="L67" s="2398"/>
      <c r="M67" s="2397"/>
      <c r="N67" s="2397"/>
      <c r="O67" s="2398"/>
      <c r="P67" s="2397"/>
      <c r="Q67" s="2397"/>
      <c r="R67" s="2399"/>
    </row>
    <row r="68" spans="2:18" s="2370" customFormat="1">
      <c r="B68" s="2397"/>
      <c r="C68" s="2397"/>
      <c r="D68" s="2397"/>
      <c r="E68" s="2397"/>
      <c r="F68" s="2397"/>
      <c r="G68" s="2398"/>
      <c r="H68" s="2397"/>
      <c r="I68" s="2398"/>
      <c r="J68" s="2397"/>
      <c r="K68" s="2397"/>
      <c r="L68" s="2398"/>
      <c r="M68" s="2397"/>
      <c r="N68" s="2397"/>
      <c r="O68" s="2398"/>
      <c r="P68" s="2397"/>
      <c r="Q68" s="2397"/>
      <c r="R68" s="2399"/>
    </row>
    <row r="69" spans="2:18" s="2370" customFormat="1">
      <c r="B69" s="2397"/>
      <c r="C69" s="2397"/>
      <c r="D69" s="2397"/>
      <c r="E69" s="2397"/>
      <c r="F69" s="2397"/>
      <c r="G69" s="2398"/>
      <c r="H69" s="2397"/>
      <c r="I69" s="2398"/>
      <c r="J69" s="2397"/>
      <c r="K69" s="2397"/>
      <c r="L69" s="2398"/>
      <c r="M69" s="2397"/>
      <c r="N69" s="2397"/>
      <c r="O69" s="2398"/>
      <c r="P69" s="2397"/>
      <c r="Q69" s="2397"/>
      <c r="R69" s="2399"/>
    </row>
    <row r="70" spans="2:18" s="2370" customFormat="1">
      <c r="B70" s="2397"/>
      <c r="C70" s="2397"/>
      <c r="D70" s="2397"/>
      <c r="E70" s="2397"/>
      <c r="F70" s="2397"/>
      <c r="G70" s="2398"/>
      <c r="H70" s="2397"/>
      <c r="I70" s="2398"/>
      <c r="J70" s="2397"/>
      <c r="K70" s="2397"/>
      <c r="L70" s="2398"/>
      <c r="M70" s="2397"/>
      <c r="N70" s="2397"/>
      <c r="O70" s="2398"/>
      <c r="P70" s="2397"/>
      <c r="Q70" s="2397"/>
      <c r="R70" s="2399"/>
    </row>
    <row r="71" spans="2:18" s="2370" customFormat="1">
      <c r="B71" s="2397"/>
      <c r="C71" s="2397"/>
      <c r="D71" s="2397"/>
      <c r="E71" s="2397"/>
      <c r="F71" s="2397"/>
      <c r="G71" s="2398"/>
      <c r="H71" s="2397"/>
      <c r="I71" s="2398"/>
      <c r="J71" s="2397"/>
      <c r="K71" s="2397"/>
      <c r="L71" s="2398"/>
      <c r="M71" s="2397"/>
      <c r="N71" s="2397"/>
      <c r="O71" s="2398"/>
      <c r="P71" s="2397"/>
      <c r="Q71" s="2397"/>
      <c r="R71" s="2399"/>
    </row>
    <row r="72" spans="2:18" s="2370" customFormat="1">
      <c r="B72" s="2397"/>
      <c r="C72" s="2397"/>
      <c r="D72" s="2397"/>
      <c r="E72" s="2397"/>
      <c r="F72" s="2397"/>
      <c r="G72" s="2398"/>
      <c r="H72" s="2397"/>
      <c r="I72" s="2398"/>
      <c r="J72" s="2397"/>
      <c r="K72" s="2397"/>
      <c r="L72" s="2398"/>
      <c r="M72" s="2397"/>
      <c r="N72" s="2397"/>
      <c r="O72" s="2398"/>
      <c r="P72" s="2397"/>
      <c r="Q72" s="2397"/>
      <c r="R72" s="2399"/>
    </row>
    <row r="73" spans="2:18" s="2370" customFormat="1">
      <c r="B73" s="2397"/>
      <c r="C73" s="2397"/>
      <c r="D73" s="2397"/>
      <c r="E73" s="2397"/>
      <c r="F73" s="2397"/>
      <c r="G73" s="2398"/>
      <c r="H73" s="2397"/>
      <c r="I73" s="2398"/>
      <c r="J73" s="2397"/>
      <c r="K73" s="2397"/>
      <c r="L73" s="2398"/>
      <c r="M73" s="2397"/>
      <c r="N73" s="2397"/>
      <c r="O73" s="2398"/>
      <c r="P73" s="2397"/>
      <c r="Q73" s="2397"/>
      <c r="R73" s="2399"/>
    </row>
    <row r="74" spans="2:18" s="2370" customFormat="1">
      <c r="B74" s="2397"/>
      <c r="C74" s="2397"/>
      <c r="D74" s="2397"/>
      <c r="E74" s="2397"/>
      <c r="F74" s="2397"/>
      <c r="G74" s="2398"/>
      <c r="H74" s="2397"/>
      <c r="I74" s="2398"/>
      <c r="J74" s="2397"/>
      <c r="K74" s="2397"/>
      <c r="L74" s="2398"/>
      <c r="M74" s="2397"/>
      <c r="N74" s="2397"/>
      <c r="O74" s="2398"/>
      <c r="P74" s="2397"/>
      <c r="Q74" s="2397"/>
      <c r="R74" s="2399"/>
    </row>
    <row r="75" spans="2:18" s="2370" customFormat="1">
      <c r="B75" s="2397"/>
      <c r="C75" s="2397"/>
      <c r="D75" s="2397"/>
      <c r="E75" s="2397"/>
      <c r="F75" s="2397"/>
      <c r="G75" s="2398"/>
      <c r="H75" s="2397"/>
      <c r="I75" s="2398"/>
      <c r="J75" s="2397"/>
      <c r="K75" s="2397"/>
      <c r="L75" s="2398"/>
      <c r="M75" s="2397"/>
      <c r="N75" s="2397"/>
      <c r="O75" s="2398"/>
      <c r="P75" s="2397"/>
      <c r="Q75" s="2397"/>
      <c r="R75" s="2399"/>
    </row>
    <row r="76" spans="2:18" s="2370" customFormat="1">
      <c r="B76" s="2397"/>
      <c r="C76" s="2397"/>
      <c r="D76" s="2397"/>
      <c r="E76" s="2397"/>
      <c r="F76" s="2397"/>
      <c r="G76" s="2398"/>
      <c r="H76" s="2397"/>
      <c r="I76" s="2398"/>
      <c r="J76" s="2397"/>
      <c r="K76" s="2397"/>
      <c r="L76" s="2398"/>
      <c r="M76" s="2397"/>
      <c r="N76" s="2397"/>
      <c r="O76" s="2398"/>
      <c r="P76" s="2397"/>
      <c r="Q76" s="2397"/>
      <c r="R76" s="2399"/>
    </row>
    <row r="77" spans="2:18" s="2370" customFormat="1">
      <c r="B77" s="2397"/>
      <c r="C77" s="2397"/>
      <c r="D77" s="2397"/>
      <c r="E77" s="2397"/>
      <c r="F77" s="2397"/>
      <c r="G77" s="2398"/>
      <c r="H77" s="2397"/>
      <c r="I77" s="2398"/>
      <c r="J77" s="2397"/>
      <c r="K77" s="2397"/>
      <c r="L77" s="2398"/>
      <c r="M77" s="2397"/>
      <c r="N77" s="2397"/>
      <c r="O77" s="2398"/>
      <c r="P77" s="2397"/>
      <c r="Q77" s="2397"/>
      <c r="R77" s="2399"/>
    </row>
    <row r="78" spans="2:18" s="2370" customFormat="1">
      <c r="B78" s="2397"/>
      <c r="C78" s="2397"/>
      <c r="D78" s="2397"/>
      <c r="E78" s="2397"/>
      <c r="F78" s="2397"/>
      <c r="G78" s="2398"/>
      <c r="H78" s="2397"/>
      <c r="I78" s="2398"/>
      <c r="J78" s="2397"/>
      <c r="K78" s="2397"/>
      <c r="L78" s="2398"/>
      <c r="M78" s="2397"/>
      <c r="N78" s="2397"/>
      <c r="O78" s="2398"/>
      <c r="P78" s="2397"/>
      <c r="Q78" s="2397"/>
      <c r="R78" s="2399"/>
    </row>
    <row r="79" spans="2:18" s="2370" customFormat="1">
      <c r="B79" s="2397"/>
      <c r="C79" s="2397"/>
      <c r="D79" s="2397"/>
      <c r="E79" s="2397"/>
      <c r="F79" s="2397"/>
      <c r="G79" s="2398"/>
      <c r="H79" s="2397"/>
      <c r="I79" s="2398"/>
      <c r="J79" s="2397"/>
      <c r="K79" s="2397"/>
      <c r="L79" s="2398"/>
      <c r="M79" s="2397"/>
      <c r="N79" s="2397"/>
      <c r="O79" s="2398"/>
      <c r="P79" s="2397"/>
      <c r="Q79" s="2397"/>
      <c r="R79" s="2399"/>
    </row>
    <row r="80" spans="2:18" s="2370" customFormat="1">
      <c r="B80" s="2397"/>
      <c r="C80" s="2397"/>
      <c r="D80" s="2397"/>
      <c r="E80" s="2397"/>
      <c r="F80" s="2397"/>
      <c r="G80" s="2398"/>
      <c r="H80" s="2397"/>
      <c r="I80" s="2398"/>
      <c r="J80" s="2397"/>
      <c r="K80" s="2397"/>
      <c r="L80" s="2398"/>
      <c r="M80" s="2397"/>
      <c r="N80" s="2397"/>
      <c r="O80" s="2398"/>
      <c r="P80" s="2397"/>
      <c r="Q80" s="2397"/>
      <c r="R80" s="2399"/>
    </row>
    <row r="81" spans="2:18" s="2370" customFormat="1">
      <c r="B81" s="2397"/>
      <c r="C81" s="2397"/>
      <c r="D81" s="2397"/>
      <c r="E81" s="2397"/>
      <c r="F81" s="2397"/>
      <c r="G81" s="2398"/>
      <c r="H81" s="2397"/>
      <c r="I81" s="2398"/>
      <c r="J81" s="2397"/>
      <c r="K81" s="2397"/>
      <c r="L81" s="2398"/>
      <c r="M81" s="2397"/>
      <c r="N81" s="2397"/>
      <c r="O81" s="2398"/>
      <c r="P81" s="2397"/>
      <c r="Q81" s="2397"/>
      <c r="R81" s="2399"/>
    </row>
    <row r="82" spans="2:18" s="2370" customFormat="1">
      <c r="B82" s="2397"/>
      <c r="C82" s="2397"/>
      <c r="D82" s="2397"/>
      <c r="E82" s="2397"/>
      <c r="F82" s="2397"/>
      <c r="G82" s="2398"/>
      <c r="H82" s="2397"/>
      <c r="I82" s="2398"/>
      <c r="J82" s="2397"/>
      <c r="K82" s="2397"/>
      <c r="L82" s="2398"/>
      <c r="M82" s="2397"/>
      <c r="N82" s="2397"/>
      <c r="O82" s="2398"/>
      <c r="P82" s="2397"/>
      <c r="Q82" s="2397"/>
      <c r="R82" s="2399"/>
    </row>
    <row r="83" spans="2:18" s="2370" customFormat="1">
      <c r="B83" s="2397"/>
      <c r="C83" s="2397"/>
      <c r="D83" s="2397"/>
      <c r="E83" s="2397"/>
      <c r="F83" s="2397"/>
      <c r="G83" s="2398"/>
      <c r="H83" s="2397"/>
      <c r="I83" s="2398"/>
      <c r="J83" s="2397"/>
      <c r="K83" s="2397"/>
      <c r="L83" s="2398"/>
      <c r="M83" s="2397"/>
      <c r="N83" s="2397"/>
      <c r="O83" s="2398"/>
      <c r="P83" s="2397"/>
      <c r="Q83" s="2397"/>
      <c r="R83" s="2399"/>
    </row>
    <row r="84" spans="2:18" s="2370" customFormat="1">
      <c r="B84" s="2397"/>
      <c r="C84" s="2397"/>
      <c r="D84" s="2397"/>
      <c r="E84" s="2397"/>
      <c r="F84" s="2397"/>
      <c r="G84" s="2398"/>
      <c r="H84" s="2397"/>
      <c r="I84" s="2398"/>
      <c r="J84" s="2397"/>
      <c r="K84" s="2397"/>
      <c r="L84" s="2398"/>
      <c r="M84" s="2397"/>
      <c r="N84" s="2397"/>
      <c r="O84" s="2398"/>
      <c r="P84" s="2397"/>
      <c r="Q84" s="2397"/>
      <c r="R84" s="2399"/>
    </row>
    <row r="85" spans="2:18" s="2370" customFormat="1">
      <c r="B85" s="2397"/>
      <c r="C85" s="2397"/>
      <c r="D85" s="2397"/>
      <c r="E85" s="2397"/>
      <c r="F85" s="2397"/>
      <c r="G85" s="2398"/>
      <c r="H85" s="2397"/>
      <c r="I85" s="2398"/>
      <c r="J85" s="2397"/>
      <c r="K85" s="2397"/>
      <c r="L85" s="2398"/>
      <c r="M85" s="2397"/>
      <c r="N85" s="2397"/>
      <c r="O85" s="2398"/>
      <c r="P85" s="2397"/>
      <c r="Q85" s="2397"/>
      <c r="R85" s="2399"/>
    </row>
    <row r="86" spans="2:18" s="2370" customFormat="1">
      <c r="B86" s="2397"/>
      <c r="C86" s="2397"/>
      <c r="D86" s="2397"/>
      <c r="E86" s="2397"/>
      <c r="F86" s="2397"/>
      <c r="G86" s="2398"/>
      <c r="H86" s="2397"/>
      <c r="I86" s="2398"/>
      <c r="J86" s="2397"/>
      <c r="K86" s="2397"/>
      <c r="L86" s="2398"/>
      <c r="M86" s="2397"/>
      <c r="N86" s="2397"/>
      <c r="O86" s="2398"/>
      <c r="P86" s="2397"/>
      <c r="Q86" s="2397"/>
      <c r="R86" s="2399"/>
    </row>
    <row r="87" spans="2:18" s="2370" customFormat="1">
      <c r="B87" s="2397"/>
      <c r="C87" s="2397"/>
      <c r="D87" s="2397"/>
      <c r="E87" s="2397"/>
      <c r="F87" s="2397"/>
      <c r="G87" s="2398"/>
      <c r="H87" s="2397"/>
      <c r="I87" s="2398"/>
      <c r="J87" s="2397"/>
      <c r="K87" s="2397"/>
      <c r="L87" s="2398"/>
      <c r="M87" s="2397"/>
      <c r="N87" s="2397"/>
      <c r="O87" s="2398"/>
      <c r="P87" s="2397"/>
      <c r="Q87" s="2397"/>
      <c r="R87" s="2399"/>
    </row>
    <row r="88" spans="2:18" s="2370" customFormat="1">
      <c r="B88" s="2397"/>
      <c r="C88" s="2397"/>
      <c r="D88" s="2397"/>
      <c r="E88" s="2397"/>
      <c r="F88" s="2397"/>
      <c r="G88" s="2398"/>
      <c r="H88" s="2397"/>
      <c r="I88" s="2398"/>
      <c r="J88" s="2397"/>
      <c r="K88" s="2397"/>
      <c r="L88" s="2398"/>
      <c r="M88" s="2397"/>
      <c r="N88" s="2397"/>
      <c r="O88" s="2398"/>
      <c r="P88" s="2397"/>
      <c r="Q88" s="2397"/>
      <c r="R88" s="2399"/>
    </row>
    <row r="89" spans="2:18" s="2370" customFormat="1">
      <c r="B89" s="2397"/>
      <c r="C89" s="2397"/>
      <c r="D89" s="2397"/>
      <c r="E89" s="2397"/>
      <c r="F89" s="2397"/>
      <c r="G89" s="2398"/>
      <c r="H89" s="2397"/>
      <c r="I89" s="2398"/>
      <c r="J89" s="2397"/>
      <c r="K89" s="2397"/>
      <c r="L89" s="2398"/>
      <c r="M89" s="2397"/>
      <c r="N89" s="2397"/>
      <c r="O89" s="2398"/>
      <c r="P89" s="2397"/>
      <c r="Q89" s="2397"/>
      <c r="R89" s="2399"/>
    </row>
    <row r="90" spans="2:18" s="2370" customFormat="1">
      <c r="B90" s="2397"/>
      <c r="C90" s="2397"/>
      <c r="D90" s="2397"/>
      <c r="E90" s="2397"/>
      <c r="F90" s="2397"/>
      <c r="G90" s="2398"/>
      <c r="H90" s="2397"/>
      <c r="I90" s="2398"/>
      <c r="J90" s="2397"/>
      <c r="K90" s="2397"/>
      <c r="L90" s="2398"/>
      <c r="M90" s="2397"/>
      <c r="N90" s="2397"/>
      <c r="O90" s="2398"/>
      <c r="P90" s="2397"/>
      <c r="Q90" s="2397"/>
      <c r="R90" s="2399"/>
    </row>
    <row r="91" spans="2:18" s="2370" customFormat="1">
      <c r="B91" s="2397"/>
      <c r="C91" s="2397"/>
      <c r="D91" s="2397"/>
      <c r="E91" s="2397"/>
      <c r="F91" s="2397"/>
      <c r="G91" s="2398"/>
      <c r="H91" s="2397"/>
      <c r="I91" s="2398"/>
      <c r="J91" s="2397"/>
      <c r="K91" s="2397"/>
      <c r="L91" s="2398"/>
      <c r="M91" s="2397"/>
      <c r="N91" s="2397"/>
      <c r="O91" s="2398"/>
      <c r="P91" s="2397"/>
      <c r="Q91" s="2397"/>
      <c r="R91" s="2399"/>
    </row>
    <row r="92" spans="2:18" s="2370" customFormat="1">
      <c r="B92" s="2397"/>
      <c r="C92" s="2397"/>
      <c r="D92" s="2397"/>
      <c r="E92" s="2397"/>
      <c r="F92" s="2397"/>
      <c r="G92" s="2398"/>
      <c r="H92" s="2397"/>
      <c r="I92" s="2398"/>
      <c r="J92" s="2397"/>
      <c r="K92" s="2397"/>
      <c r="L92" s="2398"/>
      <c r="M92" s="2397"/>
      <c r="N92" s="2397"/>
      <c r="O92" s="2398"/>
      <c r="P92" s="2397"/>
      <c r="Q92" s="2397"/>
      <c r="R92" s="2399"/>
    </row>
    <row r="93" spans="2:18" s="2370" customFormat="1">
      <c r="B93" s="2397"/>
      <c r="C93" s="2397"/>
      <c r="D93" s="2397"/>
      <c r="E93" s="2397"/>
      <c r="F93" s="2397"/>
      <c r="G93" s="2398"/>
      <c r="H93" s="2397"/>
      <c r="I93" s="2398"/>
      <c r="J93" s="2397"/>
      <c r="K93" s="2397"/>
      <c r="L93" s="2398"/>
      <c r="M93" s="2397"/>
      <c r="N93" s="2397"/>
      <c r="O93" s="2398"/>
      <c r="P93" s="2397"/>
      <c r="Q93" s="2397"/>
      <c r="R93" s="2399"/>
    </row>
    <row r="94" spans="2:18" s="2370" customFormat="1">
      <c r="B94" s="2397"/>
      <c r="C94" s="2397"/>
      <c r="D94" s="2397"/>
      <c r="E94" s="2397"/>
      <c r="F94" s="2397"/>
      <c r="G94" s="2398"/>
      <c r="H94" s="2397"/>
      <c r="I94" s="2398"/>
      <c r="J94" s="2397"/>
      <c r="K94" s="2397"/>
      <c r="L94" s="2398"/>
      <c r="M94" s="2397"/>
      <c r="N94" s="2397"/>
      <c r="O94" s="2398"/>
      <c r="P94" s="2397"/>
      <c r="Q94" s="2397"/>
      <c r="R94" s="2399"/>
    </row>
    <row r="95" spans="2:18" s="2370" customFormat="1">
      <c r="B95" s="2397"/>
      <c r="C95" s="2397"/>
      <c r="D95" s="2397"/>
      <c r="E95" s="2397"/>
      <c r="F95" s="2397"/>
      <c r="G95" s="2398"/>
      <c r="H95" s="2397"/>
      <c r="I95" s="2398"/>
      <c r="J95" s="2397"/>
      <c r="K95" s="2397"/>
      <c r="L95" s="2398"/>
      <c r="M95" s="2397"/>
      <c r="N95" s="2397"/>
      <c r="O95" s="2398"/>
      <c r="P95" s="2397"/>
      <c r="Q95" s="2397"/>
      <c r="R95" s="2399"/>
    </row>
    <row r="96" spans="2:18" s="2370" customFormat="1">
      <c r="B96" s="2397"/>
      <c r="C96" s="2397"/>
      <c r="D96" s="2397"/>
      <c r="E96" s="2397"/>
      <c r="F96" s="2397"/>
      <c r="G96" s="2398"/>
      <c r="H96" s="2397"/>
      <c r="I96" s="2398"/>
      <c r="J96" s="2397"/>
      <c r="K96" s="2397"/>
      <c r="L96" s="2398"/>
      <c r="M96" s="2397"/>
      <c r="N96" s="2397"/>
      <c r="O96" s="2398"/>
      <c r="P96" s="2397"/>
      <c r="Q96" s="2397"/>
      <c r="R96" s="2399"/>
    </row>
    <row r="97" spans="2:18" s="2370" customFormat="1">
      <c r="B97" s="2397"/>
      <c r="C97" s="2397"/>
      <c r="D97" s="2397"/>
      <c r="E97" s="2397"/>
      <c r="F97" s="2397"/>
      <c r="G97" s="2398"/>
      <c r="H97" s="2397"/>
      <c r="I97" s="2398"/>
      <c r="J97" s="2397"/>
      <c r="K97" s="2397"/>
      <c r="L97" s="2398"/>
      <c r="M97" s="2397"/>
      <c r="N97" s="2397"/>
      <c r="O97" s="2398"/>
      <c r="P97" s="2397"/>
      <c r="Q97" s="2397"/>
      <c r="R97" s="2399"/>
    </row>
    <row r="98" spans="2:18" s="2370" customFormat="1">
      <c r="B98" s="2397"/>
      <c r="C98" s="2397"/>
      <c r="D98" s="2397"/>
      <c r="E98" s="2397"/>
      <c r="F98" s="2397"/>
      <c r="G98" s="2398"/>
      <c r="H98" s="2397"/>
      <c r="I98" s="2398"/>
      <c r="J98" s="2397"/>
      <c r="K98" s="2397"/>
      <c r="L98" s="2398"/>
      <c r="M98" s="2397"/>
      <c r="N98" s="2397"/>
      <c r="O98" s="2398"/>
      <c r="P98" s="2397"/>
      <c r="Q98" s="2397"/>
      <c r="R98" s="2399"/>
    </row>
    <row r="99" spans="2:18" s="2370" customFormat="1">
      <c r="B99" s="2397"/>
      <c r="C99" s="2397"/>
      <c r="D99" s="2397"/>
      <c r="E99" s="2397"/>
      <c r="F99" s="2397"/>
      <c r="G99" s="2398"/>
      <c r="H99" s="2397"/>
      <c r="I99" s="2398"/>
      <c r="J99" s="2397"/>
      <c r="K99" s="2397"/>
      <c r="L99" s="2398"/>
      <c r="M99" s="2397"/>
      <c r="N99" s="2397"/>
      <c r="O99" s="2398"/>
      <c r="P99" s="2397"/>
      <c r="Q99" s="2397"/>
      <c r="R99" s="2399"/>
    </row>
    <row r="100" spans="2:18" s="2370" customFormat="1">
      <c r="B100" s="2397"/>
      <c r="C100" s="2397"/>
      <c r="D100" s="2397"/>
      <c r="E100" s="2397"/>
      <c r="F100" s="2397"/>
      <c r="G100" s="2398"/>
      <c r="H100" s="2397"/>
      <c r="I100" s="2398"/>
      <c r="J100" s="2397"/>
      <c r="K100" s="2397"/>
      <c r="L100" s="2398"/>
      <c r="M100" s="2397"/>
      <c r="N100" s="2397"/>
      <c r="O100" s="2398"/>
      <c r="P100" s="2397"/>
      <c r="Q100" s="2397"/>
      <c r="R100" s="2399"/>
    </row>
    <row r="101" spans="2:18" s="2370" customFormat="1">
      <c r="B101" s="2397"/>
      <c r="C101" s="2397"/>
      <c r="D101" s="2397"/>
      <c r="E101" s="2397"/>
      <c r="F101" s="2397"/>
      <c r="G101" s="2398"/>
      <c r="H101" s="2397"/>
      <c r="I101" s="2398"/>
      <c r="J101" s="2397"/>
      <c r="K101" s="2397"/>
      <c r="L101" s="2398"/>
      <c r="M101" s="2397"/>
      <c r="N101" s="2397"/>
      <c r="O101" s="2398"/>
      <c r="P101" s="2397"/>
      <c r="Q101" s="2397"/>
      <c r="R101" s="2399"/>
    </row>
    <row r="102" spans="2:18" s="2370" customFormat="1">
      <c r="B102" s="2397"/>
      <c r="C102" s="2397"/>
      <c r="D102" s="2397"/>
      <c r="E102" s="2397"/>
      <c r="F102" s="2397"/>
      <c r="G102" s="2398"/>
      <c r="H102" s="2397"/>
      <c r="I102" s="2398"/>
      <c r="J102" s="2397"/>
      <c r="K102" s="2397"/>
      <c r="L102" s="2398"/>
      <c r="M102" s="2397"/>
      <c r="N102" s="2397"/>
      <c r="O102" s="2398"/>
      <c r="P102" s="2397"/>
      <c r="Q102" s="2397"/>
      <c r="R102" s="2399"/>
    </row>
    <row r="103" spans="2:18" s="2370" customFormat="1">
      <c r="B103" s="2397"/>
      <c r="C103" s="2397"/>
      <c r="D103" s="2397"/>
      <c r="E103" s="2397"/>
      <c r="F103" s="2397"/>
      <c r="G103" s="2398"/>
      <c r="H103" s="2397"/>
      <c r="I103" s="2398"/>
      <c r="J103" s="2397"/>
      <c r="K103" s="2397"/>
      <c r="L103" s="2398"/>
      <c r="M103" s="2397"/>
      <c r="N103" s="2397"/>
      <c r="O103" s="2398"/>
      <c r="P103" s="2397"/>
      <c r="Q103" s="2397"/>
      <c r="R103" s="2399"/>
    </row>
    <row r="104" spans="2:18" s="2370" customFormat="1">
      <c r="B104" s="2397"/>
      <c r="C104" s="2397"/>
      <c r="D104" s="2397"/>
      <c r="E104" s="2397"/>
      <c r="F104" s="2397"/>
      <c r="G104" s="2398"/>
      <c r="H104" s="2397"/>
      <c r="I104" s="2398"/>
      <c r="J104" s="2397"/>
      <c r="K104" s="2397"/>
      <c r="L104" s="2398"/>
      <c r="M104" s="2397"/>
      <c r="N104" s="2397"/>
      <c r="O104" s="2398"/>
      <c r="P104" s="2397"/>
      <c r="Q104" s="2397"/>
      <c r="R104" s="2399"/>
    </row>
    <row r="105" spans="2:18" s="2370" customFormat="1">
      <c r="B105" s="2397"/>
      <c r="C105" s="2397"/>
      <c r="D105" s="2397"/>
      <c r="E105" s="2397"/>
      <c r="F105" s="2397"/>
      <c r="G105" s="2398"/>
      <c r="H105" s="2397"/>
      <c r="I105" s="2398"/>
      <c r="J105" s="2397"/>
      <c r="K105" s="2397"/>
      <c r="L105" s="2398"/>
      <c r="M105" s="2397"/>
      <c r="N105" s="2397"/>
      <c r="O105" s="2398"/>
      <c r="P105" s="2397"/>
      <c r="Q105" s="2397"/>
      <c r="R105" s="2399"/>
    </row>
    <row r="106" spans="2:18" s="2370" customFormat="1">
      <c r="B106" s="2397"/>
      <c r="C106" s="2397"/>
      <c r="D106" s="2397"/>
      <c r="E106" s="2397"/>
      <c r="F106" s="2397"/>
      <c r="G106" s="2398"/>
      <c r="H106" s="2397"/>
      <c r="I106" s="2398"/>
      <c r="J106" s="2397"/>
      <c r="K106" s="2397"/>
      <c r="L106" s="2398"/>
      <c r="M106" s="2397"/>
      <c r="N106" s="2397"/>
      <c r="O106" s="2398"/>
      <c r="P106" s="2397"/>
      <c r="Q106" s="2397"/>
      <c r="R106" s="2399"/>
    </row>
    <row r="107" spans="2:18" s="2370" customFormat="1">
      <c r="B107" s="2397"/>
      <c r="C107" s="2397"/>
      <c r="D107" s="2397"/>
      <c r="E107" s="2397"/>
      <c r="F107" s="2397"/>
      <c r="G107" s="2398"/>
      <c r="H107" s="2397"/>
      <c r="I107" s="2398"/>
      <c r="J107" s="2397"/>
      <c r="K107" s="2397"/>
      <c r="L107" s="2398"/>
      <c r="M107" s="2397"/>
      <c r="N107" s="2397"/>
      <c r="O107" s="2398"/>
      <c r="P107" s="2397"/>
      <c r="Q107" s="2397"/>
      <c r="R107" s="2399"/>
    </row>
    <row r="108" spans="2:18" s="2370" customFormat="1">
      <c r="B108" s="2397"/>
      <c r="C108" s="2397"/>
      <c r="D108" s="2397"/>
      <c r="E108" s="2397"/>
      <c r="F108" s="2397"/>
      <c r="G108" s="2398"/>
      <c r="H108" s="2397"/>
      <c r="I108" s="2398"/>
      <c r="J108" s="2397"/>
      <c r="K108" s="2397"/>
      <c r="L108" s="2398"/>
      <c r="M108" s="2397"/>
      <c r="N108" s="2397"/>
      <c r="O108" s="2398"/>
      <c r="P108" s="2397"/>
      <c r="Q108" s="2397"/>
      <c r="R108" s="2399"/>
    </row>
    <row r="109" spans="2:18" s="2370" customFormat="1">
      <c r="B109" s="2397"/>
      <c r="C109" s="2397"/>
      <c r="D109" s="2397"/>
      <c r="E109" s="2397"/>
      <c r="F109" s="2397"/>
      <c r="G109" s="2398"/>
      <c r="H109" s="2397"/>
      <c r="I109" s="2398"/>
      <c r="J109" s="2397"/>
      <c r="K109" s="2397"/>
      <c r="L109" s="2398"/>
      <c r="M109" s="2397"/>
      <c r="N109" s="2397"/>
      <c r="O109" s="2398"/>
      <c r="P109" s="2397"/>
      <c r="Q109" s="2397"/>
      <c r="R109" s="2399"/>
    </row>
    <row r="110" spans="2:18" s="2370" customFormat="1">
      <c r="B110" s="2397"/>
      <c r="C110" s="2397"/>
      <c r="D110" s="2397"/>
      <c r="E110" s="2397"/>
      <c r="F110" s="2397"/>
      <c r="G110" s="2398"/>
      <c r="H110" s="2397"/>
      <c r="I110" s="2398"/>
      <c r="J110" s="2397"/>
      <c r="K110" s="2397"/>
      <c r="L110" s="2398"/>
      <c r="M110" s="2397"/>
      <c r="N110" s="2397"/>
      <c r="O110" s="2398"/>
      <c r="P110" s="2397"/>
      <c r="Q110" s="2397"/>
      <c r="R110" s="2399"/>
    </row>
    <row r="111" spans="2:18" s="2370" customFormat="1">
      <c r="B111" s="2397"/>
      <c r="C111" s="2397"/>
      <c r="D111" s="2397"/>
      <c r="E111" s="2397"/>
      <c r="F111" s="2397"/>
      <c r="G111" s="2398"/>
      <c r="H111" s="2397"/>
      <c r="I111" s="2398"/>
      <c r="J111" s="2397"/>
      <c r="K111" s="2397"/>
      <c r="L111" s="2398"/>
      <c r="M111" s="2397"/>
      <c r="N111" s="2397"/>
      <c r="O111" s="2398"/>
      <c r="P111" s="2397"/>
      <c r="Q111" s="2397"/>
      <c r="R111" s="2399"/>
    </row>
    <row r="112" spans="2:18" s="2370" customFormat="1">
      <c r="B112" s="2397"/>
      <c r="C112" s="2397"/>
      <c r="D112" s="2397"/>
      <c r="E112" s="2397"/>
      <c r="F112" s="2397"/>
      <c r="G112" s="2398"/>
      <c r="H112" s="2397"/>
      <c r="I112" s="2398"/>
      <c r="J112" s="2397"/>
      <c r="K112" s="2397"/>
      <c r="L112" s="2398"/>
      <c r="M112" s="2397"/>
      <c r="N112" s="2397"/>
      <c r="O112" s="2398"/>
      <c r="P112" s="2397"/>
      <c r="Q112" s="2397"/>
      <c r="R112" s="2399"/>
    </row>
    <row r="113" spans="2:18" s="2370" customFormat="1">
      <c r="B113" s="2397"/>
      <c r="C113" s="2397"/>
      <c r="D113" s="2397"/>
      <c r="E113" s="2397"/>
      <c r="F113" s="2397"/>
      <c r="G113" s="2398"/>
      <c r="H113" s="2397"/>
      <c r="I113" s="2398"/>
      <c r="J113" s="2397"/>
      <c r="K113" s="2397"/>
      <c r="L113" s="2398"/>
      <c r="M113" s="2397"/>
      <c r="N113" s="2397"/>
      <c r="O113" s="2398"/>
      <c r="P113" s="2397"/>
      <c r="Q113" s="2397"/>
      <c r="R113" s="2399"/>
    </row>
    <row r="114" spans="2:18" s="2370" customFormat="1">
      <c r="B114" s="2397"/>
      <c r="C114" s="2397"/>
      <c r="D114" s="2397"/>
      <c r="E114" s="2397"/>
      <c r="F114" s="2397"/>
      <c r="G114" s="2398"/>
      <c r="H114" s="2397"/>
      <c r="I114" s="2398"/>
      <c r="J114" s="2397"/>
      <c r="K114" s="2397"/>
      <c r="L114" s="2398"/>
      <c r="M114" s="2397"/>
      <c r="N114" s="2397"/>
      <c r="O114" s="2398"/>
      <c r="P114" s="2397"/>
      <c r="Q114" s="2397"/>
      <c r="R114" s="2399"/>
    </row>
    <row r="115" spans="2:18" s="2370" customFormat="1">
      <c r="B115" s="2397"/>
      <c r="C115" s="2397"/>
      <c r="D115" s="2397"/>
      <c r="E115" s="2397"/>
      <c r="F115" s="2397"/>
      <c r="G115" s="2398"/>
      <c r="H115" s="2397"/>
      <c r="I115" s="2398"/>
      <c r="J115" s="2397"/>
      <c r="K115" s="2397"/>
      <c r="L115" s="2398"/>
      <c r="M115" s="2397"/>
      <c r="N115" s="2397"/>
      <c r="O115" s="2398"/>
      <c r="P115" s="2397"/>
      <c r="Q115" s="2397"/>
      <c r="R115" s="2399"/>
    </row>
    <row r="116" spans="2:18" s="2370" customFormat="1">
      <c r="B116" s="2397"/>
      <c r="C116" s="2397"/>
      <c r="D116" s="2397"/>
      <c r="E116" s="2397"/>
      <c r="F116" s="2397"/>
      <c r="G116" s="2398"/>
      <c r="H116" s="2397"/>
      <c r="I116" s="2398"/>
      <c r="J116" s="2397"/>
      <c r="K116" s="2397"/>
      <c r="L116" s="2398"/>
      <c r="M116" s="2397"/>
      <c r="N116" s="2397"/>
      <c r="O116" s="2398"/>
      <c r="P116" s="2397"/>
      <c r="Q116" s="2397"/>
      <c r="R116" s="2399"/>
    </row>
    <row r="117" spans="2:18" s="2370" customFormat="1">
      <c r="B117" s="2397"/>
      <c r="C117" s="2397"/>
      <c r="D117" s="2397"/>
      <c r="E117" s="2397"/>
      <c r="F117" s="2397"/>
      <c r="G117" s="2398"/>
      <c r="H117" s="2397"/>
      <c r="I117" s="2398"/>
      <c r="J117" s="2397"/>
      <c r="K117" s="2397"/>
      <c r="L117" s="2398"/>
      <c r="M117" s="2397"/>
      <c r="N117" s="2397"/>
      <c r="O117" s="2398"/>
      <c r="P117" s="2397"/>
      <c r="Q117" s="2397"/>
      <c r="R117" s="2399"/>
    </row>
    <row r="118" spans="2:18" s="2370" customFormat="1">
      <c r="B118" s="2397"/>
      <c r="C118" s="2397"/>
      <c r="D118" s="2397"/>
      <c r="E118" s="2397"/>
      <c r="F118" s="2397"/>
      <c r="G118" s="2398"/>
      <c r="H118" s="2397"/>
      <c r="I118" s="2398"/>
      <c r="J118" s="2397"/>
      <c r="K118" s="2397"/>
      <c r="L118" s="2398"/>
      <c r="M118" s="2397"/>
      <c r="N118" s="2397"/>
      <c r="O118" s="2398"/>
      <c r="P118" s="2397"/>
      <c r="Q118" s="2397"/>
      <c r="R118" s="2399"/>
    </row>
    <row r="119" spans="2:18" s="2370" customFormat="1">
      <c r="B119" s="2397"/>
      <c r="C119" s="2397"/>
      <c r="D119" s="2397"/>
      <c r="E119" s="2397"/>
      <c r="F119" s="2397"/>
      <c r="G119" s="2398"/>
      <c r="H119" s="2397"/>
      <c r="I119" s="2398"/>
      <c r="J119" s="2397"/>
      <c r="K119" s="2397"/>
      <c r="L119" s="2398"/>
      <c r="M119" s="2397"/>
      <c r="N119" s="2397"/>
      <c r="O119" s="2398"/>
      <c r="P119" s="2397"/>
      <c r="Q119" s="2397"/>
      <c r="R119" s="2399"/>
    </row>
    <row r="120" spans="2:18" s="2370" customFormat="1">
      <c r="B120" s="2397"/>
      <c r="C120" s="2397"/>
      <c r="D120" s="2397"/>
      <c r="E120" s="2397"/>
      <c r="F120" s="2397"/>
      <c r="G120" s="2398"/>
      <c r="H120" s="2397"/>
      <c r="I120" s="2398"/>
      <c r="J120" s="2397"/>
      <c r="K120" s="2397"/>
      <c r="L120" s="2398"/>
      <c r="M120" s="2397"/>
      <c r="N120" s="2397"/>
      <c r="O120" s="2398"/>
      <c r="P120" s="2397"/>
      <c r="Q120" s="2397"/>
      <c r="R120" s="2399"/>
    </row>
    <row r="121" spans="2:18" s="2370" customFormat="1">
      <c r="B121" s="2397"/>
      <c r="C121" s="2397"/>
      <c r="D121" s="2397"/>
      <c r="E121" s="2397"/>
      <c r="F121" s="2397"/>
      <c r="G121" s="2398"/>
      <c r="H121" s="2397"/>
      <c r="I121" s="2398"/>
      <c r="J121" s="2397"/>
      <c r="K121" s="2397"/>
      <c r="L121" s="2398"/>
      <c r="M121" s="2397"/>
      <c r="N121" s="2397"/>
      <c r="O121" s="2398"/>
      <c r="P121" s="2397"/>
      <c r="Q121" s="2397"/>
      <c r="R121" s="2399"/>
    </row>
    <row r="122" spans="2:18" s="2370" customFormat="1">
      <c r="B122" s="2397"/>
      <c r="C122" s="2397"/>
      <c r="D122" s="2397"/>
      <c r="E122" s="2397"/>
      <c r="F122" s="2397"/>
      <c r="G122" s="2398"/>
      <c r="H122" s="2397"/>
      <c r="I122" s="2398"/>
      <c r="J122" s="2397"/>
      <c r="K122" s="2397"/>
      <c r="L122" s="2398"/>
      <c r="M122" s="2397"/>
      <c r="N122" s="2397"/>
      <c r="O122" s="2398"/>
      <c r="P122" s="2397"/>
      <c r="Q122" s="2397"/>
      <c r="R122" s="2399"/>
    </row>
    <row r="123" spans="2:18" s="2370" customFormat="1">
      <c r="B123" s="2397"/>
      <c r="C123" s="2397"/>
      <c r="D123" s="2397"/>
      <c r="E123" s="2397"/>
      <c r="F123" s="2397"/>
      <c r="G123" s="2398"/>
      <c r="H123" s="2397"/>
      <c r="I123" s="2398"/>
      <c r="J123" s="2397"/>
      <c r="K123" s="2397"/>
      <c r="L123" s="2398"/>
      <c r="M123" s="2397"/>
      <c r="N123" s="2397"/>
      <c r="O123" s="2398"/>
      <c r="P123" s="2397"/>
      <c r="Q123" s="2397"/>
      <c r="R123" s="2399"/>
    </row>
    <row r="124" spans="2:18" s="2370" customFormat="1">
      <c r="B124" s="2397"/>
      <c r="C124" s="2397"/>
      <c r="D124" s="2397"/>
      <c r="E124" s="2397"/>
      <c r="F124" s="2397"/>
      <c r="G124" s="2398"/>
      <c r="H124" s="2397"/>
      <c r="I124" s="2398"/>
      <c r="J124" s="2397"/>
      <c r="K124" s="2397"/>
      <c r="L124" s="2398"/>
      <c r="M124" s="2397"/>
      <c r="N124" s="2397"/>
      <c r="O124" s="2398"/>
      <c r="P124" s="2397"/>
      <c r="Q124" s="2397"/>
      <c r="R124" s="2399"/>
    </row>
    <row r="125" spans="2:18" s="2370" customFormat="1">
      <c r="B125" s="2397"/>
      <c r="C125" s="2397"/>
      <c r="D125" s="2397"/>
      <c r="E125" s="2397"/>
      <c r="F125" s="2397"/>
      <c r="G125" s="2398"/>
      <c r="H125" s="2397"/>
      <c r="I125" s="2398"/>
      <c r="J125" s="2397"/>
      <c r="K125" s="2397"/>
      <c r="L125" s="2398"/>
      <c r="M125" s="2397"/>
      <c r="N125" s="2397"/>
      <c r="O125" s="2398"/>
      <c r="P125" s="2397"/>
      <c r="Q125" s="2397"/>
      <c r="R125" s="2399"/>
    </row>
    <row r="126" spans="2:18" s="2370" customFormat="1">
      <c r="B126" s="2397"/>
      <c r="C126" s="2397"/>
      <c r="D126" s="2397"/>
      <c r="E126" s="2397"/>
      <c r="F126" s="2397"/>
      <c r="G126" s="2398"/>
      <c r="H126" s="2397"/>
      <c r="I126" s="2398"/>
      <c r="J126" s="2397"/>
      <c r="K126" s="2397"/>
      <c r="L126" s="2398"/>
      <c r="M126" s="2397"/>
      <c r="N126" s="2397"/>
      <c r="O126" s="2398"/>
      <c r="P126" s="2397"/>
      <c r="Q126" s="2397"/>
      <c r="R126" s="2399"/>
    </row>
    <row r="127" spans="2:18" s="2370" customFormat="1">
      <c r="B127" s="2397"/>
      <c r="C127" s="2397"/>
      <c r="D127" s="2397"/>
      <c r="E127" s="2397"/>
      <c r="F127" s="2397"/>
      <c r="G127" s="2398"/>
      <c r="H127" s="2397"/>
      <c r="I127" s="2398"/>
      <c r="J127" s="2397"/>
      <c r="K127" s="2397"/>
      <c r="L127" s="2398"/>
      <c r="M127" s="2397"/>
      <c r="N127" s="2397"/>
      <c r="O127" s="2398"/>
      <c r="P127" s="2397"/>
      <c r="Q127" s="2397"/>
      <c r="R127" s="2399"/>
    </row>
    <row r="128" spans="2:18" s="2370" customFormat="1">
      <c r="B128" s="2397"/>
      <c r="C128" s="2397"/>
      <c r="D128" s="2397"/>
      <c r="E128" s="2397"/>
      <c r="F128" s="2397"/>
      <c r="G128" s="2398"/>
      <c r="H128" s="2397"/>
      <c r="I128" s="2398"/>
      <c r="J128" s="2397"/>
      <c r="K128" s="2397"/>
      <c r="L128" s="2398"/>
      <c r="M128" s="2397"/>
      <c r="N128" s="2397"/>
      <c r="O128" s="2398"/>
      <c r="P128" s="2397"/>
      <c r="Q128" s="2397"/>
      <c r="R128" s="2399"/>
    </row>
    <row r="129" spans="2:18" s="2370" customFormat="1">
      <c r="B129" s="2397"/>
      <c r="C129" s="2397"/>
      <c r="D129" s="2397"/>
      <c r="E129" s="2397"/>
      <c r="F129" s="2397"/>
      <c r="G129" s="2398"/>
      <c r="H129" s="2397"/>
      <c r="I129" s="2398"/>
      <c r="J129" s="2397"/>
      <c r="K129" s="2397"/>
      <c r="L129" s="2398"/>
      <c r="M129" s="2397"/>
      <c r="N129" s="2397"/>
      <c r="O129" s="2398"/>
      <c r="P129" s="2397"/>
      <c r="Q129" s="2397"/>
      <c r="R129" s="2399"/>
    </row>
    <row r="130" spans="2:18" s="2370" customFormat="1">
      <c r="B130" s="2397"/>
      <c r="C130" s="2397"/>
      <c r="D130" s="2397"/>
      <c r="E130" s="2397"/>
      <c r="F130" s="2397"/>
      <c r="G130" s="2398"/>
      <c r="H130" s="2397"/>
      <c r="I130" s="2398"/>
      <c r="J130" s="2397"/>
      <c r="K130" s="2397"/>
      <c r="L130" s="2398"/>
      <c r="M130" s="2397"/>
      <c r="N130" s="2397"/>
      <c r="O130" s="2398"/>
      <c r="P130" s="2397"/>
      <c r="Q130" s="2397"/>
      <c r="R130" s="2399"/>
    </row>
    <row r="131" spans="2:18" s="2370" customFormat="1">
      <c r="B131" s="2397"/>
      <c r="C131" s="2397"/>
      <c r="D131" s="2397"/>
      <c r="E131" s="2397"/>
      <c r="F131" s="2397"/>
      <c r="G131" s="2398"/>
      <c r="H131" s="2397"/>
      <c r="I131" s="2398"/>
      <c r="J131" s="2397"/>
      <c r="K131" s="2397"/>
      <c r="L131" s="2398"/>
      <c r="M131" s="2397"/>
      <c r="N131" s="2397"/>
      <c r="O131" s="2398"/>
      <c r="P131" s="2397"/>
      <c r="Q131" s="2397"/>
      <c r="R131" s="2399"/>
    </row>
    <row r="132" spans="2:18" s="2370" customFormat="1">
      <c r="B132" s="2397"/>
      <c r="C132" s="2397"/>
      <c r="D132" s="2397"/>
      <c r="E132" s="2397"/>
      <c r="F132" s="2397"/>
      <c r="G132" s="2398"/>
      <c r="H132" s="2397"/>
      <c r="I132" s="2398"/>
      <c r="J132" s="2397"/>
      <c r="K132" s="2397"/>
      <c r="L132" s="2398"/>
      <c r="M132" s="2397"/>
      <c r="N132" s="2397"/>
      <c r="O132" s="2398"/>
      <c r="P132" s="2397"/>
      <c r="Q132" s="2397"/>
      <c r="R132" s="2399"/>
    </row>
    <row r="133" spans="2:18" s="2370" customFormat="1">
      <c r="B133" s="2397"/>
      <c r="C133" s="2397"/>
      <c r="D133" s="2397"/>
      <c r="E133" s="2397"/>
      <c r="F133" s="2397"/>
      <c r="G133" s="2398"/>
      <c r="H133" s="2397"/>
      <c r="I133" s="2398"/>
      <c r="J133" s="2397"/>
      <c r="K133" s="2397"/>
      <c r="L133" s="2398"/>
      <c r="M133" s="2397"/>
      <c r="N133" s="2397"/>
      <c r="O133" s="2398"/>
      <c r="P133" s="2397"/>
      <c r="Q133" s="2397"/>
      <c r="R133" s="2399"/>
    </row>
    <row r="134" spans="2:18" s="2370" customFormat="1">
      <c r="B134" s="2397"/>
      <c r="C134" s="2397"/>
      <c r="D134" s="2397"/>
      <c r="E134" s="2397"/>
      <c r="F134" s="2397"/>
      <c r="G134" s="2398"/>
      <c r="H134" s="2397"/>
      <c r="I134" s="2398"/>
      <c r="J134" s="2397"/>
      <c r="K134" s="2397"/>
      <c r="L134" s="2398"/>
      <c r="M134" s="2397"/>
      <c r="N134" s="2397"/>
      <c r="O134" s="2398"/>
      <c r="P134" s="2397"/>
      <c r="Q134" s="2397"/>
      <c r="R134" s="2399"/>
    </row>
    <row r="135" spans="2:18" s="2370" customFormat="1">
      <c r="B135" s="2397"/>
      <c r="C135" s="2397"/>
      <c r="D135" s="2397"/>
      <c r="E135" s="2397"/>
      <c r="F135" s="2397"/>
      <c r="G135" s="2398"/>
      <c r="H135" s="2397"/>
      <c r="I135" s="2398"/>
      <c r="J135" s="2397"/>
      <c r="K135" s="2397"/>
      <c r="L135" s="2398"/>
      <c r="M135" s="2397"/>
      <c r="N135" s="2397"/>
      <c r="O135" s="2398"/>
      <c r="P135" s="2397"/>
      <c r="Q135" s="2397"/>
      <c r="R135" s="2399"/>
    </row>
    <row r="136" spans="2:18" s="2370" customFormat="1">
      <c r="B136" s="2397"/>
      <c r="C136" s="2397"/>
      <c r="D136" s="2397"/>
      <c r="E136" s="2397"/>
      <c r="F136" s="2397"/>
      <c r="G136" s="2398"/>
      <c r="H136" s="2397"/>
      <c r="I136" s="2398"/>
      <c r="J136" s="2397"/>
      <c r="K136" s="2397"/>
      <c r="L136" s="2398"/>
      <c r="M136" s="2397"/>
      <c r="N136" s="2397"/>
      <c r="O136" s="2398"/>
      <c r="P136" s="2397"/>
      <c r="Q136" s="2397"/>
      <c r="R136" s="2399"/>
    </row>
    <row r="137" spans="2:18" s="2370" customFormat="1">
      <c r="B137" s="2397"/>
      <c r="C137" s="2397"/>
      <c r="D137" s="2397"/>
      <c r="E137" s="2397"/>
      <c r="F137" s="2397"/>
      <c r="G137" s="2398"/>
      <c r="H137" s="2397"/>
      <c r="I137" s="2398"/>
      <c r="J137" s="2397"/>
      <c r="K137" s="2397"/>
      <c r="L137" s="2398"/>
      <c r="M137" s="2397"/>
      <c r="N137" s="2397"/>
      <c r="O137" s="2398"/>
      <c r="P137" s="2397"/>
      <c r="Q137" s="2397"/>
      <c r="R137" s="2399"/>
    </row>
    <row r="138" spans="2:18" s="2370" customFormat="1">
      <c r="B138" s="2397"/>
      <c r="C138" s="2397"/>
      <c r="D138" s="2397"/>
      <c r="E138" s="2397"/>
      <c r="F138" s="2397"/>
      <c r="G138" s="2398"/>
      <c r="H138" s="2397"/>
      <c r="I138" s="2398"/>
      <c r="J138" s="2397"/>
      <c r="K138" s="2397"/>
      <c r="L138" s="2398"/>
      <c r="M138" s="2397"/>
      <c r="N138" s="2397"/>
      <c r="O138" s="2398"/>
      <c r="P138" s="2397"/>
      <c r="Q138" s="2397"/>
      <c r="R138" s="2399"/>
    </row>
    <row r="139" spans="2:18" s="2370" customFormat="1">
      <c r="B139" s="2397"/>
      <c r="C139" s="2397"/>
      <c r="D139" s="2397"/>
      <c r="E139" s="2397"/>
      <c r="F139" s="2397"/>
      <c r="G139" s="2398"/>
      <c r="H139" s="2397"/>
      <c r="I139" s="2398"/>
      <c r="J139" s="2397"/>
      <c r="K139" s="2397"/>
      <c r="L139" s="2398"/>
      <c r="M139" s="2397"/>
      <c r="N139" s="2397"/>
      <c r="O139" s="2398"/>
      <c r="P139" s="2397"/>
      <c r="Q139" s="2397"/>
      <c r="R139" s="2399"/>
    </row>
    <row r="140" spans="2:18" s="2370" customFormat="1">
      <c r="B140" s="2397"/>
      <c r="C140" s="2397"/>
      <c r="D140" s="2397"/>
      <c r="E140" s="2397"/>
      <c r="F140" s="2397"/>
      <c r="G140" s="2398"/>
      <c r="H140" s="2397"/>
      <c r="I140" s="2398"/>
      <c r="J140" s="2397"/>
      <c r="K140" s="2397"/>
      <c r="L140" s="2398"/>
      <c r="M140" s="2397"/>
      <c r="N140" s="2397"/>
      <c r="O140" s="2398"/>
      <c r="P140" s="2397"/>
      <c r="Q140" s="2397"/>
      <c r="R140" s="2399"/>
    </row>
    <row r="141" spans="2:18" s="2370" customFormat="1">
      <c r="B141" s="2397"/>
      <c r="C141" s="2397"/>
      <c r="D141" s="2397"/>
      <c r="E141" s="2397"/>
      <c r="F141" s="2397"/>
      <c r="G141" s="2398"/>
      <c r="H141" s="2397"/>
      <c r="I141" s="2398"/>
      <c r="J141" s="2397"/>
      <c r="K141" s="2397"/>
      <c r="L141" s="2398"/>
      <c r="M141" s="2397"/>
      <c r="N141" s="2397"/>
      <c r="O141" s="2398"/>
      <c r="P141" s="2397"/>
      <c r="Q141" s="2397"/>
      <c r="R141" s="2399"/>
    </row>
    <row r="142" spans="2:18" s="2370" customFormat="1">
      <c r="B142" s="2397"/>
      <c r="C142" s="2397"/>
      <c r="D142" s="2397"/>
      <c r="E142" s="2397"/>
      <c r="F142" s="2397"/>
      <c r="G142" s="2398"/>
      <c r="H142" s="2397"/>
      <c r="I142" s="2398"/>
      <c r="J142" s="2397"/>
      <c r="K142" s="2397"/>
      <c r="L142" s="2398"/>
      <c r="M142" s="2397"/>
      <c r="N142" s="2397"/>
      <c r="O142" s="2398"/>
      <c r="P142" s="2397"/>
      <c r="Q142" s="2397"/>
      <c r="R142" s="2399"/>
    </row>
    <row r="143" spans="2:18" s="2370" customFormat="1">
      <c r="B143" s="2397"/>
      <c r="C143" s="2397"/>
      <c r="D143" s="2397"/>
      <c r="E143" s="2397"/>
      <c r="F143" s="2397"/>
      <c r="G143" s="2398"/>
      <c r="H143" s="2397"/>
      <c r="I143" s="2398"/>
      <c r="J143" s="2397"/>
      <c r="K143" s="2397"/>
      <c r="L143" s="2398"/>
      <c r="M143" s="2397"/>
      <c r="N143" s="2397"/>
      <c r="O143" s="2398"/>
      <c r="P143" s="2397"/>
      <c r="Q143" s="2397"/>
      <c r="R143" s="2399"/>
    </row>
    <row r="144" spans="2:18" s="2370" customFormat="1">
      <c r="B144" s="2397"/>
      <c r="C144" s="2397"/>
      <c r="D144" s="2397"/>
      <c r="E144" s="2397"/>
      <c r="F144" s="2397"/>
      <c r="G144" s="2398"/>
      <c r="H144" s="2397"/>
      <c r="I144" s="2398"/>
      <c r="J144" s="2397"/>
      <c r="K144" s="2397"/>
      <c r="L144" s="2398"/>
      <c r="M144" s="2397"/>
      <c r="N144" s="2397"/>
      <c r="O144" s="2398"/>
      <c r="P144" s="2397"/>
      <c r="Q144" s="2397"/>
      <c r="R144" s="2399"/>
    </row>
    <row r="145" spans="2:18" s="2370" customFormat="1">
      <c r="B145" s="2397"/>
      <c r="C145" s="2397"/>
      <c r="D145" s="2397"/>
      <c r="E145" s="2397"/>
      <c r="F145" s="2397"/>
      <c r="G145" s="2398"/>
      <c r="H145" s="2397"/>
      <c r="I145" s="2398"/>
      <c r="J145" s="2397"/>
      <c r="K145" s="2397"/>
      <c r="L145" s="2398"/>
      <c r="M145" s="2397"/>
      <c r="N145" s="2397"/>
      <c r="O145" s="2398"/>
      <c r="P145" s="2397"/>
      <c r="Q145" s="2397"/>
      <c r="R145" s="2399"/>
    </row>
    <row r="146" spans="2:18" s="2370" customFormat="1">
      <c r="B146" s="2397"/>
      <c r="C146" s="2397"/>
      <c r="D146" s="2397"/>
      <c r="E146" s="2397"/>
      <c r="F146" s="2397"/>
      <c r="G146" s="2398"/>
      <c r="H146" s="2397"/>
      <c r="I146" s="2398"/>
      <c r="J146" s="2397"/>
      <c r="K146" s="2397"/>
      <c r="L146" s="2398"/>
      <c r="M146" s="2397"/>
      <c r="N146" s="2397"/>
      <c r="O146" s="2398"/>
      <c r="P146" s="2397"/>
      <c r="Q146" s="2397"/>
      <c r="R146" s="2399"/>
    </row>
    <row r="147" spans="2:18" s="2370" customFormat="1">
      <c r="B147" s="2397"/>
      <c r="C147" s="2397"/>
      <c r="D147" s="2397"/>
      <c r="E147" s="2397"/>
      <c r="F147" s="2397"/>
      <c r="G147" s="2398"/>
      <c r="H147" s="2397"/>
      <c r="I147" s="2398"/>
      <c r="J147" s="2397"/>
      <c r="K147" s="2397"/>
      <c r="L147" s="2398"/>
      <c r="M147" s="2397"/>
      <c r="N147" s="2397"/>
      <c r="O147" s="2398"/>
      <c r="P147" s="2397"/>
      <c r="Q147" s="2397"/>
      <c r="R147" s="2399"/>
    </row>
    <row r="148" spans="2:18" s="2370" customFormat="1">
      <c r="B148" s="2397"/>
      <c r="C148" s="2397"/>
      <c r="D148" s="2397"/>
      <c r="E148" s="2397"/>
      <c r="F148" s="2397"/>
      <c r="G148" s="2398"/>
      <c r="H148" s="2397"/>
      <c r="I148" s="2398"/>
      <c r="J148" s="2397"/>
      <c r="K148" s="2397"/>
      <c r="L148" s="2398"/>
      <c r="M148" s="2397"/>
      <c r="N148" s="2397"/>
      <c r="O148" s="2398"/>
      <c r="P148" s="2397"/>
      <c r="Q148" s="2397"/>
      <c r="R148" s="2399"/>
    </row>
    <row r="149" spans="2:18" s="2370" customFormat="1">
      <c r="B149" s="2397"/>
      <c r="C149" s="2397"/>
      <c r="D149" s="2397"/>
      <c r="E149" s="2397"/>
      <c r="F149" s="2397"/>
      <c r="G149" s="2398"/>
      <c r="H149" s="2397"/>
      <c r="I149" s="2398"/>
      <c r="J149" s="2397"/>
      <c r="K149" s="2397"/>
      <c r="L149" s="2398"/>
      <c r="M149" s="2397"/>
      <c r="N149" s="2397"/>
      <c r="O149" s="2398"/>
      <c r="P149" s="2397"/>
      <c r="Q149" s="2397"/>
      <c r="R149" s="2399"/>
    </row>
    <row r="150" spans="2:18" s="2370" customFormat="1">
      <c r="B150" s="2397"/>
      <c r="C150" s="2397"/>
      <c r="D150" s="2397"/>
      <c r="E150" s="2397"/>
      <c r="F150" s="2397"/>
      <c r="G150" s="2398"/>
      <c r="H150" s="2397"/>
      <c r="I150" s="2398"/>
      <c r="J150" s="2397"/>
      <c r="K150" s="2397"/>
      <c r="L150" s="2398"/>
      <c r="M150" s="2397"/>
      <c r="N150" s="2397"/>
      <c r="O150" s="2398"/>
      <c r="P150" s="2397"/>
      <c r="Q150" s="2397"/>
      <c r="R150" s="2399"/>
    </row>
    <row r="151" spans="2:18" s="2370" customFormat="1">
      <c r="B151" s="2397"/>
      <c r="C151" s="2397"/>
      <c r="D151" s="2397"/>
      <c r="E151" s="2397"/>
      <c r="F151" s="2397"/>
      <c r="G151" s="2398"/>
      <c r="H151" s="2397"/>
      <c r="I151" s="2398"/>
      <c r="J151" s="2397"/>
      <c r="K151" s="2397"/>
      <c r="L151" s="2398"/>
      <c r="M151" s="2397"/>
      <c r="N151" s="2397"/>
      <c r="O151" s="2398"/>
      <c r="P151" s="2397"/>
      <c r="Q151" s="2397"/>
      <c r="R151" s="2399"/>
    </row>
    <row r="152" spans="2:18" s="2370" customFormat="1">
      <c r="B152" s="2397"/>
      <c r="C152" s="2397"/>
      <c r="D152" s="2397"/>
      <c r="E152" s="2397"/>
      <c r="F152" s="2397"/>
      <c r="G152" s="2398"/>
      <c r="H152" s="2397"/>
      <c r="I152" s="2398"/>
      <c r="J152" s="2397"/>
      <c r="K152" s="2397"/>
      <c r="L152" s="2398"/>
      <c r="M152" s="2397"/>
      <c r="N152" s="2397"/>
      <c r="O152" s="2398"/>
      <c r="P152" s="2397"/>
      <c r="Q152" s="2397"/>
      <c r="R152" s="2399"/>
    </row>
    <row r="153" spans="2:18" s="2370" customFormat="1">
      <c r="B153" s="2397"/>
      <c r="C153" s="2397"/>
      <c r="D153" s="2397"/>
      <c r="E153" s="2397"/>
      <c r="F153" s="2397"/>
      <c r="G153" s="2398"/>
      <c r="H153" s="2397"/>
      <c r="I153" s="2398"/>
      <c r="J153" s="2397"/>
      <c r="K153" s="2397"/>
      <c r="L153" s="2398"/>
      <c r="M153" s="2397"/>
      <c r="N153" s="2397"/>
      <c r="O153" s="2398"/>
      <c r="P153" s="2397"/>
      <c r="Q153" s="2397"/>
      <c r="R153" s="2399"/>
    </row>
    <row r="154" spans="2:18" s="2370" customFormat="1">
      <c r="B154" s="2397"/>
      <c r="C154" s="2397"/>
      <c r="D154" s="2397"/>
      <c r="E154" s="2397"/>
      <c r="F154" s="2397"/>
      <c r="G154" s="2398"/>
      <c r="H154" s="2397"/>
      <c r="I154" s="2398"/>
      <c r="J154" s="2397"/>
      <c r="K154" s="2397"/>
      <c r="L154" s="2398"/>
      <c r="M154" s="2397"/>
      <c r="N154" s="2397"/>
      <c r="O154" s="2398"/>
      <c r="P154" s="2397"/>
      <c r="Q154" s="2397"/>
      <c r="R154" s="2399"/>
    </row>
    <row r="155" spans="2:18" s="2370" customFormat="1">
      <c r="B155" s="2397"/>
      <c r="C155" s="2397"/>
      <c r="D155" s="2397"/>
      <c r="E155" s="2397"/>
      <c r="F155" s="2397"/>
      <c r="G155" s="2398"/>
      <c r="H155" s="2397"/>
      <c r="I155" s="2398"/>
      <c r="J155" s="2397"/>
      <c r="K155" s="2397"/>
      <c r="L155" s="2398"/>
      <c r="M155" s="2397"/>
      <c r="N155" s="2397"/>
      <c r="O155" s="2398"/>
      <c r="P155" s="2397"/>
      <c r="Q155" s="2397"/>
      <c r="R155" s="2399"/>
    </row>
    <row r="156" spans="2:18" s="2370" customFormat="1">
      <c r="B156" s="2397"/>
      <c r="C156" s="2397"/>
      <c r="D156" s="2397"/>
      <c r="E156" s="2397"/>
      <c r="F156" s="2397"/>
      <c r="G156" s="2398"/>
      <c r="H156" s="2397"/>
      <c r="I156" s="2398"/>
      <c r="J156" s="2397"/>
      <c r="K156" s="2397"/>
      <c r="L156" s="2398"/>
      <c r="M156" s="2397"/>
      <c r="N156" s="2397"/>
      <c r="O156" s="2398"/>
      <c r="P156" s="2397"/>
      <c r="Q156" s="2397"/>
      <c r="R156" s="2399"/>
    </row>
    <row r="157" spans="2:18" s="2370" customFormat="1">
      <c r="B157" s="2397"/>
      <c r="C157" s="2397"/>
      <c r="D157" s="2397"/>
      <c r="E157" s="2397"/>
      <c r="F157" s="2397"/>
      <c r="G157" s="2398"/>
      <c r="H157" s="2397"/>
      <c r="I157" s="2398"/>
      <c r="J157" s="2397"/>
      <c r="K157" s="2397"/>
      <c r="L157" s="2398"/>
      <c r="M157" s="2397"/>
      <c r="N157" s="2397"/>
      <c r="O157" s="2398"/>
      <c r="P157" s="2397"/>
      <c r="Q157" s="2397"/>
      <c r="R157" s="2399"/>
    </row>
    <row r="158" spans="2:18" s="2370" customFormat="1">
      <c r="B158" s="2397"/>
      <c r="C158" s="2397"/>
      <c r="D158" s="2397"/>
      <c r="E158" s="2397"/>
      <c r="F158" s="2397"/>
      <c r="G158" s="2398"/>
      <c r="H158" s="2397"/>
      <c r="I158" s="2398"/>
      <c r="J158" s="2397"/>
      <c r="K158" s="2397"/>
      <c r="L158" s="2398"/>
      <c r="M158" s="2397"/>
      <c r="N158" s="2397"/>
      <c r="O158" s="2398"/>
      <c r="P158" s="2397"/>
      <c r="Q158" s="2397"/>
      <c r="R158" s="2399"/>
    </row>
    <row r="159" spans="2:18" s="2370" customFormat="1">
      <c r="B159" s="2397"/>
      <c r="C159" s="2397"/>
      <c r="D159" s="2397"/>
      <c r="E159" s="2397"/>
      <c r="F159" s="2397"/>
      <c r="G159" s="2398"/>
      <c r="H159" s="2397"/>
      <c r="I159" s="2398"/>
      <c r="J159" s="2397"/>
      <c r="K159" s="2397"/>
      <c r="L159" s="2398"/>
      <c r="M159" s="2397"/>
      <c r="N159" s="2397"/>
      <c r="O159" s="2398"/>
      <c r="P159" s="2397"/>
      <c r="Q159" s="2397"/>
      <c r="R159" s="2399"/>
    </row>
    <row r="160" spans="2:18" s="2370" customFormat="1">
      <c r="B160" s="2397"/>
      <c r="C160" s="2397"/>
      <c r="D160" s="2397"/>
      <c r="E160" s="2397"/>
      <c r="F160" s="2397"/>
      <c r="G160" s="2398"/>
      <c r="H160" s="2397"/>
      <c r="I160" s="2398"/>
      <c r="J160" s="2397"/>
      <c r="K160" s="2397"/>
      <c r="L160" s="2398"/>
      <c r="M160" s="2397"/>
      <c r="N160" s="2397"/>
      <c r="O160" s="2398"/>
      <c r="P160" s="2397"/>
      <c r="Q160" s="2397"/>
      <c r="R160" s="2399"/>
    </row>
    <row r="161" spans="2:18" s="2370" customFormat="1">
      <c r="B161" s="2397"/>
      <c r="C161" s="2397"/>
      <c r="D161" s="2397"/>
      <c r="E161" s="2397"/>
      <c r="F161" s="2397"/>
      <c r="G161" s="2398"/>
      <c r="H161" s="2397"/>
      <c r="I161" s="2398"/>
      <c r="J161" s="2397"/>
      <c r="K161" s="2397"/>
      <c r="L161" s="2398"/>
      <c r="M161" s="2397"/>
      <c r="N161" s="2397"/>
      <c r="O161" s="2398"/>
      <c r="P161" s="2397"/>
      <c r="Q161" s="2397"/>
      <c r="R161" s="2399"/>
    </row>
    <row r="162" spans="2:18" s="2370" customFormat="1">
      <c r="B162" s="2397"/>
      <c r="C162" s="2397"/>
      <c r="D162" s="2397"/>
      <c r="E162" s="2397"/>
      <c r="F162" s="2397"/>
      <c r="G162" s="2398"/>
      <c r="H162" s="2397"/>
      <c r="I162" s="2398"/>
      <c r="J162" s="2397"/>
      <c r="K162" s="2397"/>
      <c r="L162" s="2398"/>
      <c r="M162" s="2397"/>
      <c r="N162" s="2397"/>
      <c r="O162" s="2398"/>
      <c r="P162" s="2397"/>
      <c r="Q162" s="2397"/>
      <c r="R162" s="2399"/>
    </row>
    <row r="163" spans="2:18" s="2370" customFormat="1">
      <c r="B163" s="2397"/>
      <c r="C163" s="2397"/>
      <c r="D163" s="2397"/>
      <c r="E163" s="2397"/>
      <c r="F163" s="2397"/>
      <c r="G163" s="2398"/>
      <c r="H163" s="2397"/>
      <c r="I163" s="2398"/>
      <c r="J163" s="2397"/>
      <c r="K163" s="2397"/>
      <c r="L163" s="2398"/>
      <c r="M163" s="2397"/>
      <c r="N163" s="2397"/>
      <c r="O163" s="2398"/>
      <c r="P163" s="2397"/>
      <c r="Q163" s="2397"/>
      <c r="R163" s="2399"/>
    </row>
    <row r="164" spans="2:18" s="2370" customFormat="1">
      <c r="B164" s="2397"/>
      <c r="C164" s="2397"/>
      <c r="D164" s="2397"/>
      <c r="E164" s="2397"/>
      <c r="F164" s="2397"/>
      <c r="G164" s="2398"/>
      <c r="H164" s="2397"/>
      <c r="I164" s="2398"/>
      <c r="J164" s="2397"/>
      <c r="K164" s="2397"/>
      <c r="L164" s="2398"/>
      <c r="M164" s="2397"/>
      <c r="N164" s="2397"/>
      <c r="O164" s="2398"/>
      <c r="P164" s="2397"/>
      <c r="Q164" s="2397"/>
      <c r="R164" s="2399"/>
    </row>
    <row r="165" spans="2:18" s="2370" customFormat="1">
      <c r="B165" s="2397"/>
      <c r="C165" s="2397"/>
      <c r="D165" s="2397"/>
      <c r="E165" s="2397"/>
      <c r="F165" s="2397"/>
      <c r="G165" s="2398"/>
      <c r="H165" s="2397"/>
      <c r="I165" s="2398"/>
      <c r="J165" s="2397"/>
      <c r="K165" s="2397"/>
      <c r="L165" s="2398"/>
      <c r="M165" s="2397"/>
      <c r="N165" s="2397"/>
      <c r="O165" s="2398"/>
      <c r="P165" s="2397"/>
      <c r="Q165" s="2397"/>
      <c r="R165" s="2399"/>
    </row>
    <row r="166" spans="2:18" s="2370" customFormat="1">
      <c r="B166" s="2397"/>
      <c r="C166" s="2397"/>
      <c r="D166" s="2397"/>
      <c r="E166" s="2397"/>
      <c r="F166" s="2397"/>
      <c r="G166" s="2398"/>
      <c r="H166" s="2397"/>
      <c r="I166" s="2398"/>
      <c r="J166" s="2397"/>
      <c r="K166" s="2397"/>
      <c r="L166" s="2398"/>
      <c r="M166" s="2397"/>
      <c r="N166" s="2397"/>
      <c r="O166" s="2398"/>
      <c r="P166" s="2397"/>
      <c r="Q166" s="2397"/>
      <c r="R166" s="2399"/>
    </row>
    <row r="167" spans="2:18" s="2370" customFormat="1">
      <c r="B167" s="2397"/>
      <c r="C167" s="2397"/>
      <c r="D167" s="2397"/>
      <c r="E167" s="2397"/>
      <c r="F167" s="2397"/>
      <c r="G167" s="2398"/>
      <c r="H167" s="2397"/>
      <c r="I167" s="2398"/>
      <c r="J167" s="2397"/>
      <c r="K167" s="2397"/>
      <c r="L167" s="2398"/>
      <c r="M167" s="2397"/>
      <c r="N167" s="2397"/>
      <c r="O167" s="2398"/>
      <c r="P167" s="2397"/>
      <c r="Q167" s="2397"/>
      <c r="R167" s="2399"/>
    </row>
    <row r="168" spans="2:18" s="2370" customFormat="1">
      <c r="B168" s="2397"/>
      <c r="C168" s="2397"/>
      <c r="D168" s="2397"/>
      <c r="E168" s="2397"/>
      <c r="F168" s="2397"/>
      <c r="G168" s="2398"/>
      <c r="H168" s="2397"/>
      <c r="I168" s="2398"/>
      <c r="J168" s="2397"/>
      <c r="K168" s="2397"/>
      <c r="L168" s="2398"/>
      <c r="M168" s="2397"/>
      <c r="N168" s="2397"/>
      <c r="O168" s="2398"/>
      <c r="P168" s="2397"/>
      <c r="Q168" s="2397"/>
      <c r="R168" s="2399"/>
    </row>
    <row r="169" spans="2:18" s="2370" customFormat="1">
      <c r="B169" s="2397"/>
      <c r="C169" s="2397"/>
      <c r="D169" s="2397"/>
      <c r="E169" s="2397"/>
      <c r="F169" s="2397"/>
      <c r="G169" s="2398"/>
      <c r="H169" s="2397"/>
      <c r="I169" s="2398"/>
      <c r="J169" s="2397"/>
      <c r="K169" s="2397"/>
      <c r="L169" s="2398"/>
      <c r="M169" s="2397"/>
      <c r="N169" s="2397"/>
      <c r="O169" s="2398"/>
      <c r="P169" s="2397"/>
      <c r="Q169" s="2397"/>
      <c r="R169" s="2399"/>
    </row>
    <row r="170" spans="2:18" s="2370" customFormat="1">
      <c r="B170" s="2397"/>
      <c r="C170" s="2397"/>
      <c r="D170" s="2397"/>
      <c r="E170" s="2397"/>
      <c r="F170" s="2397"/>
      <c r="G170" s="2398"/>
      <c r="H170" s="2397"/>
      <c r="I170" s="2398"/>
      <c r="J170" s="2397"/>
      <c r="K170" s="2397"/>
      <c r="L170" s="2398"/>
      <c r="M170" s="2397"/>
      <c r="N170" s="2397"/>
      <c r="O170" s="2398"/>
      <c r="P170" s="2397"/>
      <c r="Q170" s="2397"/>
      <c r="R170" s="2399"/>
    </row>
    <row r="171" spans="2:18" s="2370" customFormat="1">
      <c r="B171" s="2397"/>
      <c r="C171" s="2397"/>
      <c r="D171" s="2397"/>
      <c r="E171" s="2397"/>
      <c r="F171" s="2397"/>
      <c r="G171" s="2398"/>
      <c r="H171" s="2397"/>
      <c r="I171" s="2398"/>
      <c r="J171" s="2397"/>
      <c r="K171" s="2397"/>
      <c r="L171" s="2398"/>
      <c r="M171" s="2397"/>
      <c r="N171" s="2397"/>
      <c r="O171" s="2398"/>
      <c r="P171" s="2397"/>
      <c r="Q171" s="2397"/>
      <c r="R171" s="2399"/>
    </row>
    <row r="172" spans="2:18" s="2370" customFormat="1">
      <c r="B172" s="2397"/>
      <c r="C172" s="2397"/>
      <c r="D172" s="2397"/>
      <c r="E172" s="2397"/>
      <c r="F172" s="2397"/>
      <c r="G172" s="2398"/>
      <c r="H172" s="2397"/>
      <c r="I172" s="2398"/>
      <c r="J172" s="2397"/>
      <c r="K172" s="2397"/>
      <c r="L172" s="2398"/>
      <c r="M172" s="2397"/>
      <c r="N172" s="2397"/>
      <c r="O172" s="2398"/>
      <c r="P172" s="2397"/>
      <c r="Q172" s="2397"/>
      <c r="R172" s="2399"/>
    </row>
    <row r="173" spans="2:18" s="2370" customFormat="1">
      <c r="B173" s="2397"/>
      <c r="C173" s="2397"/>
      <c r="D173" s="2397"/>
      <c r="E173" s="2397"/>
      <c r="F173" s="2397"/>
      <c r="G173" s="2398"/>
      <c r="H173" s="2397"/>
      <c r="I173" s="2398"/>
      <c r="J173" s="2397"/>
      <c r="K173" s="2397"/>
      <c r="L173" s="2398"/>
      <c r="M173" s="2397"/>
      <c r="N173" s="2397"/>
      <c r="O173" s="2398"/>
      <c r="P173" s="2397"/>
      <c r="Q173" s="2397"/>
      <c r="R173" s="2399"/>
    </row>
    <row r="174" spans="2:18" s="2370" customFormat="1">
      <c r="B174" s="2397"/>
      <c r="C174" s="2397"/>
      <c r="D174" s="2397"/>
      <c r="E174" s="2397"/>
      <c r="F174" s="2397"/>
      <c r="G174" s="2398"/>
      <c r="H174" s="2397"/>
      <c r="I174" s="2398"/>
      <c r="J174" s="2397"/>
      <c r="K174" s="2397"/>
      <c r="L174" s="2398"/>
      <c r="M174" s="2397"/>
      <c r="N174" s="2397"/>
      <c r="O174" s="2398"/>
      <c r="P174" s="2397"/>
      <c r="Q174" s="2397"/>
      <c r="R174" s="2399"/>
    </row>
    <row r="175" spans="2:18" s="2370" customFormat="1">
      <c r="B175" s="2397"/>
      <c r="C175" s="2397"/>
      <c r="D175" s="2397"/>
      <c r="E175" s="2397"/>
      <c r="F175" s="2397"/>
      <c r="G175" s="2398"/>
      <c r="H175" s="2397"/>
      <c r="I175" s="2398"/>
      <c r="J175" s="2397"/>
      <c r="K175" s="2397"/>
      <c r="L175" s="2398"/>
      <c r="M175" s="2397"/>
      <c r="N175" s="2397"/>
      <c r="O175" s="2398"/>
      <c r="P175" s="2397"/>
      <c r="Q175" s="2397"/>
      <c r="R175" s="2399"/>
    </row>
    <row r="176" spans="2:18" s="2370" customFormat="1">
      <c r="B176" s="2397"/>
      <c r="C176" s="2397"/>
      <c r="D176" s="2397"/>
      <c r="E176" s="2397"/>
      <c r="F176" s="2397"/>
      <c r="G176" s="2398"/>
      <c r="H176" s="2397"/>
      <c r="I176" s="2398"/>
      <c r="J176" s="2397"/>
      <c r="K176" s="2397"/>
      <c r="L176" s="2398"/>
      <c r="M176" s="2397"/>
      <c r="N176" s="2397"/>
      <c r="O176" s="2398"/>
      <c r="P176" s="2397"/>
      <c r="Q176" s="2397"/>
      <c r="R176" s="2399"/>
    </row>
    <row r="177" spans="1:18" s="2370" customFormat="1">
      <c r="B177" s="2397"/>
      <c r="C177" s="2397"/>
      <c r="D177" s="2397"/>
      <c r="E177" s="2397"/>
      <c r="F177" s="2397"/>
      <c r="G177" s="2398"/>
      <c r="H177" s="2397"/>
      <c r="I177" s="2398"/>
      <c r="J177" s="2397"/>
      <c r="K177" s="2397"/>
      <c r="L177" s="2398"/>
      <c r="M177" s="2397"/>
      <c r="N177" s="2397"/>
      <c r="O177" s="2398"/>
      <c r="P177" s="2397"/>
      <c r="Q177" s="2397"/>
      <c r="R177" s="2399"/>
    </row>
    <row r="178" spans="1:18" s="2370" customFormat="1">
      <c r="B178" s="2397"/>
      <c r="C178" s="2397"/>
      <c r="D178" s="2397"/>
      <c r="E178" s="2397"/>
      <c r="F178" s="2397"/>
      <c r="G178" s="2398"/>
      <c r="H178" s="2397"/>
      <c r="I178" s="2398"/>
      <c r="J178" s="2397"/>
      <c r="K178" s="2397"/>
      <c r="L178" s="2398"/>
      <c r="M178" s="2397"/>
      <c r="N178" s="2397"/>
      <c r="O178" s="2398"/>
      <c r="P178" s="2397"/>
      <c r="Q178" s="2397"/>
      <c r="R178" s="2399"/>
    </row>
    <row r="179" spans="1:18" s="2370" customFormat="1">
      <c r="B179" s="2397"/>
      <c r="C179" s="2397"/>
      <c r="D179" s="2397"/>
      <c r="E179" s="2397"/>
      <c r="F179" s="2397"/>
      <c r="G179" s="2398"/>
      <c r="H179" s="2397"/>
      <c r="I179" s="2398"/>
      <c r="J179" s="2397"/>
      <c r="K179" s="2397"/>
      <c r="L179" s="2398"/>
      <c r="M179" s="2397"/>
      <c r="N179" s="2397"/>
      <c r="O179" s="2398"/>
      <c r="P179" s="2397"/>
      <c r="Q179" s="2397"/>
      <c r="R179" s="2399"/>
    </row>
    <row r="180" spans="1:18" s="2370" customFormat="1">
      <c r="B180" s="2397"/>
      <c r="C180" s="2397"/>
      <c r="D180" s="2397"/>
      <c r="E180" s="2397"/>
      <c r="F180" s="2397"/>
      <c r="G180" s="2398"/>
      <c r="H180" s="2397"/>
      <c r="I180" s="2398"/>
      <c r="J180" s="2397"/>
      <c r="K180" s="2397"/>
      <c r="L180" s="2398"/>
      <c r="M180" s="2397"/>
      <c r="N180" s="2397"/>
      <c r="O180" s="2398"/>
      <c r="P180" s="2397"/>
      <c r="Q180" s="2397"/>
      <c r="R180" s="2399"/>
    </row>
    <row r="181" spans="1:18" s="2370" customFormat="1">
      <c r="B181" s="2397"/>
      <c r="C181" s="2397"/>
      <c r="D181" s="2397"/>
      <c r="E181" s="2397"/>
      <c r="F181" s="2397"/>
      <c r="G181" s="2398"/>
      <c r="H181" s="2397"/>
      <c r="I181" s="2398"/>
      <c r="J181" s="2397"/>
      <c r="K181" s="2397"/>
      <c r="L181" s="2398"/>
      <c r="M181" s="2397"/>
      <c r="N181" s="2397"/>
      <c r="O181" s="2398"/>
      <c r="P181" s="2397"/>
      <c r="Q181" s="2397"/>
      <c r="R181" s="2399"/>
    </row>
    <row r="182" spans="1:18" s="2370" customFormat="1">
      <c r="B182" s="2397"/>
      <c r="C182" s="2397"/>
      <c r="D182" s="2397"/>
      <c r="E182" s="2397"/>
      <c r="F182" s="2397"/>
      <c r="G182" s="2398"/>
      <c r="H182" s="2397"/>
      <c r="I182" s="2398"/>
      <c r="J182" s="2397"/>
      <c r="K182" s="2397"/>
      <c r="L182" s="2398"/>
      <c r="M182" s="2397"/>
      <c r="N182" s="2397"/>
      <c r="O182" s="2398"/>
      <c r="P182" s="2397"/>
      <c r="Q182" s="2397"/>
      <c r="R182" s="2399"/>
    </row>
    <row r="183" spans="1:18" s="2370" customFormat="1">
      <c r="B183" s="2397"/>
      <c r="C183" s="2397"/>
      <c r="D183" s="2397"/>
      <c r="E183" s="2397"/>
      <c r="F183" s="2397"/>
      <c r="G183" s="2398"/>
      <c r="H183" s="2397"/>
      <c r="I183" s="2398"/>
      <c r="J183" s="2397"/>
      <c r="K183" s="2397"/>
      <c r="L183" s="2398"/>
      <c r="M183" s="2397"/>
      <c r="N183" s="2397"/>
      <c r="O183" s="2398"/>
      <c r="P183" s="2397"/>
      <c r="Q183" s="2397"/>
      <c r="R183" s="2399"/>
    </row>
    <row r="184" spans="1:18" s="2370" customFormat="1">
      <c r="B184" s="2397"/>
      <c r="C184" s="2397"/>
      <c r="D184" s="2397"/>
      <c r="E184" s="2397"/>
      <c r="F184" s="2397"/>
      <c r="G184" s="2398"/>
      <c r="H184" s="2397"/>
      <c r="I184" s="2398"/>
      <c r="J184" s="2397"/>
      <c r="K184" s="2397"/>
      <c r="L184" s="2398"/>
      <c r="M184" s="2397"/>
      <c r="N184" s="2397"/>
      <c r="O184" s="2398"/>
      <c r="P184" s="2397"/>
      <c r="Q184" s="2397"/>
      <c r="R184" s="2399"/>
    </row>
    <row r="185" spans="1:18" s="2370"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0"/>
      <c r="B186" s="2397"/>
      <c r="C186" s="2397"/>
      <c r="E186" s="2397"/>
      <c r="F186" s="2397"/>
      <c r="G186" s="2398"/>
    </row>
    <row r="187" spans="1:18">
      <c r="A187" s="2370"/>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5" sqref="H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124.73</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43217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822</v>
      </c>
      <c r="C5" s="1746">
        <f ca="1">ROUND(B5*10000/$B$1,0)</f>
        <v>65902</v>
      </c>
      <c r="D5" s="1746" t="e">
        <f ca="1">ROUND(B5*10000/$B$2,0)</f>
        <v>#DIV/0!</v>
      </c>
      <c r="E5" s="1745"/>
      <c r="F5" s="1743"/>
      <c r="G5" s="1743"/>
    </row>
    <row r="6" spans="1:10" ht="16.5">
      <c r="A6" s="1746" t="s">
        <v>1356</v>
      </c>
      <c r="B6" s="1746">
        <f>SUM(G14:G23)</f>
        <v>0</v>
      </c>
      <c r="C6" s="1746">
        <f>ROUND(B6*10000/$B$1,0)</f>
        <v>0</v>
      </c>
      <c r="D6" s="1746" t="e">
        <f>ROUND(B6*10000/$B$2,0)</f>
        <v>#DIV/0!</v>
      </c>
      <c r="E6" s="1745"/>
      <c r="F6" s="1743"/>
      <c r="G6" s="1743"/>
    </row>
    <row r="7" spans="1:10" ht="16.5">
      <c r="A7" s="1746" t="s">
        <v>1364</v>
      </c>
      <c r="B7" s="1746">
        <f ca="1">SUM(H14:H23)</f>
        <v>822</v>
      </c>
      <c r="C7" s="1746">
        <f ca="1">ROUND(B7*10000/$B$1,0)</f>
        <v>65902</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'数据-基础表'!B3</f>
        <v>124.73</v>
      </c>
      <c r="C14" s="1744">
        <f>结果表!C118</f>
        <v>0</v>
      </c>
      <c r="D14" s="1744">
        <f ca="1">典型户型修正!S22</f>
        <v>822</v>
      </c>
      <c r="E14" s="1744">
        <f ca="1">ROUND(D14*10000/B14,0)</f>
        <v>65902</v>
      </c>
      <c r="F14" s="1744" t="e">
        <f ca="1">ROUND(D14*10000/C14,0)</f>
        <v>#DIV/0!</v>
      </c>
      <c r="G14" s="1744" t="str">
        <f>结果表!D122</f>
        <v>——</v>
      </c>
      <c r="H14" s="1744">
        <f ca="1">D14</f>
        <v>822</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2105</v>
      </c>
      <c r="B1" s="2420"/>
      <c r="C1" s="2421" t="s">
        <v>3054</v>
      </c>
      <c r="D1" s="2420"/>
      <c r="E1" s="2420"/>
      <c r="F1" s="2422" t="s">
        <v>2106</v>
      </c>
      <c r="G1" s="2072" t="s">
        <v>3044</v>
      </c>
      <c r="H1" s="2423" t="str">
        <f>IF(G1="现房","——","估价对象范围")</f>
        <v>——</v>
      </c>
      <c r="I1" s="2424" t="s">
        <v>3098</v>
      </c>
    </row>
    <row r="2" spans="1:12" ht="21.75" customHeight="1" thickBot="1">
      <c r="A2" s="3125" t="str">
        <f>项目基本情况!S2</f>
        <v>北京市海淀区枫涟山庄12号楼2层5单元201号房地产</v>
      </c>
      <c r="B2" s="3126"/>
      <c r="C2" s="3126"/>
      <c r="D2" s="3126"/>
      <c r="E2" s="3126"/>
      <c r="F2" s="3126"/>
      <c r="G2" s="3126"/>
      <c r="H2" s="3126"/>
      <c r="I2" s="3127"/>
    </row>
    <row r="3" spans="1:12" ht="12.75">
      <c r="A3" s="3128" t="s">
        <v>2107</v>
      </c>
      <c r="B3" s="3129"/>
      <c r="C3" s="3129"/>
      <c r="D3" s="3129"/>
      <c r="E3" s="3129"/>
      <c r="F3" s="3129"/>
      <c r="G3" s="3129"/>
      <c r="H3" s="3129"/>
      <c r="I3" s="3129"/>
    </row>
    <row r="4" spans="1:12" ht="14.25">
      <c r="A4" s="2427" t="s">
        <v>2108</v>
      </c>
      <c r="B4" s="2428" t="s">
        <v>2109</v>
      </c>
      <c r="C4" s="2429" t="s">
        <v>3097</v>
      </c>
      <c r="D4" s="2429" t="s">
        <v>3057</v>
      </c>
      <c r="E4" s="3109" t="s">
        <v>2110</v>
      </c>
      <c r="F4" s="3122"/>
      <c r="G4" s="3122"/>
      <c r="H4" s="3122"/>
      <c r="I4" s="3110"/>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0" t="s">
        <v>2111</v>
      </c>
      <c r="B5" s="3026">
        <v>25</v>
      </c>
      <c r="C5" s="3130"/>
      <c r="D5" s="3118"/>
      <c r="E5" s="140" t="s">
        <v>2112</v>
      </c>
      <c r="F5" s="2431"/>
      <c r="G5" s="2431"/>
      <c r="H5" s="2431"/>
      <c r="I5" s="1833"/>
    </row>
    <row r="6" spans="1:12" ht="12.75">
      <c r="A6" s="3100"/>
      <c r="B6" s="3026"/>
      <c r="C6" s="3132"/>
      <c r="D6" s="3118"/>
      <c r="E6" s="140" t="s">
        <v>2113</v>
      </c>
      <c r="F6" s="2431"/>
      <c r="G6" s="2431"/>
      <c r="H6" s="2431"/>
      <c r="I6" s="1833"/>
    </row>
    <row r="7" spans="1:12" ht="12.75">
      <c r="A7" s="3100"/>
      <c r="B7" s="3026"/>
      <c r="C7" s="3131"/>
      <c r="D7" s="3118"/>
      <c r="E7" s="140" t="s">
        <v>2114</v>
      </c>
      <c r="F7" s="2431"/>
      <c r="G7" s="2431"/>
      <c r="H7" s="2431"/>
      <c r="I7" s="1833"/>
    </row>
    <row r="8" spans="1:12" ht="12.75">
      <c r="A8" s="3100" t="s">
        <v>2115</v>
      </c>
      <c r="B8" s="3026">
        <v>15</v>
      </c>
      <c r="C8" s="3130"/>
      <c r="D8" s="3118"/>
      <c r="E8" s="140" t="s">
        <v>2116</v>
      </c>
      <c r="F8" s="2431"/>
      <c r="G8" s="2431"/>
      <c r="H8" s="2431"/>
      <c r="I8" s="1833"/>
    </row>
    <row r="9" spans="1:12" ht="12.75">
      <c r="A9" s="3100"/>
      <c r="B9" s="3026"/>
      <c r="C9" s="3131"/>
      <c r="D9" s="3118"/>
      <c r="E9" s="140" t="s">
        <v>2117</v>
      </c>
      <c r="F9" s="2431"/>
      <c r="G9" s="2431"/>
      <c r="H9" s="2431"/>
      <c r="I9" s="1833"/>
    </row>
    <row r="10" spans="1:12" ht="12.75">
      <c r="A10" s="3100" t="s">
        <v>2118</v>
      </c>
      <c r="B10" s="3026">
        <v>15</v>
      </c>
      <c r="C10" s="3130"/>
      <c r="D10" s="3118"/>
      <c r="E10" s="140" t="s">
        <v>2119</v>
      </c>
      <c r="F10" s="2431"/>
      <c r="G10" s="2431"/>
      <c r="H10" s="2431"/>
      <c r="I10" s="1833"/>
    </row>
    <row r="11" spans="1:12" ht="12.75">
      <c r="A11" s="3100"/>
      <c r="B11" s="3026"/>
      <c r="C11" s="3131"/>
      <c r="D11" s="3118"/>
      <c r="E11" s="140" t="s">
        <v>2120</v>
      </c>
      <c r="F11" s="2431"/>
      <c r="G11" s="2431"/>
      <c r="H11" s="2431"/>
      <c r="I11" s="1833"/>
    </row>
    <row r="12" spans="1:12" ht="12.75">
      <c r="A12" s="3100" t="s">
        <v>2121</v>
      </c>
      <c r="B12" s="3026">
        <v>15</v>
      </c>
      <c r="C12" s="3130"/>
      <c r="D12" s="3118"/>
      <c r="E12" s="140" t="s">
        <v>2122</v>
      </c>
      <c r="F12" s="2431"/>
      <c r="G12" s="2431"/>
      <c r="H12" s="2431"/>
      <c r="I12" s="1833"/>
    </row>
    <row r="13" spans="1:12" ht="12.75">
      <c r="A13" s="3100"/>
      <c r="B13" s="3026"/>
      <c r="C13" s="3131"/>
      <c r="D13" s="3118"/>
      <c r="E13" s="140" t="s">
        <v>2123</v>
      </c>
      <c r="F13" s="2431"/>
      <c r="G13" s="2431"/>
      <c r="H13" s="2431"/>
      <c r="I13" s="1833"/>
    </row>
    <row r="14" spans="1:12" ht="12.75">
      <c r="A14" s="3100" t="s">
        <v>2124</v>
      </c>
      <c r="B14" s="3026">
        <v>30</v>
      </c>
      <c r="C14" s="3130">
        <v>8</v>
      </c>
      <c r="D14" s="3118">
        <v>2</v>
      </c>
      <c r="E14" s="140" t="s">
        <v>2125</v>
      </c>
      <c r="F14" s="2431"/>
      <c r="G14" s="2431"/>
      <c r="H14" s="2431"/>
      <c r="I14" s="1833"/>
    </row>
    <row r="15" spans="1:12" ht="12.75">
      <c r="A15" s="3100"/>
      <c r="B15" s="3026"/>
      <c r="C15" s="3132"/>
      <c r="D15" s="3118"/>
      <c r="E15" s="140" t="s">
        <v>2126</v>
      </c>
      <c r="F15" s="2431"/>
      <c r="G15" s="2431"/>
      <c r="H15" s="2431"/>
      <c r="I15" s="1833"/>
    </row>
    <row r="16" spans="1:12" ht="12.75">
      <c r="A16" s="3100"/>
      <c r="B16" s="3026"/>
      <c r="C16" s="3131"/>
      <c r="D16" s="3118"/>
      <c r="E16" s="140" t="s">
        <v>2127</v>
      </c>
      <c r="F16" s="2431"/>
      <c r="G16" s="2431"/>
      <c r="H16" s="2431"/>
      <c r="I16" s="1833"/>
    </row>
    <row r="17" spans="1:35" ht="15">
      <c r="A17" s="2432" t="s">
        <v>2128</v>
      </c>
      <c r="B17" s="64"/>
      <c r="C17" s="141">
        <f>SUM(C5:C16)</f>
        <v>8</v>
      </c>
      <c r="D17" s="141">
        <f>SUM(D5:D16)</f>
        <v>2</v>
      </c>
      <c r="E17" s="138"/>
      <c r="F17" s="138"/>
      <c r="G17" s="138"/>
      <c r="H17" s="138"/>
      <c r="I17" s="138"/>
      <c r="K17" s="2430"/>
      <c r="L17" s="2433" t="s">
        <v>2129</v>
      </c>
      <c r="M17" s="2433" t="s">
        <v>2130</v>
      </c>
    </row>
    <row r="18" spans="1:35" ht="15.75" thickBot="1">
      <c r="A18" s="2434" t="s">
        <v>2131</v>
      </c>
      <c r="B18" s="2435"/>
      <c r="C18" s="142">
        <f>ROUND(C17/SUM(C17:D17),2)</f>
        <v>0.8</v>
      </c>
      <c r="D18" s="142">
        <f>1-C18</f>
        <v>0.19999999999999996</v>
      </c>
      <c r="E18" s="138"/>
      <c r="F18" s="138"/>
      <c r="G18" s="138"/>
      <c r="H18" s="138"/>
      <c r="I18" s="138"/>
      <c r="K18" s="2430" t="s">
        <v>2132</v>
      </c>
      <c r="L18" s="2430">
        <f>IF(C1="",'数据-汇总表'!E3,SUMIF(项目类型,C1,'数据-汇总表'!E17:E26)+SUMIF(项目类型,C1,'数据-汇总表'!I17:I26))</f>
        <v>124.73</v>
      </c>
      <c r="M18" s="2430">
        <f>IF(C1="",'数据-汇总表'!E3,SUMIF(项目类型,C1,'数据-汇总表'!E17:E26))</f>
        <v>124.73</v>
      </c>
    </row>
    <row r="19" spans="1:35" ht="15">
      <c r="A19" s="2436" t="s">
        <v>2133</v>
      </c>
      <c r="B19" s="2437" t="s">
        <v>2134</v>
      </c>
      <c r="C19" s="143">
        <f ca="1">SUMIF(INDIRECT("'"&amp;C4&amp;"'"&amp;"!A:A"),结果表!B19,INDIRECT("'"&amp;C4&amp;"'"&amp;"!B:B"))</f>
        <v>947</v>
      </c>
      <c r="D19" s="144">
        <f ca="1">SUMIF(INDIRECT("'"&amp;D4&amp;"'"&amp;"!A:A"),结果表!B19,INDIRECT("'"&amp;D4&amp;"'"&amp;"!B:B"))</f>
        <v>322</v>
      </c>
      <c r="E19" s="2436" t="s">
        <v>2135</v>
      </c>
      <c r="F19" s="2437" t="s">
        <v>2134</v>
      </c>
      <c r="G19" s="145">
        <f ca="1">ROUND(C19*$C$18+D19*$D$18,0)</f>
        <v>822</v>
      </c>
      <c r="H19" s="2438" t="s">
        <v>2136</v>
      </c>
      <c r="I19" s="138"/>
      <c r="K19" s="2430" t="s">
        <v>2137</v>
      </c>
      <c r="L19" s="2430">
        <f>IF(C1="",'数据-汇总表'!D3,SUMIF(项目类型,C1,'数据-汇总表'!D17:D26)+SUMIF(项目类型,C1,'数据-汇总表'!H17:H27))</f>
        <v>0</v>
      </c>
      <c r="M19" s="2430">
        <f>IF(C1="",'数据-汇总表'!D3,SUMIF(项目类型,C1,'数据-汇总表'!D17:D26))</f>
        <v>0</v>
      </c>
    </row>
    <row r="20" spans="1:35" ht="15">
      <c r="A20" s="2439"/>
      <c r="B20" s="1250" t="s">
        <v>2138</v>
      </c>
      <c r="C20" s="146">
        <f ca="1">SUMIF(INDIRECT("'"&amp;C4&amp;"'"&amp;"!A:A"),结果表!B20,INDIRECT("'"&amp;C4&amp;"'"&amp;"!B:B"))</f>
        <v>75928</v>
      </c>
      <c r="D20" s="147">
        <f ca="1">SUMIF(INDIRECT("'"&amp;D4&amp;"'"&amp;"!A:A"),结果表!B20,INDIRECT("'"&amp;D4&amp;"'"&amp;"!B:B"))</f>
        <v>25785</v>
      </c>
      <c r="E20" s="2439"/>
      <c r="F20" s="1250" t="s">
        <v>2138</v>
      </c>
      <c r="G20" s="148">
        <f ca="1">ROUND(C20*$C$18+D20*$D$18,0)</f>
        <v>65899</v>
      </c>
      <c r="H20" s="983" t="s">
        <v>2139</v>
      </c>
      <c r="I20" s="138"/>
    </row>
    <row r="21" spans="1:35" ht="15" customHeight="1" thickBot="1">
      <c r="A21" s="1003"/>
      <c r="B21" s="2440" t="s">
        <v>2140</v>
      </c>
      <c r="C21" s="789" t="e">
        <f ca="1">ROUND(C19*10000/L19,0)</f>
        <v>#DIV/0!</v>
      </c>
      <c r="D21" s="790" t="e">
        <f ca="1">ROUND(D19*10000/L19,0)</f>
        <v>#DIV/0!</v>
      </c>
      <c r="E21" s="1003"/>
      <c r="F21" s="2440" t="s">
        <v>2140</v>
      </c>
      <c r="G21" s="149" t="e">
        <f ca="1">ROUND(G19*10000/L19,0)</f>
        <v>#DIV/0!</v>
      </c>
      <c r="H21" s="2441" t="s">
        <v>2139</v>
      </c>
      <c r="I21" s="138"/>
    </row>
    <row r="22" spans="1:35" ht="15" thickBot="1">
      <c r="A22" s="2283" t="s">
        <v>2141</v>
      </c>
      <c r="B22" s="2442"/>
      <c r="C22" s="2443"/>
      <c r="D22" s="791">
        <f ca="1">IF(C19&lt;D19,D19/C19-1,C19/D19-1)</f>
        <v>1.9409937888198758</v>
      </c>
      <c r="E22" s="138"/>
      <c r="F22" s="138"/>
      <c r="G22" s="138"/>
      <c r="H22" s="138"/>
      <c r="I22" s="138"/>
    </row>
    <row r="23" spans="1:35" ht="13.5" thickBot="1">
      <c r="A23" s="2420"/>
      <c r="B23" s="2420"/>
      <c r="C23" s="2420"/>
      <c r="D23" s="2420"/>
      <c r="E23" s="138"/>
      <c r="F23" s="138"/>
      <c r="G23" s="138"/>
      <c r="H23" s="138"/>
      <c r="I23" s="138"/>
    </row>
    <row r="24" spans="1:35" ht="14.25">
      <c r="A24" s="3139" t="s">
        <v>2142</v>
      </c>
      <c r="B24" s="2437" t="s">
        <v>2134</v>
      </c>
      <c r="C24" s="145">
        <f>IF(B30=0,0,D30)</f>
        <v>0</v>
      </c>
      <c r="D24" s="2444"/>
      <c r="E24" s="138"/>
      <c r="F24" s="138"/>
      <c r="G24" s="138"/>
      <c r="H24" s="138"/>
      <c r="I24" s="138"/>
    </row>
    <row r="25" spans="1:35" ht="14.25">
      <c r="A25" s="3140"/>
      <c r="B25" s="1250" t="s">
        <v>2138</v>
      </c>
      <c r="C25" s="150">
        <f>IF(B30=0,0,C30)</f>
        <v>0</v>
      </c>
      <c r="D25" s="2445"/>
      <c r="E25" s="138"/>
      <c r="F25" s="138"/>
      <c r="G25" s="138"/>
      <c r="H25" s="138"/>
      <c r="I25" s="138"/>
    </row>
    <row r="26" spans="1:35" ht="13.5" customHeight="1">
      <c r="A26" s="2446" t="s">
        <v>2143</v>
      </c>
      <c r="B26" s="151" t="s">
        <v>2144</v>
      </c>
      <c r="C26" s="151" t="s">
        <v>2145</v>
      </c>
      <c r="D26" s="152" t="s">
        <v>2146</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2147</v>
      </c>
      <c r="B30" s="151"/>
      <c r="C30" s="151"/>
      <c r="D30" s="151"/>
      <c r="E30" s="2926" t="s">
        <v>3020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2148</v>
      </c>
      <c r="B32" s="2450"/>
      <c r="C32" s="153">
        <f ca="1">IF(D32="总价",G19-C24,G20-C25)</f>
        <v>822</v>
      </c>
      <c r="D32" s="2451" t="s">
        <v>2149</v>
      </c>
      <c r="E32" s="138"/>
      <c r="F32" s="138"/>
      <c r="G32" s="138"/>
      <c r="H32" s="138"/>
      <c r="I32" s="138"/>
    </row>
    <row r="33" spans="1:15" ht="15">
      <c r="A33" s="960" t="s">
        <v>2150</v>
      </c>
      <c r="B33" s="2452"/>
      <c r="C33" s="2453"/>
      <c r="D33" s="2454"/>
      <c r="E33" s="2455" t="s">
        <v>2151</v>
      </c>
      <c r="F33" s="2456" t="str">
        <f>IF(D32="楼面单价","取值（单价）","取值（总价）")</f>
        <v>取值（总价）</v>
      </c>
      <c r="G33" s="138"/>
      <c r="H33" s="138"/>
      <c r="I33" s="138"/>
    </row>
    <row r="34" spans="1:15" ht="15">
      <c r="A34" s="2457"/>
      <c r="B34" s="2458" t="s">
        <v>2152</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2153</v>
      </c>
      <c r="F34" s="1739"/>
      <c r="G34" s="138"/>
      <c r="H34" s="138"/>
      <c r="I34" s="138"/>
    </row>
    <row r="35" spans="1:15" ht="15.75" thickBot="1">
      <c r="A35" s="2460"/>
      <c r="B35" s="2461" t="s">
        <v>2154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2155</v>
      </c>
      <c r="F35" s="163"/>
      <c r="G35" s="138"/>
      <c r="H35" s="138"/>
      <c r="I35" s="138"/>
    </row>
    <row r="36" spans="1:15" ht="15.75" thickBot="1">
      <c r="A36" s="3119" t="s">
        <v>2156</v>
      </c>
      <c r="B36" s="2463" t="s">
        <v>2157</v>
      </c>
      <c r="C36" s="154"/>
      <c r="D36" s="2464"/>
      <c r="E36" s="2465"/>
      <c r="F36" s="2466"/>
      <c r="G36" s="138"/>
      <c r="H36" s="138"/>
      <c r="I36" s="138"/>
    </row>
    <row r="37" spans="1:15" ht="15.75" thickBot="1">
      <c r="A37" s="3120"/>
      <c r="B37" s="2269" t="s">
        <v>2158</v>
      </c>
      <c r="C37" s="156"/>
      <c r="D37" s="1395"/>
      <c r="E37" s="1395"/>
      <c r="F37" s="2466"/>
      <c r="G37" s="138"/>
      <c r="H37" s="138"/>
      <c r="I37" s="138"/>
    </row>
    <row r="38" spans="1:15" ht="15.75" thickBot="1">
      <c r="A38" s="3121"/>
      <c r="B38" s="2467" t="s">
        <v>2159</v>
      </c>
      <c r="C38" s="727"/>
      <c r="D38" s="2468" t="s">
        <v>2160</v>
      </c>
      <c r="E38" s="1395"/>
      <c r="F38" s="2466"/>
      <c r="G38" s="138"/>
      <c r="H38" s="138"/>
      <c r="I38" s="138"/>
    </row>
    <row r="39" spans="1:15" ht="15">
      <c r="A39" s="2439" t="s">
        <v>2161</v>
      </c>
      <c r="B39" s="2469" t="s">
        <v>2162</v>
      </c>
      <c r="C39" s="2470" t="s">
        <v>2163</v>
      </c>
      <c r="D39" s="2470" t="s">
        <v>2164</v>
      </c>
      <c r="E39" s="2471" t="s">
        <v>2165</v>
      </c>
      <c r="F39" s="2466"/>
      <c r="G39" s="138"/>
      <c r="H39" s="138"/>
      <c r="I39" s="138"/>
    </row>
    <row r="40" spans="1:15" ht="14.25">
      <c r="A40" s="2472" t="s">
        <v>2166</v>
      </c>
      <c r="B40" s="158"/>
      <c r="C40" s="159"/>
      <c r="D40" s="159"/>
      <c r="E40" s="160"/>
      <c r="F40" s="2466"/>
      <c r="G40" s="138"/>
      <c r="H40" s="138"/>
      <c r="I40" s="138"/>
    </row>
    <row r="41" spans="1:15" ht="14.25">
      <c r="A41" s="2472" t="s">
        <v>2167</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7"/>
      <c r="B43" s="2167"/>
      <c r="C43" s="2167"/>
      <c r="D43" s="2167"/>
      <c r="E43" s="2167"/>
      <c r="F43" s="2474"/>
      <c r="G43" s="2474"/>
      <c r="H43" s="2474"/>
      <c r="I43" s="2475"/>
    </row>
    <row r="44" spans="1:15" ht="18.75">
      <c r="A44" s="2476" t="s">
        <v>2168</v>
      </c>
      <c r="B44" s="2477"/>
      <c r="C44" s="2477"/>
      <c r="D44" s="2478"/>
      <c r="E44" s="2478"/>
      <c r="F44" s="2479"/>
      <c r="G44" s="2479"/>
      <c r="H44" s="2479"/>
      <c r="I44" s="2479"/>
      <c r="J44" s="2480" t="s">
        <v>2169</v>
      </c>
      <c r="K44" s="2481"/>
      <c r="L44" s="2481"/>
      <c r="M44" s="2481"/>
      <c r="N44" s="2481"/>
      <c r="O44" s="2481"/>
    </row>
    <row r="45" spans="1:15" ht="14.25" customHeight="1" thickBot="1">
      <c r="A45" s="3136" t="s">
        <v>2170</v>
      </c>
      <c r="B45" s="3137"/>
      <c r="C45" s="3138"/>
      <c r="D45" s="164">
        <f ca="1">ROUND(H101*F45,0)</f>
        <v>822</v>
      </c>
      <c r="E45" s="165" t="s">
        <v>2171</v>
      </c>
      <c r="F45" s="166">
        <v>1</v>
      </c>
      <c r="G45" s="167" t="s">
        <v>2172</v>
      </c>
      <c r="H45" s="138"/>
      <c r="I45" s="138"/>
      <c r="J45" s="3055" t="s">
        <v>2173</v>
      </c>
      <c r="K45" s="3055"/>
      <c r="L45" s="3055"/>
      <c r="M45" s="3055"/>
      <c r="N45" s="3055"/>
      <c r="O45" s="3055"/>
    </row>
    <row r="46" spans="1:15" ht="14.25" customHeight="1">
      <c r="A46" s="3133" t="s">
        <v>2174</v>
      </c>
      <c r="B46" s="3134"/>
      <c r="C46" s="3134"/>
      <c r="D46" s="3134"/>
      <c r="E46" s="3134"/>
      <c r="F46" s="3134"/>
      <c r="G46" s="3135"/>
      <c r="H46" s="2482"/>
      <c r="I46" s="168"/>
      <c r="J46" s="1811">
        <v>1</v>
      </c>
      <c r="K46" s="3055" t="s">
        <v>2175</v>
      </c>
      <c r="L46" s="3055"/>
      <c r="M46" s="3056"/>
      <c r="N46" s="3056"/>
      <c r="O46" s="3056"/>
    </row>
    <row r="47" spans="1:15" ht="12" customHeight="1">
      <c r="A47" s="169" t="s">
        <v>2176</v>
      </c>
      <c r="B47" s="170"/>
      <c r="C47" s="171"/>
      <c r="D47" s="172" t="s">
        <v>2177</v>
      </c>
      <c r="E47" s="24" t="s">
        <v>2178</v>
      </c>
      <c r="F47" s="173" t="s">
        <v>2179</v>
      </c>
      <c r="G47" s="174" t="s">
        <v>2180</v>
      </c>
      <c r="H47" s="2482"/>
      <c r="I47" s="168"/>
      <c r="J47" s="1811">
        <v>2</v>
      </c>
      <c r="K47" s="3055" t="s">
        <v>2181</v>
      </c>
      <c r="L47" s="3055"/>
      <c r="M47" s="3057">
        <f>'数据-取费表'!B2</f>
        <v>43217</v>
      </c>
      <c r="N47" s="3057"/>
      <c r="O47" s="3057"/>
    </row>
    <row r="48" spans="1:15" ht="25.5">
      <c r="A48" s="3123" t="s">
        <v>2182</v>
      </c>
      <c r="B48" s="3124"/>
      <c r="C48" s="3124"/>
      <c r="D48" s="140">
        <f>IF(H48="情况1",0,IF(H48="情况2",D52,IF(H48="情况3",D53,IF(H48="情况4",D54))))</f>
        <v>0</v>
      </c>
      <c r="E48" s="1800" t="str">
        <f>IF(H48="情况4","(销售额-原购置价)×税（费）率","销售额×税（费）率")</f>
        <v>销售额×税（费）率</v>
      </c>
      <c r="F48" s="175" t="str">
        <f>IF(H48="情况1","免征",'数据-取费表'!B41)</f>
        <v>免征</v>
      </c>
      <c r="G48" s="2483" t="s">
        <v>2183</v>
      </c>
      <c r="H48" s="2484" t="s">
        <v>2184</v>
      </c>
      <c r="I48" s="2482"/>
      <c r="J48" s="1811">
        <v>3</v>
      </c>
      <c r="K48" s="3055" t="s">
        <v>2185</v>
      </c>
      <c r="L48" s="3055"/>
      <c r="M48" s="3058">
        <f ca="1">H101</f>
        <v>822</v>
      </c>
      <c r="N48" s="3058"/>
      <c r="O48" s="3058"/>
    </row>
    <row r="49" spans="1:35" ht="25.5" customHeight="1">
      <c r="A49" s="176" t="s">
        <v>2186</v>
      </c>
      <c r="B49" s="3103" t="s">
        <v>2187</v>
      </c>
      <c r="C49" s="3103"/>
      <c r="D49" s="177">
        <v>0</v>
      </c>
      <c r="E49" s="23" t="s">
        <v>2188</v>
      </c>
      <c r="F49" s="28" t="s">
        <v>34</v>
      </c>
      <c r="G49" s="3084"/>
      <c r="H49" s="138"/>
      <c r="I49" s="2485"/>
      <c r="J49" s="1811">
        <v>4</v>
      </c>
      <c r="K49" s="3055" t="str">
        <f>IF(项目基本情况!E8="房地产抵押价值","房地产抵押价值","抵押担保权已注销时的房地产抵押价值")</f>
        <v>抵押担保权已注销时的房地产抵押价值</v>
      </c>
      <c r="L49" s="3055"/>
      <c r="M49" s="3058">
        <f ca="1">IF(项目基本情况!E8="房地产抵押价值",H107,H109)</f>
        <v>822</v>
      </c>
      <c r="N49" s="3058"/>
      <c r="O49" s="3058"/>
    </row>
    <row r="50" spans="1:35" ht="25.5" customHeight="1">
      <c r="A50" s="178"/>
      <c r="B50" s="3103" t="s">
        <v>2189</v>
      </c>
      <c r="C50" s="3103"/>
      <c r="D50" s="179"/>
      <c r="E50" s="31"/>
      <c r="F50" s="180"/>
      <c r="G50" s="3085"/>
      <c r="H50" s="138"/>
      <c r="I50" s="2485"/>
      <c r="J50" s="3055" t="s">
        <v>2190</v>
      </c>
      <c r="K50" s="3055"/>
      <c r="L50" s="3055"/>
      <c r="M50" s="3055"/>
      <c r="N50" s="3055"/>
      <c r="O50" s="3055"/>
    </row>
    <row r="51" spans="1:35" ht="12" customHeight="1">
      <c r="A51" s="181"/>
      <c r="B51" s="3103" t="s">
        <v>2191</v>
      </c>
      <c r="C51" s="3103"/>
      <c r="D51" s="182"/>
      <c r="E51" s="30"/>
      <c r="F51" s="180"/>
      <c r="G51" s="3086"/>
      <c r="H51" s="138"/>
      <c r="I51" s="2485"/>
      <c r="J51" s="2486" t="s">
        <v>2192</v>
      </c>
      <c r="K51" s="3055" t="s">
        <v>2193</v>
      </c>
      <c r="L51" s="3055"/>
      <c r="M51" s="2486" t="s">
        <v>2194</v>
      </c>
      <c r="N51" s="2486" t="s">
        <v>2195</v>
      </c>
      <c r="O51" s="2486" t="s">
        <v>2196</v>
      </c>
    </row>
    <row r="52" spans="1:35" ht="24" customHeight="1">
      <c r="A52" s="183" t="s">
        <v>2197</v>
      </c>
      <c r="B52" s="3103" t="s">
        <v>2198</v>
      </c>
      <c r="C52" s="3103"/>
      <c r="D52" s="182">
        <f ca="1">ROUND(D45*'数据-取费表'!B41/(1+'数据-取费表'!C42),0)</f>
        <v>44</v>
      </c>
      <c r="E52" s="11" t="s">
        <v>2199</v>
      </c>
      <c r="F52" s="184">
        <f>'数据-取费表'!B41</f>
        <v>5.6000000000000001E-2</v>
      </c>
      <c r="G52" s="2487"/>
      <c r="H52" s="138"/>
      <c r="I52" s="2485"/>
      <c r="J52" s="1811">
        <v>1</v>
      </c>
      <c r="K52" s="3078" t="s">
        <v>2200</v>
      </c>
      <c r="L52" s="3078"/>
      <c r="M52" s="1754">
        <f>D48</f>
        <v>0</v>
      </c>
      <c r="N52" s="1811" t="str">
        <f>E48</f>
        <v>销售额×税（费）率</v>
      </c>
      <c r="O52" s="1755" t="str">
        <f>F48</f>
        <v>免征</v>
      </c>
    </row>
    <row r="53" spans="1:35" ht="12" customHeight="1">
      <c r="A53" s="183" t="s">
        <v>2201</v>
      </c>
      <c r="B53" s="3104" t="s">
        <v>2202</v>
      </c>
      <c r="C53" s="3105"/>
      <c r="D53" s="182">
        <f ca="1">ROUND(D45*'数据-取费表'!B41/(1+'数据-取费表'!C42),0)</f>
        <v>44</v>
      </c>
      <c r="E53" s="11" t="s">
        <v>2199</v>
      </c>
      <c r="F53" s="184">
        <f>'数据-取费表'!B41</f>
        <v>5.6000000000000001E-2</v>
      </c>
      <c r="G53" s="2487"/>
      <c r="H53" s="138"/>
      <c r="I53" s="2485"/>
      <c r="J53" s="1811">
        <v>2</v>
      </c>
      <c r="K53" s="3078" t="s">
        <v>2203</v>
      </c>
      <c r="L53" s="3078"/>
      <c r="M53" s="1754">
        <f t="shared" ref="M53:O54" ca="1" si="0">D55</f>
        <v>0</v>
      </c>
      <c r="N53" s="1811" t="str">
        <f t="shared" si="0"/>
        <v>销售额×税（费）率</v>
      </c>
      <c r="O53" s="1755">
        <f t="shared" si="0"/>
        <v>5.0000000000000001E-4</v>
      </c>
    </row>
    <row r="54" spans="1:35" ht="12" customHeight="1">
      <c r="A54" s="183" t="s">
        <v>2204</v>
      </c>
      <c r="B54" s="3104" t="s">
        <v>2205</v>
      </c>
      <c r="C54" s="3105"/>
      <c r="D54" s="182">
        <f ca="1">C68</f>
        <v>44</v>
      </c>
      <c r="E54" s="30" t="s">
        <v>2206</v>
      </c>
      <c r="F54" s="184">
        <f>'数据-取费表'!B41</f>
        <v>5.6000000000000001E-2</v>
      </c>
      <c r="G54" s="2487"/>
      <c r="H54" s="2488"/>
      <c r="I54" s="2485"/>
      <c r="J54" s="1811">
        <v>3</v>
      </c>
      <c r="K54" s="3078" t="s">
        <v>2207</v>
      </c>
      <c r="L54" s="3078"/>
      <c r="M54" s="1754">
        <f t="shared" ca="1" si="0"/>
        <v>465</v>
      </c>
      <c r="N54" s="1811" t="str">
        <f t="shared" si="0"/>
        <v>增值额×税（费）率</v>
      </c>
      <c r="O54" s="1756" t="str">
        <f t="shared" si="0"/>
        <v>——</v>
      </c>
    </row>
    <row r="55" spans="1:35" ht="24" customHeight="1">
      <c r="A55" s="3142" t="s">
        <v>2208</v>
      </c>
      <c r="B55" s="3124"/>
      <c r="C55" s="3124"/>
      <c r="D55" s="185">
        <f ca="1">IF(H55="个人住宅",0,ROUND(D45*I55,0))</f>
        <v>0</v>
      </c>
      <c r="E55" s="11" t="s">
        <v>2209</v>
      </c>
      <c r="F55" s="184">
        <f>IF(H55="正常",I55,"免征")</f>
        <v>5.0000000000000001E-4</v>
      </c>
      <c r="G55" s="2487"/>
      <c r="H55" s="2484" t="s">
        <v>2210</v>
      </c>
      <c r="I55" s="186">
        <f>'数据-取费表'!B49</f>
        <v>5.0000000000000001E-4</v>
      </c>
      <c r="J55" s="1811" t="str">
        <f>IF(H59="非个人房产","",4)</f>
        <v/>
      </c>
      <c r="K55" s="3078" t="str">
        <f>IF(H59="非个人房产","——","个人所得税")</f>
        <v>——</v>
      </c>
      <c r="L55" s="3078"/>
      <c r="M55" s="1757" t="str">
        <f>D59</f>
        <v>——</v>
      </c>
      <c r="N55" s="1809" t="str">
        <f>E59</f>
        <v>——</v>
      </c>
      <c r="O55" s="1758" t="str">
        <f>F59</f>
        <v>——</v>
      </c>
    </row>
    <row r="56" spans="1:35" ht="24.75">
      <c r="A56" s="3142" t="s">
        <v>2211</v>
      </c>
      <c r="B56" s="3124"/>
      <c r="C56" s="3124"/>
      <c r="D56" s="185">
        <f ca="1">IF(H56="个人住宅",D57,D58)</f>
        <v>465</v>
      </c>
      <c r="E56" s="11" t="s">
        <v>2212</v>
      </c>
      <c r="F56" s="184" t="str">
        <f>IF(H56="正常",F58,"免征")</f>
        <v>——</v>
      </c>
      <c r="G56" s="2489" t="s">
        <v>2213</v>
      </c>
      <c r="H56" s="2490" t="s">
        <v>2210</v>
      </c>
      <c r="I56" s="2491"/>
      <c r="J56" s="1811"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2186</v>
      </c>
      <c r="B57" s="3109" t="s">
        <v>2214</v>
      </c>
      <c r="C57" s="3110"/>
      <c r="D57" s="187">
        <v>0</v>
      </c>
      <c r="E57" s="23" t="s">
        <v>2188</v>
      </c>
      <c r="F57" s="155"/>
      <c r="G57" s="2487"/>
      <c r="H57" s="2491"/>
      <c r="I57" s="2491"/>
      <c r="J57" s="3078">
        <f>IF(AND(J55="",J56=""),4,IF(项目基本情况!K6="上海银行",结果表!J56+1,结果表!J55+1))</f>
        <v>4</v>
      </c>
      <c r="K57" s="3078" t="s">
        <v>2215</v>
      </c>
      <c r="L57" s="2492" t="s">
        <v>2216</v>
      </c>
      <c r="M57" s="1759"/>
      <c r="N57" s="1760">
        <f ca="1">SUMIF(M52:M56,"&lt;9e307")</f>
        <v>465</v>
      </c>
      <c r="O57" s="2493"/>
      <c r="P57" s="1753">
        <f ca="1">N57/M49</f>
        <v>0.56569343065693434</v>
      </c>
    </row>
    <row r="58" spans="1:35" ht="24.75">
      <c r="A58" s="183" t="s">
        <v>2197</v>
      </c>
      <c r="B58" s="3109" t="s">
        <v>2217</v>
      </c>
      <c r="C58" s="3122"/>
      <c r="D58" s="185">
        <f ca="1">IF(H58="转让取得",C81,C97)</f>
        <v>465</v>
      </c>
      <c r="E58" s="11" t="s">
        <v>2212</v>
      </c>
      <c r="F58" s="24" t="s">
        <v>34</v>
      </c>
      <c r="G58" s="2487"/>
      <c r="H58" s="2490" t="s">
        <v>2218</v>
      </c>
      <c r="I58" s="2491"/>
      <c r="J58" s="3078"/>
      <c r="K58" s="3078"/>
      <c r="L58" s="2492" t="s">
        <v>2219</v>
      </c>
      <c r="M58" s="1761"/>
      <c r="N58" s="2494" t="str">
        <f ca="1">NUMBERSTRING(INT(N57*10000),2)&amp;"元整"</f>
        <v>肆佰陆拾伍万元整</v>
      </c>
      <c r="O58" s="2495"/>
    </row>
    <row r="59" spans="1:35" ht="24.75" thickBot="1">
      <c r="A59" s="3082" t="s">
        <v>2220</v>
      </c>
      <c r="B59" s="3083"/>
      <c r="C59" s="3083"/>
      <c r="D59" s="188" t="str">
        <f>IF(H59="非个人房产","——",IF(H59="个人住宅",0,ROUND(D45*I59,0)))</f>
        <v>——</v>
      </c>
      <c r="E59" s="189" t="str">
        <f>IF(H59="非个人房产","——","销售额×税（费）率")</f>
        <v>——</v>
      </c>
      <c r="F59" s="190" t="str">
        <f>IF(H59="非个人房产","——",IF(H59="个人住宅","免征",I59))</f>
        <v>——</v>
      </c>
      <c r="G59" s="2496" t="s">
        <v>2213</v>
      </c>
      <c r="H59" s="2490" t="s">
        <v>2221</v>
      </c>
      <c r="I59" s="191">
        <v>0.01</v>
      </c>
      <c r="J59" s="3080">
        <f>J57+1</f>
        <v>5</v>
      </c>
      <c r="K59" s="3078" t="s">
        <v>2222</v>
      </c>
      <c r="L59" s="1811" t="s">
        <v>2216</v>
      </c>
      <c r="M59" s="1762"/>
      <c r="N59" s="1763">
        <f ca="1">M49-N57</f>
        <v>357</v>
      </c>
      <c r="O59" s="2497"/>
    </row>
    <row r="60" spans="1:35" ht="12" customHeight="1">
      <c r="A60" s="2498"/>
      <c r="B60" s="2420"/>
      <c r="C60" s="2420"/>
      <c r="D60" s="2420"/>
      <c r="E60" s="2168"/>
      <c r="F60" s="2491"/>
      <c r="G60" s="2491"/>
      <c r="H60" s="2499"/>
      <c r="I60" s="138"/>
      <c r="J60" s="3081"/>
      <c r="K60" s="3078"/>
      <c r="L60" s="2492" t="s">
        <v>2219</v>
      </c>
      <c r="M60" s="1761"/>
      <c r="N60" s="2494" t="str">
        <f ca="1">NUMBERSTRING(INT(N59*10000),2)&amp;"元整"</f>
        <v>叁佰伍拾柒万元整</v>
      </c>
      <c r="O60" s="2495"/>
    </row>
    <row r="61" spans="1:35" ht="13.5" thickBot="1">
      <c r="A61" s="3141" t="s">
        <v>2223</v>
      </c>
      <c r="B61" s="3141"/>
      <c r="C61" s="3141"/>
      <c r="D61" s="3141"/>
      <c r="E61" s="3141"/>
      <c r="F61" s="2491"/>
      <c r="G61" s="2491"/>
      <c r="H61" s="2499"/>
      <c r="I61" s="138"/>
      <c r="J61" s="1811">
        <f>J59+1</f>
        <v>6</v>
      </c>
      <c r="K61" s="3078" t="s">
        <v>2224</v>
      </c>
      <c r="L61" s="3078"/>
      <c r="M61" s="1764"/>
      <c r="N61" s="1765">
        <f ca="1">ROUND(N59*10000/'数据-汇总表'!E3,0)</f>
        <v>28622</v>
      </c>
      <c r="O61" s="2500"/>
    </row>
    <row r="62" spans="1:35" ht="12.75">
      <c r="A62" s="3098" t="s">
        <v>2225</v>
      </c>
      <c r="B62" s="3099"/>
      <c r="C62" s="1803"/>
      <c r="D62" s="1803" t="s">
        <v>2226</v>
      </c>
      <c r="E62" s="192" t="s">
        <v>2227</v>
      </c>
      <c r="F62" s="2491"/>
      <c r="G62" s="2491"/>
      <c r="H62" s="2499"/>
      <c r="I62" s="138"/>
    </row>
    <row r="63" spans="1:35" ht="12.75">
      <c r="A63" s="203" t="s">
        <v>775</v>
      </c>
      <c r="B63" s="193" t="s">
        <v>2228</v>
      </c>
      <c r="C63" s="194">
        <f ca="1">ROUND((C64+C65)/(1+'数据-取费表'!C42),0)</f>
        <v>783</v>
      </c>
      <c r="D63" s="195"/>
      <c r="E63" s="196"/>
      <c r="F63" s="2491"/>
      <c r="G63" s="2491"/>
      <c r="H63" s="2499"/>
      <c r="I63" s="138"/>
      <c r="J63" s="3063" t="s">
        <v>2229</v>
      </c>
      <c r="K63" s="2501" t="s">
        <v>2230</v>
      </c>
      <c r="L63" s="1752">
        <f ca="1">IF(M49&gt;10000,M49*0.5%,IF(AND(M49&gt;1000,M49&lt;=10000),M49*1%,IF(AND(M49&gt;100,M49&lt;=1000),M49*3%,IF(AND(M49&gt;10,M49&lt;=100),M49*5%,M49*8%))))</f>
        <v>24.66</v>
      </c>
      <c r="M63" s="24">
        <f ca="1">ROUND(L63,1)</f>
        <v>24.7</v>
      </c>
      <c r="Z63" s="2425"/>
      <c r="AI63" s="2426"/>
    </row>
    <row r="64" spans="1:35" ht="14.25" customHeight="1">
      <c r="A64" s="197" t="s">
        <v>770</v>
      </c>
      <c r="B64" s="198" t="s">
        <v>2231</v>
      </c>
      <c r="C64" s="199">
        <f ca="1">D45</f>
        <v>822</v>
      </c>
      <c r="D64" s="200" t="s">
        <v>32</v>
      </c>
      <c r="E64" s="201"/>
      <c r="F64" s="2491"/>
      <c r="G64" s="2491"/>
      <c r="H64" s="2499"/>
      <c r="I64" s="138"/>
      <c r="J64" s="3063"/>
      <c r="K64" s="2501" t="s">
        <v>2232</v>
      </c>
      <c r="L64" s="1752">
        <f ca="1">IF(M49&gt;2000,M49*0.5%,IF(AND(M49&gt;1000,M49&lt;=2000),M49*0.6%,IF(AND(M49&gt;500,M49&lt;=1000),M49*0.7%,IF(AND(M49&gt;200,M49&lt;=500),M49*0.8%,IF(AND(M49&gt;100,M49&lt;=200),M49*0.9%,IF(AND(M49&gt;50,M49&lt;=100),M49*1%,IF(AND(M49&gt;20,M49&lt;=50),M49*1.5%,IF(AND(M49&gt;10,M49&lt;=20),M49*2%,IF(AND(M49&gt;1,M49&lt;=10),M49*2.5%)))))))))</f>
        <v>5.7539999999999996</v>
      </c>
      <c r="M64" s="24">
        <f t="shared" ref="M64:M65" ca="1" si="1">ROUND(L64,1)</f>
        <v>5.8</v>
      </c>
      <c r="N64" s="138" t="s">
        <v>2233</v>
      </c>
      <c r="Z64" s="2425"/>
      <c r="AI64" s="2426"/>
    </row>
    <row r="65" spans="1:35" ht="14.25" customHeight="1">
      <c r="A65" s="197" t="s">
        <v>771</v>
      </c>
      <c r="B65" s="198" t="s">
        <v>2234</v>
      </c>
      <c r="C65" s="202"/>
      <c r="D65" s="200"/>
      <c r="E65" s="201"/>
      <c r="F65" s="2491"/>
      <c r="G65" s="2491"/>
      <c r="H65" s="2499"/>
      <c r="I65" s="138"/>
      <c r="J65" s="3063"/>
      <c r="K65" s="2501" t="s">
        <v>2235</v>
      </c>
      <c r="L65" s="1752">
        <f ca="1">IF(M49&gt;1000,M49*0.1%,IF(AND(M49&gt;500,M49&lt;=1000),M49*0.5%,IF(AND(M49&gt;50,M49&lt;=500),M49*1%,IF(AND(M49&gt;1,M49&lt;=50),M49*1.5%))))</f>
        <v>4.1100000000000003</v>
      </c>
      <c r="M65" s="24">
        <f t="shared" ca="1" si="1"/>
        <v>4.0999999999999996</v>
      </c>
      <c r="N65" s="138" t="s">
        <v>2233</v>
      </c>
      <c r="Z65" s="2425"/>
      <c r="AI65" s="2426"/>
    </row>
    <row r="66" spans="1:35" ht="14.25" customHeight="1">
      <c r="A66" s="203" t="s">
        <v>772</v>
      </c>
      <c r="B66" s="204" t="s">
        <v>2236</v>
      </c>
      <c r="C66" s="205"/>
      <c r="D66" s="206" t="s">
        <v>32</v>
      </c>
      <c r="E66" s="1775" t="s">
        <v>1371</v>
      </c>
      <c r="F66" s="2491"/>
      <c r="G66" s="2491"/>
      <c r="H66" s="2499"/>
      <c r="I66" s="138"/>
      <c r="J66" s="3063"/>
      <c r="K66" s="2501" t="s">
        <v>2237</v>
      </c>
      <c r="L66" s="1752">
        <f ca="1">M49*0.5%</f>
        <v>4.1100000000000003</v>
      </c>
      <c r="M66" s="24">
        <f ca="1">IF(L66&gt;0.5,0.5,ROUND(L66,0))</f>
        <v>0.5</v>
      </c>
      <c r="N66" s="138" t="s">
        <v>2238</v>
      </c>
      <c r="Z66" s="2425"/>
      <c r="AI66" s="2426"/>
    </row>
    <row r="67" spans="1:35" ht="14.25" customHeight="1">
      <c r="A67" s="203" t="s">
        <v>773</v>
      </c>
      <c r="B67" s="204" t="s">
        <v>2239</v>
      </c>
      <c r="C67" s="207">
        <f ca="1">C63-C66</f>
        <v>783</v>
      </c>
      <c r="D67" s="200" t="s">
        <v>32</v>
      </c>
      <c r="E67" s="201"/>
      <c r="F67" s="2491"/>
      <c r="G67" s="2491"/>
      <c r="H67" s="2499"/>
      <c r="I67" s="138"/>
      <c r="J67" s="3063"/>
      <c r="K67" s="2501" t="s">
        <v>2240</v>
      </c>
      <c r="L67" s="1752">
        <f ca="1">IF(M49&gt;=10000,(8.25+(M49-10000)*0.01%),IF(AND(M49&gt;=8000,M49&lt;10000),(7.85+(M49-8000)*0.02%),IF(AND(M49&gt;=5000,M49&lt;8000),(6.65+(M49-5000)*0.04%),IF(AND(M49&gt;=2000,M49&lt;5000),(4.25+(PM49-2000)*0.08%),IF(AND(M49&gt;=1000,M49&lt;2000),(2.75+(M49-1000)*0.15%),IF(AND(M49&gt;=100,M49&lt;1000),(0.5+(M49-100)*0.25%),IF(AND(M49&gt;0,M49&lt;100),M49*0.5%)))))))</f>
        <v>2.3049999999999997</v>
      </c>
      <c r="M67" s="24">
        <f ca="1">ROUND(L67*0.9,1)</f>
        <v>2.1</v>
      </c>
      <c r="Z67" s="2425"/>
      <c r="AI67" s="2426"/>
    </row>
    <row r="68" spans="1:35" ht="14.25" customHeight="1" thickBot="1">
      <c r="A68" s="208" t="s">
        <v>774</v>
      </c>
      <c r="B68" s="209" t="s">
        <v>2241</v>
      </c>
      <c r="C68" s="210">
        <f ca="1">IF(C67&lt;=0,0,ROUND(C67*D68,0))</f>
        <v>44</v>
      </c>
      <c r="D68" s="211">
        <f>'数据-取费表'!B41</f>
        <v>5.6000000000000001E-2</v>
      </c>
      <c r="E68" s="212"/>
      <c r="F68" s="2491"/>
      <c r="G68" s="2491"/>
      <c r="H68" s="2499"/>
      <c r="I68" s="138"/>
      <c r="J68" s="3063"/>
      <c r="K68" s="2501" t="s">
        <v>2242</v>
      </c>
      <c r="L68" s="1752">
        <f ca="1">IF(M49&gt;10000,M49*0.5%,IF(AND(M49&gt;5000,M49&lt;=10000),M49*1%,IF(AND(M49&gt;1000,M49&lt;=5000),M49*2%,IF(AND(M49&gt;200,M49&lt;=1000),M49*3%,M49*5%))))</f>
        <v>24.66</v>
      </c>
      <c r="M68" s="24">
        <f ca="1">ROUND(L68,1)</f>
        <v>24.7</v>
      </c>
      <c r="Z68" s="2425"/>
      <c r="AI68" s="2426"/>
    </row>
    <row r="69" spans="1:35" s="2448" customFormat="1" ht="16.5" customHeight="1">
      <c r="A69" s="2502"/>
      <c r="B69" s="2503"/>
      <c r="C69" s="2504"/>
      <c r="D69" s="2505"/>
      <c r="E69" s="2506"/>
      <c r="F69" s="2168"/>
      <c r="G69" s="2168"/>
      <c r="H69" s="2167"/>
      <c r="I69" s="2420"/>
      <c r="J69" s="3063"/>
      <c r="K69" s="2501" t="s">
        <v>2243</v>
      </c>
      <c r="L69" s="2507"/>
      <c r="M69" s="24">
        <f ca="1">ROUND(SUM(M63:M68),0)</f>
        <v>62</v>
      </c>
      <c r="N69" s="1753">
        <f ca="1">M69/M49</f>
        <v>7.5425790754257913E-2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7" t="s">
        <v>2244</v>
      </c>
      <c r="B70" s="3108"/>
      <c r="C70" s="3108"/>
      <c r="D70" s="3108"/>
      <c r="E70" s="3108"/>
      <c r="F70" s="3108"/>
      <c r="G70" s="3108"/>
      <c r="H70" s="310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8" t="s">
        <v>2225</v>
      </c>
      <c r="B71" s="3099"/>
      <c r="C71" s="1803"/>
      <c r="D71" s="1803" t="s">
        <v>2226</v>
      </c>
      <c r="E71" s="213" t="s">
        <v>2227</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2245</v>
      </c>
      <c r="C72" s="207">
        <f ca="1">ROUND(D45/(1+'数据-取费表'!C42),0)</f>
        <v>783</v>
      </c>
      <c r="D72" s="200" t="s">
        <v>32</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2246</v>
      </c>
      <c r="C73" s="207">
        <f ca="1">C74+C78</f>
        <v>5</v>
      </c>
      <c r="D73" s="200" t="s">
        <v>32</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2247</v>
      </c>
      <c r="C74" s="200">
        <f>ROUND(IF(G77="2016年5月1日后购买",C75/(1+'数据-取费表'!C42)+C76+C77,C75+C76+C77),0)</f>
        <v>0</v>
      </c>
      <c r="D74" s="200" t="s">
        <v>32</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2248</v>
      </c>
      <c r="C75" s="218"/>
      <c r="D75" s="200" t="s">
        <v>32</v>
      </c>
      <c r="E75" s="219" t="s">
        <v>2249</v>
      </c>
      <c r="F75" s="2513" t="s">
        <v>2250</v>
      </c>
      <c r="G75" s="219" t="s">
        <v>2251</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2252</v>
      </c>
      <c r="C76" s="200">
        <f>IF(F75="购房发票",ROUND(C75*H75*D76,0),0)</f>
        <v>0</v>
      </c>
      <c r="D76" s="222">
        <v>0.05</v>
      </c>
      <c r="E76" s="3104" t="s">
        <v>2253</v>
      </c>
      <c r="F76" s="3103"/>
      <c r="G76" s="3103"/>
      <c r="H76" s="310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5" t="s">
        <v>2256</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2257</v>
      </c>
      <c r="C78" s="225">
        <f ca="1">ROUND(D45*D78/(1+'数据-取费表'!C42),0)</f>
        <v>5</v>
      </c>
      <c r="D78" s="226">
        <f>'数据-取费表'!B43</f>
        <v>6.000000000000001E-3</v>
      </c>
      <c r="E78" s="3095" t="s">
        <v>2258</v>
      </c>
      <c r="F78" s="3096"/>
      <c r="G78" s="3096"/>
      <c r="H78" s="309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2259</v>
      </c>
      <c r="C79" s="207">
        <f ca="1">C72-C73</f>
        <v>778</v>
      </c>
      <c r="D79" s="200" t="s">
        <v>32</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2260</v>
      </c>
      <c r="C80" s="227">
        <f ca="1">IF(C79&lt;=0,0,C79/C73)</f>
        <v>155.6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2261</v>
      </c>
      <c r="C81" s="228">
        <f ca="1">ROUND(IF(C79&lt;=0,0,IF(C80&gt;=200%,C79*60%-C73*35%,IF(C80&gt;=100%,C79*50%-C73*15%,IF(C80&gt;=50%,C79*40%-C73*5%,IF(C80&lt;50%,C79*30%,0))))),0)</f>
        <v>465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7" t="s">
        <v>2262</v>
      </c>
      <c r="B83" s="3108"/>
      <c r="C83" s="3108"/>
      <c r="D83" s="3108"/>
      <c r="E83" s="3108"/>
      <c r="F83" s="3108"/>
      <c r="G83" s="3108"/>
      <c r="H83" s="310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8" t="s">
        <v>2225</v>
      </c>
      <c r="B84" s="3099"/>
      <c r="C84" s="1803"/>
      <c r="D84" s="1803" t="s">
        <v>2226</v>
      </c>
      <c r="E84" s="213" t="s">
        <v>2227</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2245</v>
      </c>
      <c r="C85" s="207">
        <f ca="1">ROUND(D45/(1+'数据-取费表'!C42),0)</f>
        <v>783</v>
      </c>
      <c r="D85" s="200" t="s">
        <v>32</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2246</v>
      </c>
      <c r="C86" s="207">
        <f ca="1">IF(H88="仅含出让金",C87+C90+C91+C92+C93+C94,C87+C91+C92+C93+C94)</f>
        <v>5</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2263</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2264</v>
      </c>
      <c r="C88" s="236"/>
      <c r="D88" s="226"/>
      <c r="E88" s="237" t="s">
        <v>2265</v>
      </c>
      <c r="F88" s="1799"/>
      <c r="G88" s="238" t="s">
        <v>2266</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2254</v>
      </c>
      <c r="C89" s="225">
        <f>ROUND(C88*D89,0)</f>
        <v>0</v>
      </c>
      <c r="D89" s="226">
        <f>'数据-取费表'!B48+'数据-取费表'!B49</f>
        <v>3.0499999999999999E-2</v>
      </c>
      <c r="E89" s="237" t="s">
        <v>2267</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2268</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2269</v>
      </c>
      <c r="B91" s="198" t="s">
        <v>2270</v>
      </c>
      <c r="C91" s="225">
        <f>IF(H91="——",成本法!C33,I91)</f>
        <v>0</v>
      </c>
      <c r="D91" s="226"/>
      <c r="E91" s="3095" t="s">
        <v>2271</v>
      </c>
      <c r="F91" s="3096"/>
      <c r="G91" s="3096"/>
      <c r="H91" s="2520" t="s">
        <v>2272</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2273</v>
      </c>
      <c r="B92" s="198" t="s">
        <v>2274</v>
      </c>
      <c r="C92" s="225">
        <f>ROUND((C87+C90+C91)*D92,0)</f>
        <v>0</v>
      </c>
      <c r="D92" s="226">
        <v>0.1</v>
      </c>
      <c r="E92" s="3095" t="s">
        <v>2275</v>
      </c>
      <c r="F92" s="3096"/>
      <c r="G92" s="3096"/>
      <c r="H92" s="309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2276</v>
      </c>
      <c r="B93" s="198" t="s">
        <v>2257</v>
      </c>
      <c r="C93" s="225">
        <f ca="1">ROUND(D45*D93/(1+'数据-取费表'!C42),0)</f>
        <v>5</v>
      </c>
      <c r="D93" s="226">
        <f>'数据-取费表'!B43</f>
        <v>6.000000000000001E-3</v>
      </c>
      <c r="E93" s="3095" t="s">
        <v>2258</v>
      </c>
      <c r="F93" s="3096"/>
      <c r="G93" s="3096"/>
      <c r="H93" s="309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2277</v>
      </c>
      <c r="B94" s="198" t="s">
        <v>2278</v>
      </c>
      <c r="C94" s="236">
        <f>ROUND((C87+C90+C91)*D94,0)</f>
        <v>0</v>
      </c>
      <c r="D94" s="226">
        <v>0.2</v>
      </c>
      <c r="E94" s="3143" t="s">
        <v>2279</v>
      </c>
      <c r="F94" s="3144"/>
      <c r="G94" s="3144"/>
      <c r="H94" s="3145"/>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2259</v>
      </c>
      <c r="C95" s="207">
        <f ca="1">ROUND(C85-C86,0)</f>
        <v>778</v>
      </c>
      <c r="D95" s="200" t="s">
        <v>32</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2260</v>
      </c>
      <c r="C96" s="227">
        <f ca="1">IF(C95&lt;=0,0,C95/C86)</f>
        <v>155.6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2261</v>
      </c>
      <c r="C97" s="228">
        <f ca="1">ROUND(IF(C95&lt;=0,0,IF(C96&gt;=200%,C95*60%-C86*35%,IF(C96&gt;=100%,C95*50%-C86*15%,IF(C96&gt;=50%,C95*40%-C86*5%,IF(C96&lt;50%,C95*30%,0))))),0)</f>
        <v>465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2280</v>
      </c>
      <c r="B99" s="2420"/>
      <c r="C99" s="2420"/>
      <c r="D99" s="2420"/>
      <c r="E99" s="2168"/>
      <c r="F99" s="2168"/>
      <c r="G99" s="2168"/>
      <c r="H99" s="2167"/>
      <c r="I99" s="138"/>
    </row>
    <row r="100" spans="1:35" ht="18.75" customHeight="1">
      <c r="A100" s="3047" t="s">
        <v>2281</v>
      </c>
      <c r="B100" s="3048"/>
      <c r="C100" s="3048"/>
      <c r="D100" s="3079"/>
      <c r="E100" s="3048" t="s">
        <v>2282</v>
      </c>
      <c r="F100" s="3048"/>
      <c r="G100" s="3048"/>
      <c r="H100" s="3079"/>
      <c r="I100" s="138"/>
    </row>
    <row r="101" spans="1:35" ht="18.75" customHeight="1">
      <c r="A101" s="3087" t="s">
        <v>2283</v>
      </c>
      <c r="B101" s="3088"/>
      <c r="C101" s="736" t="str">
        <f>C4</f>
        <v>比较法-住宅</v>
      </c>
      <c r="D101" s="737" t="str">
        <f>D4</f>
        <v>收益法 (元)</v>
      </c>
      <c r="E101" s="3059" t="s">
        <v>2284</v>
      </c>
      <c r="F101" s="3060"/>
      <c r="G101" s="2522" t="s">
        <v>2285</v>
      </c>
      <c r="H101" s="1048">
        <f ca="1">H118</f>
        <v>822</v>
      </c>
      <c r="I101" s="138"/>
    </row>
    <row r="102" spans="1:35" ht="18.75" customHeight="1">
      <c r="A102" s="3089" t="s">
        <v>2286</v>
      </c>
      <c r="B102" s="2522" t="s">
        <v>2285</v>
      </c>
      <c r="C102" s="736">
        <f ca="1">C19</f>
        <v>947</v>
      </c>
      <c r="D102" s="737">
        <f ca="1">D19</f>
        <v>322</v>
      </c>
      <c r="E102" s="3059"/>
      <c r="F102" s="3060"/>
      <c r="G102" s="2522" t="s">
        <v>2287</v>
      </c>
      <c r="H102" s="371">
        <f ca="1">I118</f>
        <v>65902</v>
      </c>
      <c r="I102" s="138"/>
    </row>
    <row r="103" spans="1:35" ht="42.75" customHeight="1">
      <c r="A103" s="3089"/>
      <c r="B103" s="2522" t="s">
        <v>2287</v>
      </c>
      <c r="C103" s="738">
        <f ca="1">C20</f>
        <v>75928</v>
      </c>
      <c r="D103" s="739">
        <f ca="1">D20</f>
        <v>25785</v>
      </c>
      <c r="E103" s="3053" t="s">
        <v>2288</v>
      </c>
      <c r="F103" s="3054"/>
      <c r="G103" s="2523" t="s">
        <v>2289</v>
      </c>
      <c r="H103" s="1048">
        <f>IF(D36="正常操作",H104+H105+H106,H105+H106)</f>
        <v>0</v>
      </c>
      <c r="I103" s="138"/>
    </row>
    <row r="104" spans="1:35" ht="18.75" customHeight="1">
      <c r="A104" s="3089" t="s">
        <v>2290</v>
      </c>
      <c r="B104" s="2524" t="s">
        <v>2285</v>
      </c>
      <c r="C104" s="740">
        <f ca="1">H118</f>
        <v>822</v>
      </c>
      <c r="D104" s="741"/>
      <c r="E104" s="2269" t="s">
        <v>2291</v>
      </c>
      <c r="F104" s="2260"/>
      <c r="G104" s="2523" t="s">
        <v>2289</v>
      </c>
      <c r="H104" s="1049">
        <f>IF(D36="同一抵押权人同一抵押物续贷",C36&amp;"（未扣减，详见特别提示）",C36)</f>
        <v>0</v>
      </c>
      <c r="I104" s="138"/>
    </row>
    <row r="105" spans="1:35" ht="18.75" customHeight="1" thickBot="1">
      <c r="A105" s="3101"/>
      <c r="B105" s="2525" t="s">
        <v>2287</v>
      </c>
      <c r="C105" s="742">
        <f ca="1">I118</f>
        <v>65902</v>
      </c>
      <c r="D105" s="743"/>
      <c r="E105" s="2269" t="s">
        <v>2292</v>
      </c>
      <c r="F105" s="2260"/>
      <c r="G105" s="2523" t="s">
        <v>2289</v>
      </c>
      <c r="H105" s="1049">
        <f>C37</f>
        <v>0</v>
      </c>
      <c r="I105" s="138"/>
    </row>
    <row r="106" spans="1:35" ht="18.75" customHeight="1">
      <c r="A106" s="2420" t="s">
        <v>2293</v>
      </c>
      <c r="B106" s="2420"/>
      <c r="C106" s="2420"/>
      <c r="D106" s="2420"/>
      <c r="E106" s="2526" t="s">
        <v>2294</v>
      </c>
      <c r="F106" s="2260"/>
      <c r="G106" s="2523" t="s">
        <v>2289</v>
      </c>
      <c r="H106" s="1049">
        <f>C38</f>
        <v>0</v>
      </c>
      <c r="I106" s="138"/>
    </row>
    <row r="107" spans="1:35" ht="18.75" customHeight="1">
      <c r="A107" s="138"/>
      <c r="B107" s="138"/>
      <c r="C107" s="138"/>
      <c r="D107" s="138"/>
      <c r="E107" s="3090" t="str">
        <f>IF(项目基本情况!E8="已注销","——","3.房地产抵押价值")</f>
        <v>——</v>
      </c>
      <c r="F107" s="3060"/>
      <c r="G107" s="2522" t="s">
        <v>2285</v>
      </c>
      <c r="H107" s="1048" t="str">
        <f>IF(E107="——","——",H101-H103)</f>
        <v>——</v>
      </c>
      <c r="I107" s="138"/>
    </row>
    <row r="108" spans="1:35" ht="18.75" customHeight="1">
      <c r="A108" s="138"/>
      <c r="B108" s="138"/>
      <c r="C108" s="138"/>
      <c r="D108" s="138"/>
      <c r="E108" s="3090"/>
      <c r="F108" s="3060"/>
      <c r="G108" s="2522" t="s">
        <v>2287</v>
      </c>
      <c r="H108" s="371" t="e">
        <f>ROUND(H107*10000/'数据-汇总表'!E3,0)</f>
        <v>#VALUE!</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3.抵押担保权已注销时的房地产抵押价值</v>
      </c>
      <c r="F109" s="3060"/>
      <c r="G109" s="2522" t="s">
        <v>2285</v>
      </c>
      <c r="H109" s="348">
        <f ca="1">IF(E109="——","——",H101-H105-H106)</f>
        <v>822</v>
      </c>
      <c r="I109" s="138"/>
    </row>
    <row r="110" spans="1:35" ht="18.75" customHeight="1">
      <c r="A110" s="138"/>
      <c r="B110" s="138"/>
      <c r="C110" s="138"/>
      <c r="D110" s="138"/>
      <c r="E110" s="3090"/>
      <c r="F110" s="3060"/>
      <c r="G110" s="2522" t="s">
        <v>2287</v>
      </c>
      <c r="H110" s="371">
        <f ca="1">IF(H109="——","——",ROUND(H109*10000/'数据-汇总表'!E3,0))</f>
        <v>65902</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2" t="s">
        <v>2285</v>
      </c>
      <c r="H111" s="1048" t="str">
        <f>IF(E111="——","——",N59)</f>
        <v>——</v>
      </c>
      <c r="I111" s="138"/>
    </row>
    <row r="112" spans="1:35" ht="18.75" customHeight="1" thickBot="1">
      <c r="A112" s="138"/>
      <c r="B112" s="138"/>
      <c r="C112" s="138"/>
      <c r="D112" s="138"/>
      <c r="E112" s="3093"/>
      <c r="F112" s="3094"/>
      <c r="G112" s="2527" t="s">
        <v>2287</v>
      </c>
      <c r="H112" s="790" t="str">
        <f>IF(E111="——","——",N61)</f>
        <v>——</v>
      </c>
      <c r="I112" s="138"/>
    </row>
    <row r="113" spans="1:11" ht="18.75" customHeight="1">
      <c r="A113" s="138"/>
      <c r="B113" s="138"/>
      <c r="C113" s="138"/>
      <c r="D113" s="138"/>
      <c r="E113" s="3102" t="s">
        <v>2293</v>
      </c>
      <c r="F113" s="3102"/>
      <c r="G113" s="3102"/>
      <c r="H113" s="3102"/>
      <c r="I113" s="138"/>
    </row>
    <row r="114" spans="1:11" ht="3.75" customHeight="1">
      <c r="A114" s="2420"/>
      <c r="B114" s="2420"/>
      <c r="C114" s="2420"/>
      <c r="D114" s="2420"/>
      <c r="E114" s="2498"/>
      <c r="F114" s="2498"/>
      <c r="G114" s="2498"/>
      <c r="H114" s="2498"/>
      <c r="I114" s="2420"/>
    </row>
    <row r="115" spans="1:11" ht="18.75" customHeight="1">
      <c r="A115" s="3115" t="s">
        <v>2295</v>
      </c>
      <c r="B115" s="3116"/>
      <c r="C115" s="3116"/>
      <c r="D115" s="3116"/>
      <c r="E115" s="3116"/>
      <c r="F115" s="3116"/>
      <c r="G115" s="3116"/>
      <c r="H115" s="3116"/>
      <c r="I115" s="3117"/>
    </row>
    <row r="116" spans="1:11" ht="27" customHeight="1">
      <c r="A116" s="3026" t="s">
        <v>2296</v>
      </c>
      <c r="B116" s="3069" t="s">
        <v>2297</v>
      </c>
      <c r="C116" s="3069" t="s">
        <v>2298</v>
      </c>
      <c r="D116" s="3075" t="s">
        <v>2299</v>
      </c>
      <c r="E116" s="3076"/>
      <c r="F116" s="3111" t="s">
        <v>2300</v>
      </c>
      <c r="G116" s="3111"/>
      <c r="H116" s="3026" t="s">
        <v>2301</v>
      </c>
      <c r="I116" s="3026"/>
    </row>
    <row r="117" spans="1:11" ht="18.75" customHeight="1">
      <c r="A117" s="3026"/>
      <c r="B117" s="3070"/>
      <c r="C117" s="3070"/>
      <c r="D117" s="1797" t="s">
        <v>2302</v>
      </c>
      <c r="E117" s="1797" t="s">
        <v>2303</v>
      </c>
      <c r="F117" s="1797" t="s">
        <v>2302</v>
      </c>
      <c r="G117" s="1797" t="s">
        <v>2304</v>
      </c>
      <c r="H117" s="1797" t="s">
        <v>2302</v>
      </c>
      <c r="I117" s="1797" t="s">
        <v>2304</v>
      </c>
    </row>
    <row r="118" spans="1:11" ht="24.75" customHeight="1">
      <c r="A118" s="2528" t="str">
        <f>项目基本情况!S2</f>
        <v>北京市海淀区枫涟山庄12号楼2层5单元201号房地产</v>
      </c>
      <c r="B118" s="1797">
        <f>M18</f>
        <v>124.73</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822</v>
      </c>
      <c r="I118" s="1797">
        <f ca="1">ROUND(IF(D32="楼面单价",C32,H118*10000/B118),0)</f>
        <v>65902</v>
      </c>
    </row>
    <row r="119" spans="1:11" ht="18.75" customHeight="1">
      <c r="A119" s="3026" t="s">
        <v>2305</v>
      </c>
      <c r="B119" s="3026"/>
      <c r="C119" s="3026"/>
      <c r="D119" s="3071" t="e">
        <f ca="1">NUMBERSTRING(INT(D118*10000),2)&amp;"元整"</f>
        <v>#REF!</v>
      </c>
      <c r="E119" s="3072"/>
      <c r="F119" s="3071" t="e">
        <f ca="1">NUMBERSTRING(INT(F118*10000),2)&amp;"元整"</f>
        <v>#REF!</v>
      </c>
      <c r="G119" s="3072"/>
      <c r="H119" s="3071" t="str">
        <f ca="1">NUMBERSTRING(INT(H118*10000),2)&amp;"元整"</f>
        <v>捌佰贰拾贰万元整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5" t="str">
        <f>IF(D120=0,"故，本次评估不存在"&amp;A120,"故，本次评估"&amp;A120&amp;"为人民币"&amp;D120&amp;"万元整。")</f>
        <v>故，本次评估不存在估价师知悉的法定优先受偿款</v>
      </c>
    </row>
    <row r="121" spans="1:11" ht="18.75" customHeight="1">
      <c r="A121" s="3112" t="s">
        <v>2305</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
      </c>
      <c r="B122" s="3077"/>
      <c r="C122" s="3077"/>
      <c r="D122" s="3066" t="str">
        <f>H107</f>
        <v>——</v>
      </c>
      <c r="E122" s="3067"/>
      <c r="F122" s="3067"/>
      <c r="G122" s="3067"/>
      <c r="H122" s="3067"/>
      <c r="I122" s="3068"/>
    </row>
    <row r="123" spans="1:11" ht="18.75" customHeight="1">
      <c r="A123" s="3026" t="s">
        <v>2305</v>
      </c>
      <c r="B123" s="3026"/>
      <c r="C123" s="3026"/>
      <c r="D123" s="3071" t="e">
        <f>NUMBERSTRING(INT(D122*10000),2)&amp;"元整"</f>
        <v>#VALUE!</v>
      </c>
      <c r="E123" s="3073"/>
      <c r="F123" s="3073"/>
      <c r="G123" s="3073"/>
      <c r="H123" s="3073"/>
      <c r="I123" s="3072"/>
    </row>
    <row r="124" spans="1:11" ht="18.75" customHeight="1">
      <c r="A124" s="3077" t="str">
        <f>IF(项目基本情况!B9="房地产市场价值","",MID(E109,3,LEN(E109)-2))</f>
        <v>抵押担保权已注销时的房地产抵押价值</v>
      </c>
      <c r="B124" s="3077"/>
      <c r="C124" s="3077"/>
      <c r="D124" s="3066">
        <f ca="1">H109</f>
        <v>822</v>
      </c>
      <c r="E124" s="3067"/>
      <c r="F124" s="3067"/>
      <c r="G124" s="3067"/>
      <c r="H124" s="3067"/>
      <c r="I124" s="3068"/>
    </row>
    <row r="125" spans="1:11" ht="18.75" customHeight="1">
      <c r="A125" s="3026" t="s">
        <v>2305</v>
      </c>
      <c r="B125" s="3026"/>
      <c r="C125" s="3026"/>
      <c r="D125" s="3071" t="str">
        <f ca="1">NUMBERSTRING(INT(D124*10000),2)&amp;"元整"</f>
        <v>捌佰贰拾贰万元整</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2305</v>
      </c>
      <c r="B127" s="3026"/>
      <c r="C127" s="3026"/>
      <c r="D127" s="3071" t="e">
        <f>NUMBERSTRING(INT(D126*10000),2)&amp;"元整"</f>
        <v>#VALUE!</v>
      </c>
      <c r="E127" s="3073"/>
      <c r="F127" s="3073"/>
      <c r="G127" s="3073"/>
      <c r="H127" s="3073"/>
      <c r="I127" s="3072"/>
    </row>
    <row r="128" spans="1:11" ht="21.75" customHeight="1">
      <c r="A128" s="3074" t="s">
        <v>2306</v>
      </c>
      <c r="B128" s="3074"/>
      <c r="C128" s="3074"/>
      <c r="D128" s="3074"/>
      <c r="E128" s="3074"/>
      <c r="F128" s="3074"/>
      <c r="G128" s="3074"/>
      <c r="H128" s="3074"/>
      <c r="I128" s="3074"/>
    </row>
    <row r="129" spans="1:35" ht="21.75" customHeight="1">
      <c r="A129" s="2529" t="s">
        <v>2307</v>
      </c>
      <c r="B129" s="2530"/>
      <c r="C129" s="2531" t="s">
        <v>2308</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2309</v>
      </c>
      <c r="G135" s="2546"/>
      <c r="H135" s="2546"/>
      <c r="I135" s="2547" t="s">
        <v>2310</v>
      </c>
    </row>
    <row r="136" spans="1:35" ht="21.75" customHeight="1">
      <c r="A136" s="795"/>
      <c r="B136" s="2548"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2312</v>
      </c>
    </row>
    <row r="139" spans="1:35" ht="21.75" customHeight="1">
      <c r="A139" s="795"/>
      <c r="B139" s="2548" t="s">
        <v>2313</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2312</v>
      </c>
    </row>
    <row r="142" spans="1:35" ht="21.75" customHeight="1">
      <c r="A142" s="795"/>
      <c r="B142" s="2548"/>
      <c r="C142" s="2549"/>
      <c r="D142" s="2550"/>
      <c r="E142" s="2550"/>
      <c r="F142" s="2343"/>
      <c r="G142" s="795"/>
      <c r="H142" s="795"/>
      <c r="I142" s="795"/>
    </row>
    <row r="143" spans="1:35" s="139" customFormat="1" ht="21.75" customHeight="1">
      <c r="A143" s="795"/>
      <c r="B143" s="2548"/>
      <c r="C143" s="2549"/>
      <c r="D143" s="2550"/>
      <c r="E143" s="2550"/>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2">
        <f>MATCH(B1,'数据-取费表'!A6:A16,0)+5</f>
        <v>7</v>
      </c>
    </row>
    <row r="2" spans="1:9" s="244" customFormat="1" ht="18" customHeight="1">
      <c r="A2" s="245" t="s">
        <v>2315</v>
      </c>
      <c r="B2" s="246">
        <f ca="1">IF(D2="——",C52,C52-E2)</f>
        <v>51</v>
      </c>
      <c r="C2" s="243" t="s">
        <v>2316</v>
      </c>
      <c r="D2" s="2551" t="s">
        <v>70</v>
      </c>
      <c r="E2" s="1443" t="e">
        <f ca="1">SUMIF(INDIRECT("'"&amp;G2&amp;"'"&amp;"!A:A"),"承租人权益价值",INDIRECT("'"&amp;G2&amp;"'"&amp;"!c:c"))</f>
        <v>#REF!</v>
      </c>
      <c r="F2" s="2552" t="s">
        <v>2316</v>
      </c>
      <c r="G2" s="2553"/>
    </row>
    <row r="3" spans="1:9" s="244" customFormat="1" ht="18" customHeight="1" thickBot="1">
      <c r="A3" s="247" t="s">
        <v>2317</v>
      </c>
      <c r="B3" s="248">
        <f ca="1">ROUND(B2*10000/(IF(B1="",'数据-汇总表'!E3,INDIRECT("'数据-取费表'!k"&amp;$G$1))),0)</f>
        <v>4089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v>
      </c>
      <c r="D8" s="266"/>
      <c r="E8" s="264"/>
      <c r="F8" s="265"/>
      <c r="G8" s="2554"/>
    </row>
    <row r="9" spans="1:9" s="258" customFormat="1" ht="13.5" customHeight="1">
      <c r="A9" s="953" t="s">
        <v>800</v>
      </c>
      <c r="B9" s="268" t="s">
        <v>2331</v>
      </c>
      <c r="C9" s="269">
        <f ca="1">ROUND(D9*E9/10000,0)</f>
        <v>2</v>
      </c>
      <c r="D9" s="1035">
        <f ca="1">IF(B1="",'数据-汇总表'!E5,IF(INDIRECT("'数据-取费表'!c"&amp;$G$1)="住宅",INDIRECT("'数据-取费表'!k"&amp;$G$1),0))</f>
        <v>124.73</v>
      </c>
      <c r="E9" s="269">
        <f>'数据-取费表'!B27</f>
        <v>200</v>
      </c>
      <c r="F9" s="265"/>
      <c r="G9" s="2555"/>
      <c r="H9" s="1393"/>
      <c r="I9" s="2556" t="s">
        <v>2332</v>
      </c>
    </row>
    <row r="10" spans="1:9" s="258" customFormat="1" ht="13.5" customHeight="1">
      <c r="A10" s="953" t="s">
        <v>801</v>
      </c>
      <c r="B10" s="268" t="s">
        <v>2333</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v>
      </c>
      <c r="D19" s="1039">
        <f ca="1">D9+D10</f>
        <v>124.73</v>
      </c>
      <c r="E19" s="255">
        <f>'数据-取费表'!B31</f>
        <v>200</v>
      </c>
      <c r="F19" s="275"/>
      <c r="G19" s="2554"/>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7">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54" t="s">
        <v>2355</v>
      </c>
      <c r="B23" s="259" t="s">
        <v>2356</v>
      </c>
      <c r="C23" s="1358">
        <f ca="1">ROUND(IF('数据-取费表'!B22&lt;=1,C5*F22*'数据-取费表'!B23,C5*(POWER((1+F22),'数据-取费表'!B23)-1)),0)</f>
        <v>0</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1</v>
      </c>
      <c r="D27" s="279">
        <f ca="1">C29</f>
        <v>4.0000000000000001E-3</v>
      </c>
      <c r="E27" s="280" t="s">
        <v>2367</v>
      </c>
      <c r="F27" s="290">
        <f ca="1">IF(B1="",'数据-取费表'!Q16,INDIRECT("'数据-取费表'!q"&amp;$G$1))</f>
        <v>0.2</v>
      </c>
      <c r="G27" s="291" t="s">
        <v>2368</v>
      </c>
    </row>
    <row r="28" spans="1:7" s="258" customFormat="1" ht="13.5" customHeight="1">
      <c r="A28" s="954" t="s">
        <v>791</v>
      </c>
      <c r="B28" s="292" t="s">
        <v>2369</v>
      </c>
      <c r="C28" s="293">
        <f ca="1">ROUND((C5+C19+C20)*F27*'数据-取费表'!B21/'数据-取费表'!B20,0)</f>
        <v>1</v>
      </c>
      <c r="D28" s="279"/>
      <c r="E28" s="280"/>
      <c r="F28" s="290"/>
      <c r="G28" s="291"/>
    </row>
    <row r="29" spans="1:7" s="258" customFormat="1" ht="13.5" customHeight="1">
      <c r="A29" s="954"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43</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37</v>
      </c>
      <c r="D34" s="261"/>
      <c r="E34" s="264"/>
      <c r="F34" s="301">
        <f ca="1">IF('数据-取费表'!B24=0,1,IF(B1="",'数据-取费表'!N16,INDIRECT("'数据-取费表'!n"&amp;$G$1)))</f>
        <v>1</v>
      </c>
      <c r="G34" s="263" t="s">
        <v>2379</v>
      </c>
    </row>
    <row r="35" spans="1:7" ht="13.5" customHeight="1">
      <c r="A35" s="954" t="s">
        <v>796</v>
      </c>
      <c r="B35" s="259" t="s">
        <v>2380</v>
      </c>
      <c r="C35" s="264">
        <f ca="1">ROUND(C34*F35,0)</f>
        <v>1</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2383</v>
      </c>
    </row>
    <row r="37" spans="1:7" s="302" customFormat="1" ht="13.5" customHeight="1">
      <c r="A37" s="954" t="s">
        <v>798</v>
      </c>
      <c r="B37" s="259" t="s">
        <v>2384</v>
      </c>
      <c r="C37" s="293">
        <f ca="1">ROUND(E37*D37*F34/10000,0)</f>
        <v>2</v>
      </c>
      <c r="D37" s="261">
        <f ca="1">D19</f>
        <v>124.73</v>
      </c>
      <c r="E37" s="293">
        <f>'数据-取费表'!B35</f>
        <v>200</v>
      </c>
      <c r="F37" s="303"/>
      <c r="G37" s="305" t="s">
        <v>2385</v>
      </c>
    </row>
    <row r="38" spans="1:7" ht="13.5" customHeight="1">
      <c r="A38" s="954" t="s">
        <v>799</v>
      </c>
      <c r="B38" s="259" t="s">
        <v>2386</v>
      </c>
      <c r="C38" s="264">
        <f ca="1">ROUND(C34*F38,0)</f>
        <v>1</v>
      </c>
      <c r="D38" s="264"/>
      <c r="E38" s="264"/>
      <c r="F38" s="303">
        <f>'数据-取费表'!B36</f>
        <v>1.4999999999999999E-2</v>
      </c>
      <c r="G38" s="263" t="s">
        <v>2381</v>
      </c>
    </row>
    <row r="39" spans="1:7" s="258" customFormat="1" ht="13.5" customHeight="1">
      <c r="A39" s="299" t="s">
        <v>2387</v>
      </c>
      <c r="B39" s="254" t="s">
        <v>2388</v>
      </c>
      <c r="C39" s="276">
        <f ca="1">ROUND(C33*F20,0)</f>
        <v>1</v>
      </c>
      <c r="D39" s="276"/>
      <c r="E39" s="276"/>
      <c r="F39" s="277"/>
      <c r="G39" s="278" t="s">
        <v>2389</v>
      </c>
    </row>
    <row r="40" spans="1:7" s="258" customFormat="1" ht="13.5" customHeight="1">
      <c r="A40" s="299" t="s">
        <v>2390</v>
      </c>
      <c r="B40" s="254" t="s">
        <v>2391</v>
      </c>
      <c r="C40" s="1731">
        <f>F21</f>
        <v>0.02</v>
      </c>
      <c r="D40" s="280" t="s">
        <v>2392</v>
      </c>
      <c r="E40" s="276"/>
      <c r="F40" s="277"/>
      <c r="G40" s="278" t="s">
        <v>2393</v>
      </c>
    </row>
    <row r="41" spans="1:7" s="258" customFormat="1" ht="13.5" customHeight="1">
      <c r="A41" s="299" t="s">
        <v>2394</v>
      </c>
      <c r="B41" s="254" t="s">
        <v>2395</v>
      </c>
      <c r="C41" s="276">
        <f ca="1">ROUND(SUM(C42:C43),0)</f>
        <v>2</v>
      </c>
      <c r="D41" s="279">
        <f ca="1">C44</f>
        <v>1E-3</v>
      </c>
      <c r="E41" s="280" t="s">
        <v>2392</v>
      </c>
      <c r="F41" s="281"/>
      <c r="G41" s="278" t="str">
        <f>IF('数据-取费表'!B22&lt;=1,"单利计息","复利计息")</f>
        <v>复利计息</v>
      </c>
    </row>
    <row r="42" spans="1:7" ht="13.5" customHeight="1">
      <c r="A42" s="954" t="s">
        <v>791</v>
      </c>
      <c r="B42" s="259" t="s">
        <v>2396</v>
      </c>
      <c r="C42" s="282">
        <f ca="1">ROUND(IF('数据-取费表'!B22&lt;=1,C33*F22*'数据-取费表'!B21/2,C33*(POWER((1+F22),'数据-取费表'!B21/2)-1)),0)</f>
        <v>2</v>
      </c>
      <c r="D42" s="282"/>
      <c r="E42" s="282"/>
      <c r="F42" s="283"/>
      <c r="G42" s="3146" t="s">
        <v>2397</v>
      </c>
    </row>
    <row r="43" spans="1:7" ht="13.5" customHeight="1">
      <c r="A43" s="954" t="s">
        <v>792</v>
      </c>
      <c r="B43" s="259" t="s">
        <v>2398</v>
      </c>
      <c r="C43" s="282">
        <f ca="1">ROUND(IF('数据-取费表'!B22&lt;=1,C39*F22*'数据-取费表'!B21/2,C39*(POWER((1+F22),'数据-取费表'!B21/2)-1)),0)</f>
        <v>0</v>
      </c>
      <c r="D43" s="282"/>
      <c r="E43" s="282"/>
      <c r="F43" s="283"/>
      <c r="G43" s="3147"/>
    </row>
    <row r="44" spans="1:7" ht="13.5" customHeight="1">
      <c r="A44" s="954" t="s">
        <v>793</v>
      </c>
      <c r="B44" s="259" t="s">
        <v>2399</v>
      </c>
      <c r="C44" s="282">
        <f ca="1">ROUND(IF('数据-取费表'!B22&lt;=1,C40*F22*'数据-取费表'!B21/2,C40*(POWER((1+F22),'数据-取费表'!B21/2)-1)),4)</f>
        <v>1E-3</v>
      </c>
      <c r="D44" s="282"/>
      <c r="E44" s="282"/>
      <c r="F44" s="283"/>
      <c r="G44" s="3148"/>
    </row>
    <row r="45" spans="1:7" s="258" customFormat="1" ht="13.5" customHeight="1">
      <c r="A45" s="299" t="s">
        <v>2400</v>
      </c>
      <c r="B45" s="288" t="s">
        <v>2366</v>
      </c>
      <c r="C45" s="289">
        <f ca="1">C46</f>
        <v>9</v>
      </c>
      <c r="D45" s="279">
        <f ca="1">C47</f>
        <v>4.0000000000000001E-3</v>
      </c>
      <c r="E45" s="280" t="s">
        <v>2392</v>
      </c>
      <c r="F45" s="290"/>
      <c r="G45" s="291" t="s">
        <v>2401</v>
      </c>
    </row>
    <row r="46" spans="1:7" s="258" customFormat="1" ht="13.5" customHeight="1">
      <c r="A46" s="954" t="s">
        <v>791</v>
      </c>
      <c r="B46" s="292" t="s">
        <v>2402</v>
      </c>
      <c r="C46" s="293">
        <f ca="1">ROUND((C33+C39)*F27,0)</f>
        <v>9</v>
      </c>
      <c r="D46" s="307"/>
      <c r="E46" s="280"/>
      <c r="F46" s="290"/>
      <c r="G46" s="291"/>
    </row>
    <row r="47" spans="1:7" s="258" customFormat="1" ht="13.5" customHeight="1">
      <c r="A47" s="954" t="s">
        <v>792</v>
      </c>
      <c r="B47" s="292" t="s">
        <v>2403</v>
      </c>
      <c r="C47" s="282">
        <f ca="1">ROUND(C40*F27,4)</f>
        <v>4.0000000000000001E-3</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60</v>
      </c>
      <c r="D49" s="276"/>
      <c r="E49" s="276"/>
      <c r="F49" s="308"/>
      <c r="G49" s="278" t="s">
        <v>2407</v>
      </c>
    </row>
    <row r="50" spans="1:7" s="302" customFormat="1" ht="24">
      <c r="A50" s="299" t="s">
        <v>2408</v>
      </c>
      <c r="B50" s="254" t="s">
        <v>2409</v>
      </c>
      <c r="C50" s="276"/>
      <c r="D50" s="276"/>
      <c r="E50" s="276"/>
      <c r="F50" s="308">
        <f>IF('数据-取费表'!B24=0,'数据-取费表'!N16,1)</f>
        <v>0.77</v>
      </c>
      <c r="G50" s="291" t="s">
        <v>2410</v>
      </c>
    </row>
    <row r="51" spans="1:7" ht="16.5" customHeight="1">
      <c r="A51" s="299" t="s">
        <v>2411</v>
      </c>
      <c r="B51" s="254" t="s">
        <v>2412</v>
      </c>
      <c r="C51" s="276">
        <f ca="1">ROUND(C49*F50,0)</f>
        <v>46</v>
      </c>
      <c r="D51" s="276"/>
      <c r="E51" s="276"/>
      <c r="F51" s="308"/>
      <c r="G51" s="278" t="s">
        <v>2413</v>
      </c>
    </row>
    <row r="52" spans="1:7" s="252" customFormat="1" ht="16.5" thickBot="1">
      <c r="A52" s="309" t="s">
        <v>2414</v>
      </c>
      <c r="B52" s="310"/>
      <c r="C52" s="311">
        <f ca="1">C31+C51</f>
        <v>51</v>
      </c>
      <c r="D52" s="310"/>
      <c r="E52" s="310"/>
      <c r="F52" s="310"/>
      <c r="G52" s="312"/>
    </row>
    <row r="55" spans="1:7" ht="15">
      <c r="B55" s="314" t="s">
        <v>2415</v>
      </c>
      <c r="C55" s="315"/>
    </row>
    <row r="56" spans="1:7">
      <c r="B56" s="317" t="s">
        <v>1513</v>
      </c>
      <c r="C56" s="319">
        <f ca="1">1-C57</f>
        <v>9.7999999999999976E-2</v>
      </c>
    </row>
    <row r="57" spans="1:7">
      <c r="B57" s="317" t="s">
        <v>1514</v>
      </c>
      <c r="C57" s="318">
        <f ca="1">ROUND(C51/C52,3)</f>
        <v>0.90200000000000002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北京市海淀区枫涟山庄12号楼2层5单元201号房地产抵押价值预评估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57"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53</v>
      </c>
      <c r="C2" s="243" t="s">
        <v>2316</v>
      </c>
      <c r="D2" s="2551" t="s">
        <v>70</v>
      </c>
      <c r="E2" s="1443" t="e">
        <f ca="1">SUMIF(INDIRECT("'"&amp;G2&amp;"'"&amp;"!A:A"),"承租人权益价值",INDIRECT("'"&amp;G2&amp;"'"&amp;"!c:c"))</f>
        <v>#REF!</v>
      </c>
      <c r="F2" s="2552" t="s">
        <v>2316</v>
      </c>
      <c r="G2" s="2553"/>
    </row>
    <row r="3" spans="1:8" s="244" customFormat="1" ht="18" customHeight="1" thickBot="1">
      <c r="A3" s="247" t="s">
        <v>2317</v>
      </c>
      <c r="B3" s="248">
        <f ca="1">ROUND(B2*10000/(IF(B1="",'数据-汇总表'!E3,INDIRECT("'数据-取费表'!k"&amp;$G$1))),0)</f>
        <v>4249</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24946</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24946</v>
      </c>
      <c r="D8" s="266"/>
      <c r="E8" s="264"/>
      <c r="F8" s="265"/>
      <c r="G8" s="2554"/>
    </row>
    <row r="9" spans="1:8" s="258" customFormat="1" ht="13.5" customHeight="1">
      <c r="A9" s="953" t="s">
        <v>800</v>
      </c>
      <c r="B9" s="268" t="s">
        <v>2331</v>
      </c>
      <c r="C9" s="269">
        <f ca="1">ROUND(D9*E9,0)</f>
        <v>24946</v>
      </c>
      <c r="D9" s="1035">
        <f ca="1">IF(B1="",'数据-汇总表'!E5,IF(INDIRECT("'数据-取费表'!c"&amp;$G$1)="住宅",INDIRECT("'数据-取费表'!k"&amp;$G$1),0))</f>
        <v>124.73</v>
      </c>
      <c r="E9" s="269">
        <f>'数据-取费表'!B27</f>
        <v>200</v>
      </c>
      <c r="F9" s="265"/>
      <c r="G9" s="270"/>
    </row>
    <row r="10" spans="1:8" s="258" customFormat="1" ht="13.5" customHeight="1">
      <c r="A10" s="953" t="s">
        <v>801</v>
      </c>
      <c r="B10" s="268" t="s">
        <v>2333</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24946</v>
      </c>
      <c r="D19" s="1039">
        <f ca="1">D9+D10</f>
        <v>124.73</v>
      </c>
      <c r="E19" s="255">
        <f>'数据-取费表'!B31</f>
        <v>200</v>
      </c>
      <c r="F19" s="275"/>
      <c r="G19" s="2554"/>
    </row>
    <row r="20" spans="1:7" s="258" customFormat="1" ht="13.5" customHeight="1">
      <c r="A20" s="299" t="s">
        <v>2427</v>
      </c>
      <c r="B20" s="254" t="s">
        <v>2428</v>
      </c>
      <c r="C20" s="276">
        <f ca="1">ROUND((C5+C19)*F20,0)</f>
        <v>998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3">
        <f ca="1">ROUND(SUM(C23:C25),0)</f>
        <v>4899</v>
      </c>
      <c r="D22" s="279">
        <f ca="1">C26</f>
        <v>1E-3</v>
      </c>
      <c r="E22" s="280" t="s">
        <v>2432</v>
      </c>
      <c r="F22" s="281">
        <f ca="1">'数据-取费表'!B40</f>
        <v>4.7500000000000001E-2</v>
      </c>
      <c r="G22" s="278" t="str">
        <f>IF('数据-取费表'!B22&lt;=1,"单利计息","复利计息")</f>
        <v>复利计息</v>
      </c>
    </row>
    <row r="23" spans="1:7" s="258" customFormat="1" ht="13.5" customHeight="1">
      <c r="A23" s="954" t="s">
        <v>2325</v>
      </c>
      <c r="B23" s="259" t="s">
        <v>2436</v>
      </c>
      <c r="C23" s="1384">
        <f ca="1">ROUND(IF('数据-取费表'!B22&lt;=1,C5*F22*'数据-取费表'!B22,C5*(POWER((1+F22),'数据-取费表'!B22)-1)),0)</f>
        <v>2426</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2426</v>
      </c>
      <c r="D24" s="282"/>
      <c r="E24" s="282"/>
      <c r="F24" s="283"/>
      <c r="G24" s="284" t="s">
        <v>2439</v>
      </c>
    </row>
    <row r="25" spans="1:7" s="258" customFormat="1" ht="24">
      <c r="A25" s="954" t="s">
        <v>2329</v>
      </c>
      <c r="B25" s="259" t="s">
        <v>2440</v>
      </c>
      <c r="C25" s="1384">
        <f ca="1">ROUND(IF('数据-取费表'!B22&lt;=1,C20*F22*'数据-取费表'!B22/2,C20*(POWER((1+F22),'数据-取费表'!B22/2)-1)),0)</f>
        <v>47</v>
      </c>
      <c r="D25" s="282"/>
      <c r="E25" s="285"/>
      <c r="F25" s="283"/>
      <c r="G25" s="286" t="s">
        <v>2441</v>
      </c>
    </row>
    <row r="26" spans="1:7" s="258" customFormat="1">
      <c r="A26" s="954"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10178</v>
      </c>
      <c r="D27" s="279">
        <f ca="1">C29</f>
        <v>4.0000000000000001E-3</v>
      </c>
      <c r="E27" s="280" t="s">
        <v>2367</v>
      </c>
      <c r="F27" s="290">
        <f ca="1">IF(B1="",'数据-取费表'!Q16,INDIRECT("'数据-取费表'!q"&amp;$G$1))</f>
        <v>0.2</v>
      </c>
      <c r="G27" s="291" t="s">
        <v>2368</v>
      </c>
    </row>
    <row r="28" spans="1:7" s="258" customFormat="1" ht="13.5" customHeight="1">
      <c r="A28" s="954" t="s">
        <v>791</v>
      </c>
      <c r="B28" s="292" t="s">
        <v>2369</v>
      </c>
      <c r="C28" s="293">
        <f ca="1">ROUND((C5+C19+C20)*F27,0)</f>
        <v>10178</v>
      </c>
      <c r="D28" s="279"/>
      <c r="E28" s="280"/>
      <c r="F28" s="290"/>
      <c r="G28" s="291"/>
    </row>
    <row r="29" spans="1:7" s="258" customFormat="1" ht="13.5" customHeight="1">
      <c r="A29" s="954" t="s">
        <v>792</v>
      </c>
      <c r="B29" s="292" t="s">
        <v>2370</v>
      </c>
      <c r="C29" s="282">
        <f ca="1">ROUND(C21*F27,4)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71571</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434685</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374190</v>
      </c>
      <c r="D34" s="261"/>
      <c r="E34" s="264"/>
      <c r="F34" s="301"/>
      <c r="G34" s="263"/>
    </row>
    <row r="35" spans="1:7" ht="13.5" customHeight="1">
      <c r="A35" s="954" t="s">
        <v>796</v>
      </c>
      <c r="B35" s="259" t="s">
        <v>2380</v>
      </c>
      <c r="C35" s="264">
        <f ca="1">ROUND(C34*F35,0)</f>
        <v>11226</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18710</v>
      </c>
      <c r="D36" s="264"/>
      <c r="E36" s="264"/>
      <c r="F36" s="303">
        <f>'数据-取费表'!B34</f>
        <v>0.05</v>
      </c>
      <c r="G36" s="304" t="s">
        <v>2383</v>
      </c>
    </row>
    <row r="37" spans="1:7" s="302" customFormat="1" ht="13.5" customHeight="1">
      <c r="A37" s="954" t="s">
        <v>798</v>
      </c>
      <c r="B37" s="259" t="s">
        <v>2384</v>
      </c>
      <c r="C37" s="293">
        <f ca="1">ROUND(E37*D37,0)</f>
        <v>24946</v>
      </c>
      <c r="D37" s="261">
        <f ca="1">D19</f>
        <v>124.73</v>
      </c>
      <c r="E37" s="293">
        <f>'数据-取费表'!B35</f>
        <v>200</v>
      </c>
      <c r="F37" s="303"/>
      <c r="G37" s="305"/>
    </row>
    <row r="38" spans="1:7" ht="13.5" customHeight="1">
      <c r="A38" s="954" t="s">
        <v>799</v>
      </c>
      <c r="B38" s="259" t="s">
        <v>2386</v>
      </c>
      <c r="C38" s="264">
        <f ca="1">ROUND(C34*F38,0)</f>
        <v>5613</v>
      </c>
      <c r="D38" s="264"/>
      <c r="E38" s="264"/>
      <c r="F38" s="303">
        <f>'数据-取费表'!B36</f>
        <v>1.4999999999999999E-2</v>
      </c>
      <c r="G38" s="263" t="s">
        <v>2381</v>
      </c>
    </row>
    <row r="39" spans="1:7" s="258" customFormat="1" ht="13.5" customHeight="1">
      <c r="A39" s="299" t="s">
        <v>2387</v>
      </c>
      <c r="B39" s="254" t="s">
        <v>2388</v>
      </c>
      <c r="C39" s="276">
        <f ca="1">ROUND(C33*F20,0)</f>
        <v>8694</v>
      </c>
      <c r="D39" s="276"/>
      <c r="E39" s="276"/>
      <c r="F39" s="277"/>
      <c r="G39" s="278" t="s">
        <v>2389</v>
      </c>
    </row>
    <row r="40" spans="1:7" s="258" customFormat="1" ht="13.5" customHeight="1">
      <c r="A40" s="299" t="s">
        <v>2390</v>
      </c>
      <c r="B40" s="254" t="s">
        <v>2391</v>
      </c>
      <c r="C40" s="1731">
        <f>F21</f>
        <v>0.02</v>
      </c>
      <c r="D40" s="280" t="s">
        <v>2392</v>
      </c>
      <c r="E40" s="276"/>
      <c r="F40" s="277"/>
      <c r="G40" s="278" t="s">
        <v>2393</v>
      </c>
    </row>
    <row r="41" spans="1:7" s="258" customFormat="1" ht="13.5" customHeight="1">
      <c r="A41" s="299" t="s">
        <v>2394</v>
      </c>
      <c r="B41" s="254" t="s">
        <v>2395</v>
      </c>
      <c r="C41" s="276">
        <f ca="1">ROUND(SUM(C42:C43),0)</f>
        <v>21061</v>
      </c>
      <c r="D41" s="279">
        <f ca="1">C44</f>
        <v>1E-3</v>
      </c>
      <c r="E41" s="280" t="s">
        <v>2392</v>
      </c>
      <c r="F41" s="281"/>
      <c r="G41" s="278" t="str">
        <f>IF('数据-取费表'!B22&lt;=1,"单利计息","复利计息")</f>
        <v>复利计息</v>
      </c>
    </row>
    <row r="42" spans="1:7" ht="13.5" customHeight="1">
      <c r="A42" s="954" t="s">
        <v>791</v>
      </c>
      <c r="B42" s="259" t="s">
        <v>2396</v>
      </c>
      <c r="C42" s="282">
        <f ca="1">ROUND(IF('数据-取费表'!B22&lt;=1,C33*F22*'数据-取费表'!B20/2,C33*(POWER((1+F22),'数据-取费表'!B20/2)-1)),0)</f>
        <v>20648</v>
      </c>
      <c r="D42" s="282"/>
      <c r="E42" s="282"/>
      <c r="F42" s="283"/>
      <c r="G42" s="3146" t="s">
        <v>2444</v>
      </c>
    </row>
    <row r="43" spans="1:7" ht="13.5" customHeight="1">
      <c r="A43" s="954" t="s">
        <v>792</v>
      </c>
      <c r="B43" s="259" t="s">
        <v>2398</v>
      </c>
      <c r="C43" s="282">
        <f ca="1">ROUND(IF('数据-取费表'!B22&lt;=1,C39*F22*'数据-取费表'!B20/2,C39*(POWER((1+F22),'数据-取费表'!B20/2)-1)),0)</f>
        <v>413</v>
      </c>
      <c r="D43" s="282"/>
      <c r="E43" s="282"/>
      <c r="F43" s="283"/>
      <c r="G43" s="3147"/>
    </row>
    <row r="44" spans="1:7" ht="13.5" customHeight="1">
      <c r="A44" s="954" t="s">
        <v>793</v>
      </c>
      <c r="B44" s="259" t="s">
        <v>2399</v>
      </c>
      <c r="C44" s="282">
        <f ca="1">ROUND(IF('数据-取费表'!B22&lt;=1,C40*F22*'数据-取费表'!B20/2,C40*(POWER((1+F22),'数据-取费表'!B20/2)-1)),4)</f>
        <v>1E-3</v>
      </c>
      <c r="D44" s="282"/>
      <c r="E44" s="282"/>
      <c r="F44" s="283"/>
      <c r="G44" s="3148"/>
    </row>
    <row r="45" spans="1:7" s="258" customFormat="1" ht="13.5" customHeight="1">
      <c r="A45" s="299" t="s">
        <v>2400</v>
      </c>
      <c r="B45" s="288" t="s">
        <v>2366</v>
      </c>
      <c r="C45" s="289">
        <f ca="1">C46</f>
        <v>88676</v>
      </c>
      <c r="D45" s="279">
        <f ca="1">C47</f>
        <v>4.0000000000000001E-3</v>
      </c>
      <c r="E45" s="280" t="s">
        <v>2392</v>
      </c>
      <c r="F45" s="290"/>
      <c r="G45" s="291" t="s">
        <v>2401</v>
      </c>
    </row>
    <row r="46" spans="1:7" s="258" customFormat="1" ht="13.5" customHeight="1">
      <c r="A46" s="954" t="s">
        <v>791</v>
      </c>
      <c r="B46" s="292" t="s">
        <v>2402</v>
      </c>
      <c r="C46" s="293">
        <f ca="1">ROUND((C33+C39)*F27,0)</f>
        <v>88676</v>
      </c>
      <c r="D46" s="307"/>
      <c r="E46" s="280"/>
      <c r="F46" s="290"/>
      <c r="G46" s="291"/>
    </row>
    <row r="47" spans="1:7" s="258" customFormat="1" ht="13.5" customHeight="1">
      <c r="A47" s="954" t="s">
        <v>792</v>
      </c>
      <c r="B47" s="292" t="s">
        <v>2403</v>
      </c>
      <c r="C47" s="282">
        <f ca="1">ROUND(C40*F27,4)</f>
        <v>4.0000000000000001E-3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600104</v>
      </c>
      <c r="D49" s="276"/>
      <c r="E49" s="276"/>
      <c r="F49" s="308"/>
      <c r="G49" s="278" t="s">
        <v>2407</v>
      </c>
    </row>
    <row r="50" spans="1:7" s="302" customFormat="1">
      <c r="A50" s="299" t="s">
        <v>2408</v>
      </c>
      <c r="B50" s="254" t="s">
        <v>2409</v>
      </c>
      <c r="C50" s="276"/>
      <c r="D50" s="276"/>
      <c r="E50" s="276"/>
      <c r="F50" s="308">
        <f>IF('数据-取费表'!B24=0,'数据-取费表'!N16,1)</f>
        <v>0.77</v>
      </c>
      <c r="G50" s="291"/>
    </row>
    <row r="51" spans="1:7" ht="16.5" customHeight="1">
      <c r="A51" s="299" t="s">
        <v>2411</v>
      </c>
      <c r="B51" s="254" t="s">
        <v>2446</v>
      </c>
      <c r="C51" s="276">
        <f ca="1">ROUND(C49*F50,0)</f>
        <v>462080</v>
      </c>
      <c r="D51" s="276"/>
      <c r="E51" s="276"/>
      <c r="F51" s="308"/>
      <c r="G51" s="278" t="s">
        <v>2413</v>
      </c>
    </row>
    <row r="52" spans="1:7" s="252" customFormat="1" ht="16.5" thickBot="1">
      <c r="A52" s="309" t="s">
        <v>2414</v>
      </c>
      <c r="B52" s="310"/>
      <c r="C52" s="311">
        <f ca="1">C31+C51</f>
        <v>533651</v>
      </c>
      <c r="D52" s="310"/>
      <c r="E52" s="310"/>
      <c r="F52" s="310"/>
      <c r="G52" s="312"/>
    </row>
    <row r="55" spans="1:7" ht="15">
      <c r="B55" s="314" t="s">
        <v>2415</v>
      </c>
      <c r="C55" s="315"/>
    </row>
    <row r="56" spans="1:7">
      <c r="B56" s="317" t="s">
        <v>1513</v>
      </c>
      <c r="C56" s="319">
        <f ca="1">1-C57</f>
        <v>0.13400000000000001</v>
      </c>
    </row>
    <row r="57" spans="1:7">
      <c r="B57" s="317" t="s">
        <v>1514</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8" t="s">
        <v>2453</v>
      </c>
      <c r="D5" s="2558" t="s">
        <v>2454</v>
      </c>
      <c r="E5" s="2558" t="s">
        <v>2455</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0.05</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124.73</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124.73</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60"/>
      <c r="H18" s="1580"/>
      <c r="I18" s="2561" t="s">
        <v>2481</v>
      </c>
      <c r="J18" s="982"/>
      <c r="K18" s="983"/>
    </row>
    <row r="19" spans="1:33" s="978" customFormat="1" ht="13.5" customHeight="1">
      <c r="A19" s="974" t="s">
        <v>805</v>
      </c>
      <c r="B19" s="975" t="s">
        <v>2482</v>
      </c>
      <c r="C19" s="24">
        <f ca="1">ROUND(D19*E19/10000,0)</f>
        <v>2</v>
      </c>
      <c r="D19" s="1036">
        <f ca="1">IF(C1="",'数据-汇总表'!E5,IF(INDIRECT("'数据-取费表'!c"&amp;$K$1)="住宅",INDIRECT("'数据-取费表'!k"&amp;$K$1),0))</f>
        <v>124.73</v>
      </c>
      <c r="E19" s="24">
        <f>'数据-取费表'!B27</f>
        <v>200</v>
      </c>
      <c r="F19" s="979"/>
      <c r="G19" s="15"/>
      <c r="H19" s="1582"/>
      <c r="I19" s="984"/>
      <c r="J19" s="984"/>
      <c r="K19" s="985"/>
    </row>
    <row r="20" spans="1:33" s="978" customFormat="1" ht="13.5" customHeight="1">
      <c r="A20" s="974" t="s">
        <v>806</v>
      </c>
      <c r="B20" s="975" t="s">
        <v>2483</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0.02</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0.02</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2497</v>
      </c>
      <c r="B28" s="2563" t="s">
        <v>2498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4"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151" t="s">
        <v>1403</v>
      </c>
      <c r="C6" s="1299">
        <f ca="1">ROUND(F6*F8*F7*(1-F9)/10000,0)</f>
        <v>0</v>
      </c>
      <c r="D6" s="164" t="s">
        <v>3016</v>
      </c>
      <c r="E6" s="347" t="s">
        <v>1405</v>
      </c>
      <c r="F6" s="348">
        <f ca="1">INDIRECT("'数据-取费表'!u"&amp;$G$1)</f>
        <v>0</v>
      </c>
      <c r="G6" s="1853"/>
      <c r="H6" s="1294" t="s">
        <v>1035</v>
      </c>
      <c r="I6" s="3151" t="s">
        <v>1403</v>
      </c>
      <c r="J6" s="346">
        <f ca="1">ROUND(M6*M8*M7*(1-M9)/10000,0)</f>
        <v>0</v>
      </c>
      <c r="K6" s="164" t="s">
        <v>3015</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0</v>
      </c>
      <c r="G7" s="1853"/>
      <c r="H7" s="349"/>
      <c r="I7" s="3152"/>
      <c r="J7" s="351"/>
      <c r="K7" s="352"/>
      <c r="L7" s="347" t="s">
        <v>1406</v>
      </c>
      <c r="M7" s="348">
        <f ca="1">F7</f>
        <v>0</v>
      </c>
    </row>
    <row r="8" spans="1:37" ht="18" customHeight="1">
      <c r="A8" s="349"/>
      <c r="B8" s="3152"/>
      <c r="C8" s="351"/>
      <c r="D8" s="352"/>
      <c r="E8" s="347" t="s">
        <v>1407</v>
      </c>
      <c r="F8" s="348">
        <f ca="1">INDIRECT("'数据-取费表'!ai"&amp;$G$1)</f>
        <v>0</v>
      </c>
      <c r="G8" s="1853"/>
      <c r="H8" s="349"/>
      <c r="I8" s="3152"/>
      <c r="J8" s="351"/>
      <c r="K8" s="352"/>
      <c r="L8" s="347" t="s">
        <v>1407</v>
      </c>
      <c r="M8" s="348">
        <f ca="1">INDIRECT("'数据-取费表'!ai"&amp;$G$1)</f>
        <v>0</v>
      </c>
    </row>
    <row r="9" spans="1:37" ht="18" customHeight="1">
      <c r="A9" s="349"/>
      <c r="B9" s="3153"/>
      <c r="C9" s="351"/>
      <c r="D9" s="352"/>
      <c r="E9" s="347" t="s">
        <v>1408</v>
      </c>
      <c r="F9" s="357">
        <f ca="1">INDIRECT("'数据-取费表'!w"&amp;$G$1)</f>
        <v>0</v>
      </c>
      <c r="G9" s="1853"/>
      <c r="H9" s="349"/>
      <c r="I9" s="3153"/>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3025</v>
      </c>
      <c r="E10" s="358" t="s">
        <v>1410</v>
      </c>
      <c r="F10" s="1369"/>
      <c r="G10" s="1853"/>
      <c r="H10" s="1294" t="s">
        <v>1039</v>
      </c>
      <c r="I10" s="1825" t="s">
        <v>1409</v>
      </c>
      <c r="J10" s="346">
        <f ca="1">ROUND(IF(M10="押一",J6/12*M11,IF(M10="押二",J6/12*2*M11,IF(M10="押三",J6/12*3*M11,J11*M11))),0)</f>
        <v>0</v>
      </c>
      <c r="K10" s="1826" t="s">
        <v>3024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ROUND(M20*M21/10000,2)</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1433</v>
      </c>
      <c r="C32" s="24" t="str">
        <f>IF(项目基本情况!B11="自然人","——",ROUND(C5*F32/(1+'数据-取费表'!C42),2))</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IF(项目基本情况!B11="自然人","——",IF(D33="按租金收入计税",ROUND(C5*F33,2),IF(D33="按房产原值计税",ROUND(C29*F33*0.7,2),INDIRECT("'数据-取费表'!Aj"&amp;$G$1))))</f>
        <v>——</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IF(项目基本情况!B11="自然人","——",ROUND(F34*F35/10000,2))</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3017</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3024</v>
      </c>
      <c r="E53" s="358" t="s">
        <v>1410</v>
      </c>
      <c r="F53" s="1369"/>
      <c r="I53" s="1907" t="s">
        <v>1547</v>
      </c>
      <c r="J53" s="1908" t="b">
        <f>IF(M47="住宅",J51,IF(D1="——",MIN(J51,L48),IF(D1="在建（套用方法）",MIN(J51,L48-'数据-取费表'!B24),IF(D1="土地（套用方法）",MIN(J51,L48-'数据-取费表'!B20)))))</f>
        <v>0</v>
      </c>
      <c r="K53" s="3149" t="s">
        <v>1548</v>
      </c>
      <c r="L53" s="3150"/>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IF(项目基本情况!B11="自然人","——",ROUND(C48*F60/(1+'数据-取费表'!C42),2))</f>
        <v>——</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IF(项目基本情况!B11="自然人","——",IF(D61="按租金收入计税",ROUND(C48*F61,2),IF(D61="按房产原值计税",ROUND(C57*F61*0.7,2),INDIRECT("'数据-取费表'!Aj"&amp;$G$1))))</f>
        <v>——</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t="str">
        <f>IF(项目基本情况!B11="自然人","——",ROUND(F62*F63/10000,2))</f>
        <v>——</v>
      </c>
      <c r="D62" s="1187" t="s">
        <v>1497</v>
      </c>
      <c r="E62" s="1172" t="s">
        <v>1498</v>
      </c>
      <c r="F62" s="371">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M50" sqref="M5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6" t="s">
        <v>2517</v>
      </c>
      <c r="C1" s="1637" t="s">
        <v>2518</v>
      </c>
      <c r="D1" s="1624" t="s">
        <v>3054</v>
      </c>
      <c r="E1" s="2587"/>
      <c r="F1" s="2588" t="s">
        <v>2519</v>
      </c>
      <c r="G1" s="1634" t="s">
        <v>2520</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947</v>
      </c>
      <c r="C2" s="2590" t="s">
        <v>70</v>
      </c>
      <c r="D2" s="1368" t="e">
        <f ca="1">SUMIF(INDIRECT("'"&amp;F2&amp;"'"&amp;"!A:A"),"承租人权益价值",INDIRECT("'"&amp;F2&amp;"'"&amp;"!c:c"))</f>
        <v>#REF!</v>
      </c>
      <c r="E2" s="2591" t="s">
        <v>2521</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f>IF(C2="——",C49,ROUND(B2*10000/D3,0))</f>
        <v>75928</v>
      </c>
      <c r="C3" s="400" t="s">
        <v>2522</v>
      </c>
      <c r="D3" s="399">
        <f>IF(D1="",'数据-汇总表'!E3,SUMIF('数据-汇总表'!$C19:$C33,D1,'数据-汇总表'!$E19:$E33))</f>
        <v>124.73</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2523</v>
      </c>
      <c r="B4" s="402"/>
      <c r="C4" s="3170" t="s">
        <v>2524</v>
      </c>
      <c r="D4" s="3171"/>
      <c r="E4" s="3172" t="s">
        <v>2525</v>
      </c>
      <c r="F4" s="3173"/>
      <c r="G4" s="3170" t="s">
        <v>2526</v>
      </c>
      <c r="H4" s="3171"/>
      <c r="I4" s="3170" t="s">
        <v>2527</v>
      </c>
      <c r="J4" s="3171"/>
      <c r="K4" s="2600" t="s">
        <v>2528</v>
      </c>
      <c r="L4" s="1133"/>
      <c r="M4" s="1134"/>
      <c r="N4" s="1134"/>
      <c r="O4" s="1134"/>
      <c r="P4" s="3174" t="s">
        <v>2529</v>
      </c>
      <c r="Q4" s="3175"/>
      <c r="R4" s="3159" t="s">
        <v>2525</v>
      </c>
      <c r="S4" s="3160"/>
      <c r="T4" s="3159" t="s">
        <v>2526</v>
      </c>
      <c r="U4" s="3160"/>
      <c r="V4" s="3182" t="s">
        <v>2527</v>
      </c>
      <c r="W4" s="3182"/>
      <c r="X4" s="1815"/>
      <c r="Y4" s="3159" t="s">
        <v>2529</v>
      </c>
      <c r="Z4" s="3160"/>
      <c r="AA4" s="3154" t="s">
        <v>2525</v>
      </c>
      <c r="AB4" s="3154" t="s">
        <v>2526</v>
      </c>
      <c r="AC4" s="3154" t="s">
        <v>2527</v>
      </c>
    </row>
    <row r="5" spans="1:29" ht="15">
      <c r="A5" s="404"/>
      <c r="B5" s="405"/>
      <c r="C5" s="3163" t="s">
        <v>3112</v>
      </c>
      <c r="D5" s="3164"/>
      <c r="E5" s="3163" t="str">
        <f>C5</f>
        <v>枫涟山庄</v>
      </c>
      <c r="F5" s="3164"/>
      <c r="G5" s="3163" t="str">
        <f>C5</f>
        <v>枫涟山庄</v>
      </c>
      <c r="H5" s="3164"/>
      <c r="I5" s="3163" t="str">
        <f>C5</f>
        <v>枫涟山庄</v>
      </c>
      <c r="J5" s="3164"/>
      <c r="K5" s="2601"/>
      <c r="L5" s="1133"/>
      <c r="M5" s="1134"/>
      <c r="N5" s="1134"/>
      <c r="O5" s="1134"/>
      <c r="P5" s="3176"/>
      <c r="Q5" s="3177"/>
      <c r="R5" s="3161"/>
      <c r="S5" s="3162"/>
      <c r="T5" s="3161"/>
      <c r="U5" s="3162"/>
      <c r="V5" s="3182"/>
      <c r="W5" s="3182"/>
      <c r="X5" s="1815"/>
      <c r="Y5" s="3161"/>
      <c r="Z5" s="3162"/>
      <c r="AA5" s="3155"/>
      <c r="AB5" s="3155"/>
      <c r="AC5" s="3155"/>
    </row>
    <row r="6" spans="1:29" ht="15.75" thickBot="1">
      <c r="A6" s="406"/>
      <c r="B6" s="407"/>
      <c r="C6" s="3165" t="s">
        <v>2534</v>
      </c>
      <c r="D6" s="3166"/>
      <c r="E6" s="3167" t="s">
        <v>2534</v>
      </c>
      <c r="F6" s="3168"/>
      <c r="G6" s="3165" t="s">
        <v>2534</v>
      </c>
      <c r="H6" s="3166"/>
      <c r="I6" s="3165" t="s">
        <v>2534</v>
      </c>
      <c r="J6" s="3166"/>
      <c r="K6" s="2601" t="s">
        <v>2535</v>
      </c>
      <c r="L6" s="1133"/>
      <c r="M6" s="1134"/>
      <c r="N6" s="1134"/>
      <c r="O6" s="1134"/>
      <c r="P6" s="3178"/>
      <c r="Q6" s="3179"/>
      <c r="R6" s="3161"/>
      <c r="S6" s="3162"/>
      <c r="T6" s="3180"/>
      <c r="U6" s="3181"/>
      <c r="V6" s="3182"/>
      <c r="W6" s="3182"/>
      <c r="X6" s="1815"/>
      <c r="Y6" s="3180"/>
      <c r="Z6" s="3181"/>
      <c r="AA6" s="3156"/>
      <c r="AB6" s="3156"/>
      <c r="AC6" s="3156"/>
    </row>
    <row r="7" spans="1:29" s="117" customFormat="1" ht="15.75" thickBot="1">
      <c r="A7" s="408" t="s">
        <v>2536</v>
      </c>
      <c r="B7" s="409"/>
      <c r="C7" s="410">
        <f>'数据-取费表'!B2</f>
        <v>43217</v>
      </c>
      <c r="D7" s="411">
        <v>100</v>
      </c>
      <c r="E7" s="412">
        <v>43125</v>
      </c>
      <c r="F7" s="413">
        <f>SUMIF(58:58,YEAR(E7)&amp;"-"&amp;MONTH(E7),59:59)</f>
        <v>98.5</v>
      </c>
      <c r="G7" s="412">
        <v>43102</v>
      </c>
      <c r="H7" s="411">
        <f>SUMIF(58:58,YEAR(G7)&amp;"-"&amp;MONTH(G7),59:59)</f>
        <v>98.5</v>
      </c>
      <c r="I7" s="412">
        <v>43093</v>
      </c>
      <c r="J7" s="411">
        <f>SUMIF(58:58,YEAR(I7)&amp;"-"&amp;MONTH(I7),59:59)</f>
        <v>98</v>
      </c>
      <c r="K7" s="2602"/>
      <c r="L7" s="1135"/>
      <c r="M7" s="1136"/>
      <c r="N7" s="1136"/>
      <c r="O7" s="1136"/>
      <c r="P7" s="3157" t="s">
        <v>2537</v>
      </c>
      <c r="Q7" s="3183"/>
      <c r="R7" s="770" t="s">
        <v>23</v>
      </c>
      <c r="S7" s="771">
        <f t="shared" ref="S7:S15" si="0">F7</f>
        <v>98.5</v>
      </c>
      <c r="T7" s="770" t="s">
        <v>23</v>
      </c>
      <c r="U7" s="771">
        <f t="shared" ref="U7:U15" si="1">H7</f>
        <v>98.5</v>
      </c>
      <c r="V7" s="770" t="s">
        <v>23</v>
      </c>
      <c r="W7" s="771">
        <f t="shared" ref="W7:W15" si="2">J7</f>
        <v>98</v>
      </c>
      <c r="X7" s="772"/>
      <c r="Y7" s="3157" t="s">
        <v>2537</v>
      </c>
      <c r="Z7" s="3158"/>
      <c r="AA7" s="773">
        <f>D7/F7</f>
        <v>1.015228426395939</v>
      </c>
      <c r="AB7" s="773">
        <f>D7/H7</f>
        <v>1.015228426395939</v>
      </c>
      <c r="AC7" s="773">
        <f>D7/J7</f>
        <v>1.0204081632653061</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602"/>
      <c r="L8" s="1135"/>
      <c r="M8" s="1136"/>
      <c r="N8" s="1136"/>
      <c r="O8" s="1136"/>
      <c r="P8" s="3157" t="s">
        <v>2540</v>
      </c>
      <c r="Q8" s="3158"/>
      <c r="R8" s="770" t="s">
        <v>23</v>
      </c>
      <c r="S8" s="771">
        <f t="shared" si="0"/>
        <v>100</v>
      </c>
      <c r="T8" s="770" t="s">
        <v>23</v>
      </c>
      <c r="U8" s="771">
        <f t="shared" si="1"/>
        <v>100</v>
      </c>
      <c r="V8" s="770" t="s">
        <v>23</v>
      </c>
      <c r="W8" s="771">
        <f t="shared" si="2"/>
        <v>100</v>
      </c>
      <c r="X8" s="772"/>
      <c r="Y8" s="3157" t="s">
        <v>2540</v>
      </c>
      <c r="Z8" s="3158"/>
      <c r="AA8" s="773">
        <f t="shared" ref="AA8:AA19" si="3">D8/F8</f>
        <v>1</v>
      </c>
      <c r="AB8" s="773">
        <f t="shared" ref="AB8:AB19" si="4">D8/H8</f>
        <v>1</v>
      </c>
      <c r="AC8" s="773">
        <f t="shared" ref="AC8:AC19" si="5">D8/J8</f>
        <v>1</v>
      </c>
    </row>
    <row r="9" spans="1:29" s="117" customFormat="1">
      <c r="A9" s="415" t="s">
        <v>2541</v>
      </c>
      <c r="B9" s="71" t="s">
        <v>2542</v>
      </c>
      <c r="C9" s="2947" t="s">
        <v>3063</v>
      </c>
      <c r="D9" s="135">
        <v>100</v>
      </c>
      <c r="E9" s="417" t="s">
        <v>3053</v>
      </c>
      <c r="F9" s="418">
        <f>SUMIF(63:63,E9,64:64)-SUMIF(63:63,C9,64:64)+100</f>
        <v>100</v>
      </c>
      <c r="G9" s="417" t="s">
        <v>3053</v>
      </c>
      <c r="H9" s="135">
        <f>SUMIF(63:63,G9,64:64)-SUMIF(63:63,C9,64:64)+100</f>
        <v>100</v>
      </c>
      <c r="I9" s="417" t="s">
        <v>3053</v>
      </c>
      <c r="J9" s="135">
        <f>SUMIF(63:63,I9,64:64)-SUMIF(63:63,C9,64:64)+100</f>
        <v>100</v>
      </c>
      <c r="K9" s="2602"/>
      <c r="L9" s="1135"/>
      <c r="M9" s="1136"/>
      <c r="N9" s="1136"/>
      <c r="O9" s="1136"/>
      <c r="P9" s="3169" t="s">
        <v>2543</v>
      </c>
      <c r="Q9" s="1797" t="str">
        <f t="shared" ref="Q9:Q15" si="6">B9</f>
        <v>用途</v>
      </c>
      <c r="R9" s="770" t="s">
        <v>17</v>
      </c>
      <c r="S9" s="771">
        <f t="shared" si="0"/>
        <v>100</v>
      </c>
      <c r="T9" s="770" t="s">
        <v>17</v>
      </c>
      <c r="U9" s="771">
        <f t="shared" si="1"/>
        <v>100</v>
      </c>
      <c r="V9" s="770" t="s">
        <v>17</v>
      </c>
      <c r="W9" s="771">
        <f t="shared" si="2"/>
        <v>100</v>
      </c>
      <c r="X9" s="772"/>
      <c r="Y9" s="3026" t="s">
        <v>2544</v>
      </c>
      <c r="Z9" s="55" t="str">
        <f t="shared" ref="Z9:Z15" si="7">Q9</f>
        <v>用途</v>
      </c>
      <c r="AA9" s="773">
        <f t="shared" si="3"/>
        <v>1</v>
      </c>
      <c r="AB9" s="773">
        <f t="shared" si="4"/>
        <v>1</v>
      </c>
      <c r="AC9" s="773">
        <f t="shared" si="5"/>
        <v>1</v>
      </c>
    </row>
    <row r="10" spans="1:29" s="427" customFormat="1" ht="27">
      <c r="A10" s="421"/>
      <c r="B10" s="422" t="s">
        <v>2545</v>
      </c>
      <c r="C10" s="423" t="s">
        <v>3064</v>
      </c>
      <c r="D10" s="136">
        <v>100</v>
      </c>
      <c r="E10" s="423" t="s">
        <v>3064</v>
      </c>
      <c r="F10" s="425">
        <f>SUMIF(65:65,E10,66:66)-SUMIF(65:65,C10,66:66)+100</f>
        <v>100</v>
      </c>
      <c r="G10" s="423" t="s">
        <v>3064</v>
      </c>
      <c r="H10" s="136">
        <f>SUMIF(65:65,G10,66:66)-SUMIF(65:65,C10,66:66)+100</f>
        <v>100</v>
      </c>
      <c r="I10" s="423" t="s">
        <v>3064</v>
      </c>
      <c r="J10" s="136">
        <f>SUMIF(65:65,I10,66:66)-SUMIF(65:65,C10,66:66)+100</f>
        <v>100</v>
      </c>
      <c r="K10" s="426">
        <v>1</v>
      </c>
      <c r="L10" s="1138"/>
      <c r="M10" s="1139"/>
      <c r="N10" s="1139"/>
      <c r="O10" s="1139"/>
      <c r="P10" s="3169"/>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75" thickBot="1">
      <c r="A11" s="428"/>
      <c r="B11" s="422"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69"/>
      <c r="Q11" s="1797" t="str">
        <f t="shared" si="6"/>
        <v>容积率</v>
      </c>
      <c r="R11" s="770" t="s">
        <v>21</v>
      </c>
      <c r="S11" s="771">
        <f t="shared" si="0"/>
        <v>100</v>
      </c>
      <c r="T11" s="770" t="s">
        <v>21</v>
      </c>
      <c r="U11" s="771">
        <f t="shared" si="1"/>
        <v>100</v>
      </c>
      <c r="V11" s="770" t="s">
        <v>21</v>
      </c>
      <c r="W11" s="771">
        <f t="shared" si="2"/>
        <v>100</v>
      </c>
      <c r="X11" s="772"/>
      <c r="Y11" s="3026"/>
      <c r="Z11" s="55" t="str">
        <f t="shared" si="7"/>
        <v>容积率</v>
      </c>
      <c r="AA11" s="773">
        <f t="shared" si="3"/>
        <v>1</v>
      </c>
      <c r="AB11" s="773">
        <f t="shared" si="4"/>
        <v>1</v>
      </c>
      <c r="AC11" s="773">
        <f t="shared" si="5"/>
        <v>1</v>
      </c>
    </row>
    <row r="12" spans="1:29" s="117" customFormat="1" ht="15" hidden="1">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69"/>
      <c r="Q12" s="1797">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69"/>
      <c r="Q13" s="1797">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hidden="1"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69"/>
      <c r="Q14" s="1797">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15">
      <c r="A15" s="440" t="s">
        <v>2547</v>
      </c>
      <c r="B15" s="69" t="s">
        <v>2081</v>
      </c>
      <c r="C15" s="2606"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96" t="s">
        <v>2548</v>
      </c>
      <c r="Q15" s="1812" t="str">
        <f t="shared" si="6"/>
        <v>居住社区成熟度</v>
      </c>
      <c r="R15" s="774" t="s">
        <v>21</v>
      </c>
      <c r="S15" s="775">
        <f t="shared" si="0"/>
        <v>100</v>
      </c>
      <c r="T15" s="774" t="s">
        <v>21</v>
      </c>
      <c r="U15" s="775">
        <f t="shared" si="1"/>
        <v>100</v>
      </c>
      <c r="V15" s="774" t="s">
        <v>21</v>
      </c>
      <c r="W15" s="775">
        <f t="shared" si="2"/>
        <v>100</v>
      </c>
      <c r="X15" s="1815"/>
      <c r="Y15" s="3189" t="s">
        <v>2548</v>
      </c>
      <c r="Z15" s="1816" t="str">
        <f t="shared" si="7"/>
        <v>居住社区成熟度</v>
      </c>
      <c r="AA15" s="1813">
        <f t="shared" si="3"/>
        <v>1</v>
      </c>
      <c r="AB15" s="1813">
        <f t="shared" si="4"/>
        <v>1</v>
      </c>
      <c r="AC15" s="1813">
        <f t="shared" si="5"/>
        <v>1</v>
      </c>
    </row>
    <row r="16" spans="1:29" ht="15">
      <c r="A16" s="428"/>
      <c r="B16" s="446"/>
      <c r="C16" s="447" t="s">
        <v>3058</v>
      </c>
      <c r="D16" s="448"/>
      <c r="E16" s="447" t="s">
        <v>3058</v>
      </c>
      <c r="F16" s="448"/>
      <c r="G16" s="447" t="s">
        <v>3058</v>
      </c>
      <c r="H16" s="450"/>
      <c r="I16" s="447" t="s">
        <v>3058</v>
      </c>
      <c r="J16" s="448"/>
      <c r="K16" s="2609"/>
      <c r="L16" s="1143"/>
      <c r="M16" s="1134"/>
      <c r="N16" s="1134"/>
      <c r="O16" s="1134"/>
      <c r="P16" s="3197"/>
      <c r="Q16" s="1812"/>
      <c r="R16" s="774"/>
      <c r="S16" s="775"/>
      <c r="T16" s="774"/>
      <c r="U16" s="775"/>
      <c r="V16" s="774"/>
      <c r="W16" s="775"/>
      <c r="X16" s="1815"/>
      <c r="Y16" s="3190"/>
      <c r="Z16" s="1816"/>
      <c r="AA16" s="1813">
        <v>1</v>
      </c>
      <c r="AB16" s="1813">
        <v>1</v>
      </c>
      <c r="AC16" s="1813">
        <v>1</v>
      </c>
    </row>
    <row r="17" spans="1:29" ht="15">
      <c r="A17" s="428"/>
      <c r="B17" s="451" t="s">
        <v>2087</v>
      </c>
      <c r="C17" s="261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97"/>
      <c r="Q17" s="1812" t="str">
        <f>B17</f>
        <v>交通便捷度</v>
      </c>
      <c r="R17" s="774" t="s">
        <v>21</v>
      </c>
      <c r="S17" s="775">
        <f>F17</f>
        <v>100</v>
      </c>
      <c r="T17" s="774" t="s">
        <v>21</v>
      </c>
      <c r="U17" s="775">
        <f>H17</f>
        <v>100</v>
      </c>
      <c r="V17" s="774" t="s">
        <v>21</v>
      </c>
      <c r="W17" s="775">
        <f>J17</f>
        <v>100</v>
      </c>
      <c r="X17" s="1815"/>
      <c r="Y17" s="3190"/>
      <c r="Z17" s="1816" t="str">
        <f>Q17</f>
        <v>交通便捷度</v>
      </c>
      <c r="AA17" s="1813">
        <f t="shared" si="3"/>
        <v>1</v>
      </c>
      <c r="AB17" s="1813">
        <f t="shared" si="4"/>
        <v>1</v>
      </c>
      <c r="AC17" s="1813">
        <f t="shared" si="5"/>
        <v>1</v>
      </c>
    </row>
    <row r="18" spans="1:29" ht="15">
      <c r="A18" s="428"/>
      <c r="B18" s="456"/>
      <c r="C18" s="2611" t="s">
        <v>3058</v>
      </c>
      <c r="D18" s="450"/>
      <c r="E18" s="2611" t="s">
        <v>3058</v>
      </c>
      <c r="F18" s="450"/>
      <c r="G18" s="2611" t="s">
        <v>3058</v>
      </c>
      <c r="H18" s="448"/>
      <c r="I18" s="2611" t="s">
        <v>3058</v>
      </c>
      <c r="J18" s="448"/>
      <c r="K18" s="2609"/>
      <c r="L18" s="1143"/>
      <c r="M18" s="1134"/>
      <c r="N18" s="1134"/>
      <c r="O18" s="1134"/>
      <c r="P18" s="3197"/>
      <c r="Q18" s="1812"/>
      <c r="R18" s="774"/>
      <c r="S18" s="775"/>
      <c r="T18" s="774"/>
      <c r="U18" s="775"/>
      <c r="V18" s="774"/>
      <c r="W18" s="775"/>
      <c r="X18" s="1815"/>
      <c r="Y18" s="3190"/>
      <c r="Z18" s="1816"/>
      <c r="AA18" s="1813">
        <v>1</v>
      </c>
      <c r="AB18" s="1813">
        <v>1</v>
      </c>
      <c r="AC18" s="1813">
        <v>1</v>
      </c>
    </row>
    <row r="19" spans="1:29" ht="15">
      <c r="A19" s="428"/>
      <c r="B19" s="451" t="s">
        <v>2086</v>
      </c>
      <c r="C19" s="261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97"/>
      <c r="Q19" s="1812" t="str">
        <f>B19</f>
        <v>公共配套设施</v>
      </c>
      <c r="R19" s="774" t="s">
        <v>21</v>
      </c>
      <c r="S19" s="775">
        <f>F19</f>
        <v>100</v>
      </c>
      <c r="T19" s="774" t="s">
        <v>21</v>
      </c>
      <c r="U19" s="775">
        <f>H19</f>
        <v>100</v>
      </c>
      <c r="V19" s="774" t="s">
        <v>21</v>
      </c>
      <c r="W19" s="775">
        <f>J19</f>
        <v>100</v>
      </c>
      <c r="X19" s="1815"/>
      <c r="Y19" s="3190"/>
      <c r="Z19" s="1816" t="str">
        <f>Q19</f>
        <v>公共配套设施</v>
      </c>
      <c r="AA19" s="1813">
        <f t="shared" si="3"/>
        <v>1</v>
      </c>
      <c r="AB19" s="1813">
        <f t="shared" si="4"/>
        <v>1</v>
      </c>
      <c r="AC19" s="1813">
        <f t="shared" si="5"/>
        <v>1</v>
      </c>
    </row>
    <row r="20" spans="1:29" ht="15">
      <c r="A20" s="428"/>
      <c r="B20" s="456"/>
      <c r="C20" s="447" t="s">
        <v>3058</v>
      </c>
      <c r="D20" s="448"/>
      <c r="E20" s="447" t="s">
        <v>3058</v>
      </c>
      <c r="F20" s="448"/>
      <c r="G20" s="447" t="s">
        <v>3058</v>
      </c>
      <c r="H20" s="448"/>
      <c r="I20" s="447" t="s">
        <v>3058</v>
      </c>
      <c r="J20" s="448"/>
      <c r="K20" s="2609"/>
      <c r="L20" s="1143"/>
      <c r="M20" s="1134"/>
      <c r="N20" s="1134"/>
      <c r="O20" s="1134"/>
      <c r="P20" s="3197"/>
      <c r="Q20" s="1812"/>
      <c r="R20" s="774"/>
      <c r="S20" s="775"/>
      <c r="T20" s="774"/>
      <c r="U20" s="775"/>
      <c r="V20" s="774"/>
      <c r="W20" s="775"/>
      <c r="X20" s="1815"/>
      <c r="Y20" s="3190"/>
      <c r="Z20" s="1816"/>
      <c r="AA20" s="1813">
        <v>1</v>
      </c>
      <c r="AB20" s="1813">
        <v>1</v>
      </c>
      <c r="AC20" s="1813">
        <v>1</v>
      </c>
    </row>
    <row r="21" spans="1:29" ht="15">
      <c r="A21" s="428"/>
      <c r="B21" s="1387" t="s">
        <v>2088</v>
      </c>
      <c r="C21" s="261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97"/>
      <c r="Q21" s="1812" t="str">
        <f>B21</f>
        <v>基础设施水平</v>
      </c>
      <c r="R21" s="774" t="s">
        <v>17</v>
      </c>
      <c r="S21" s="775">
        <f>F21</f>
        <v>100</v>
      </c>
      <c r="T21" s="774" t="s">
        <v>17</v>
      </c>
      <c r="U21" s="775">
        <f>H21</f>
        <v>100</v>
      </c>
      <c r="V21" s="774" t="s">
        <v>17</v>
      </c>
      <c r="W21" s="775">
        <f>J21</f>
        <v>100</v>
      </c>
      <c r="X21" s="1815"/>
      <c r="Y21" s="3190"/>
      <c r="Z21" s="1816" t="str">
        <f>Q21</f>
        <v>基础设施水平</v>
      </c>
      <c r="AA21" s="1813">
        <f t="shared" ref="AA21" si="8">D21/F21</f>
        <v>1</v>
      </c>
      <c r="AB21" s="1813">
        <f t="shared" ref="AB21" si="9">D21/H21</f>
        <v>1</v>
      </c>
      <c r="AC21" s="1813">
        <f t="shared" ref="AC21" si="10">D21/J21</f>
        <v>1</v>
      </c>
    </row>
    <row r="22" spans="1:29" ht="15">
      <c r="A22" s="428"/>
      <c r="B22" s="1387"/>
      <c r="C22" s="2611" t="s">
        <v>3061</v>
      </c>
      <c r="D22" s="448"/>
      <c r="E22" s="2611" t="s">
        <v>3061</v>
      </c>
      <c r="F22" s="448"/>
      <c r="G22" s="2611" t="s">
        <v>3061</v>
      </c>
      <c r="H22" s="448"/>
      <c r="I22" s="2611" t="s">
        <v>3061</v>
      </c>
      <c r="J22" s="448"/>
      <c r="K22" s="2615"/>
      <c r="L22" s="1143"/>
      <c r="M22" s="1134"/>
      <c r="N22" s="1134"/>
      <c r="O22" s="1134"/>
      <c r="P22" s="3197"/>
      <c r="Q22" s="1812"/>
      <c r="R22" s="774"/>
      <c r="S22" s="775"/>
      <c r="T22" s="774"/>
      <c r="U22" s="775"/>
      <c r="V22" s="774"/>
      <c r="W22" s="775"/>
      <c r="X22" s="1815"/>
      <c r="Y22" s="3190"/>
      <c r="Z22" s="1816"/>
      <c r="AA22" s="1813">
        <v>1</v>
      </c>
      <c r="AB22" s="1813">
        <v>1</v>
      </c>
      <c r="AC22" s="1813">
        <v>1</v>
      </c>
    </row>
    <row r="23" spans="1:29" ht="15">
      <c r="A23" s="428"/>
      <c r="B23" s="451" t="s">
        <v>2090</v>
      </c>
      <c r="C23" s="261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97"/>
      <c r="Q23" s="1812" t="str">
        <f>B23</f>
        <v>自然及人文环境</v>
      </c>
      <c r="R23" s="774" t="s">
        <v>21</v>
      </c>
      <c r="S23" s="775">
        <f>F23</f>
        <v>100</v>
      </c>
      <c r="T23" s="774" t="s">
        <v>21</v>
      </c>
      <c r="U23" s="775">
        <f>H23</f>
        <v>100</v>
      </c>
      <c r="V23" s="774" t="s">
        <v>21</v>
      </c>
      <c r="W23" s="775">
        <f>J23</f>
        <v>100</v>
      </c>
      <c r="X23" s="1815"/>
      <c r="Y23" s="3190"/>
      <c r="Z23" s="1816" t="str">
        <f>Q23</f>
        <v>自然及人文环境</v>
      </c>
      <c r="AA23" s="1813">
        <f>D23/F23</f>
        <v>1</v>
      </c>
      <c r="AB23" s="1813">
        <f>D23/H23</f>
        <v>1</v>
      </c>
      <c r="AC23" s="1813">
        <f>D23/J23</f>
        <v>1</v>
      </c>
    </row>
    <row r="24" spans="1:29" ht="15">
      <c r="A24" s="428"/>
      <c r="B24" s="456"/>
      <c r="C24" s="447" t="s">
        <v>3058</v>
      </c>
      <c r="D24" s="448"/>
      <c r="E24" s="447" t="s">
        <v>3058</v>
      </c>
      <c r="F24" s="448"/>
      <c r="G24" s="447" t="s">
        <v>3058</v>
      </c>
      <c r="H24" s="448"/>
      <c r="I24" s="447" t="s">
        <v>3058</v>
      </c>
      <c r="J24" s="448"/>
      <c r="K24" s="2609"/>
      <c r="L24" s="1143"/>
      <c r="M24" s="1134"/>
      <c r="N24" s="1134"/>
      <c r="O24" s="1134"/>
      <c r="P24" s="3197"/>
      <c r="Q24" s="1812"/>
      <c r="R24" s="774"/>
      <c r="S24" s="775"/>
      <c r="T24" s="774"/>
      <c r="U24" s="775"/>
      <c r="V24" s="774"/>
      <c r="W24" s="775"/>
      <c r="X24" s="1815"/>
      <c r="Y24" s="3190"/>
      <c r="Z24" s="1816"/>
      <c r="AA24" s="1813">
        <v>1</v>
      </c>
      <c r="AB24" s="1813">
        <v>1</v>
      </c>
      <c r="AC24" s="1813">
        <v>1</v>
      </c>
    </row>
    <row r="25" spans="1:29" ht="15">
      <c r="A25" s="428"/>
      <c r="B25" s="422" t="s">
        <v>2549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197"/>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0"/>
      <c r="Z25" s="1816" t="str">
        <f>Q25</f>
        <v>楼层-1</v>
      </c>
      <c r="AA25" s="1813">
        <f t="shared" ref="AA25:AA46" si="15">D25/F25</f>
        <v>1</v>
      </c>
      <c r="AB25" s="1813">
        <f t="shared" ref="AB25:AB46" si="16">D25/H25</f>
        <v>1</v>
      </c>
      <c r="AC25" s="1813">
        <f t="shared" ref="AC25:AC46" si="17">D25/J25</f>
        <v>1</v>
      </c>
    </row>
    <row r="26" spans="1:29" ht="15">
      <c r="A26" s="428"/>
      <c r="B26" s="422" t="s">
        <v>2550</v>
      </c>
      <c r="C26" s="2959" t="s">
        <v>3093</v>
      </c>
      <c r="D26" s="435">
        <v>100</v>
      </c>
      <c r="E26" s="2959" t="s">
        <v>3093</v>
      </c>
      <c r="F26" s="435">
        <f>SUMIF(88:88,E26,89:89)-SUMIF(88:88,C26,89:89)+100</f>
        <v>100</v>
      </c>
      <c r="G26" s="2959" t="s">
        <v>3093</v>
      </c>
      <c r="H26" s="435">
        <f>SUMIF(88:88,G26,89:89)-SUMIF(88:88,C26,89:89)+100</f>
        <v>100</v>
      </c>
      <c r="I26" s="2959" t="s">
        <v>3093</v>
      </c>
      <c r="J26" s="435">
        <f>SUMIF(88:88,I26,89:89)-SUMIF(88:88,C26,89:89)+100</f>
        <v>100</v>
      </c>
      <c r="K26" s="426">
        <v>2</v>
      </c>
      <c r="L26" s="1143"/>
      <c r="M26" s="1134"/>
      <c r="N26" s="1134"/>
      <c r="O26" s="1134"/>
      <c r="P26" s="3197"/>
      <c r="Q26" s="1812" t="str">
        <f t="shared" si="11"/>
        <v>朝向</v>
      </c>
      <c r="R26" s="774" t="s">
        <v>21</v>
      </c>
      <c r="S26" s="775">
        <f t="shared" si="12"/>
        <v>100</v>
      </c>
      <c r="T26" s="774" t="s">
        <v>21</v>
      </c>
      <c r="U26" s="775">
        <f t="shared" si="13"/>
        <v>100</v>
      </c>
      <c r="V26" s="774" t="s">
        <v>21</v>
      </c>
      <c r="W26" s="775">
        <f t="shared" si="14"/>
        <v>100</v>
      </c>
      <c r="X26" s="1815"/>
      <c r="Y26" s="3190"/>
      <c r="Z26" s="1816" t="str">
        <f>Q26</f>
        <v>朝向</v>
      </c>
      <c r="AA26" s="1813">
        <f t="shared" si="15"/>
        <v>1</v>
      </c>
      <c r="AB26" s="1813">
        <f t="shared" si="16"/>
        <v>1</v>
      </c>
      <c r="AC26" s="1813">
        <f t="shared" si="17"/>
        <v>1</v>
      </c>
    </row>
    <row r="27" spans="1:29" s="117" customFormat="1" ht="15.75" thickBot="1">
      <c r="A27" s="431"/>
      <c r="B27" s="2949" t="s">
        <v>3071</v>
      </c>
      <c r="C27" s="2950" t="s">
        <v>3070</v>
      </c>
      <c r="D27" s="462">
        <v>100</v>
      </c>
      <c r="E27" s="2951" t="s">
        <v>3107</v>
      </c>
      <c r="F27" s="462">
        <f>SUMIF(90:90,E27,91:91)-SUMIF(90:90,C27,91:91)+100</f>
        <v>102</v>
      </c>
      <c r="G27" s="2951" t="s">
        <v>3113</v>
      </c>
      <c r="H27" s="462">
        <f>SUMIF(90:90,G27,91:91)-SUMIF(90:90,C27,91:91)+100</f>
        <v>100</v>
      </c>
      <c r="I27" s="2951" t="s">
        <v>3114</v>
      </c>
      <c r="J27" s="462">
        <f>SUMIF(90:90,I27,91:91)-SUMIF(90:90,C27,91:91)+100</f>
        <v>102</v>
      </c>
      <c r="K27" s="2604"/>
      <c r="L27" s="1135"/>
      <c r="M27" s="1136"/>
      <c r="N27" s="1136"/>
      <c r="O27" s="1136"/>
      <c r="P27" s="3197"/>
      <c r="Q27" s="1797" t="str">
        <f t="shared" si="11"/>
        <v>楼层</v>
      </c>
      <c r="R27" s="770" t="s">
        <v>21</v>
      </c>
      <c r="S27" s="771">
        <f t="shared" si="12"/>
        <v>102</v>
      </c>
      <c r="T27" s="770" t="s">
        <v>21</v>
      </c>
      <c r="U27" s="771">
        <f t="shared" si="13"/>
        <v>100</v>
      </c>
      <c r="V27" s="770" t="s">
        <v>21</v>
      </c>
      <c r="W27" s="771">
        <f t="shared" si="14"/>
        <v>102</v>
      </c>
      <c r="X27" s="772"/>
      <c r="Y27" s="3190"/>
      <c r="Z27" s="55" t="str">
        <f>Q27</f>
        <v>楼层</v>
      </c>
      <c r="AA27" s="1813">
        <f t="shared" si="15"/>
        <v>0.98039215686274506</v>
      </c>
      <c r="AB27" s="1813">
        <f t="shared" si="16"/>
        <v>1</v>
      </c>
      <c r="AC27" s="1813">
        <f t="shared" si="17"/>
        <v>0.98039215686274506</v>
      </c>
    </row>
    <row r="28" spans="1:29" ht="15" hidden="1">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197"/>
      <c r="Q28" s="1812">
        <f t="shared" si="11"/>
        <v>111</v>
      </c>
      <c r="R28" s="774" t="s">
        <v>21</v>
      </c>
      <c r="S28" s="775">
        <f t="shared" si="12"/>
        <v>100</v>
      </c>
      <c r="T28" s="774" t="s">
        <v>21</v>
      </c>
      <c r="U28" s="775">
        <f t="shared" si="13"/>
        <v>100</v>
      </c>
      <c r="V28" s="774" t="s">
        <v>21</v>
      </c>
      <c r="W28" s="775">
        <f t="shared" si="14"/>
        <v>100</v>
      </c>
      <c r="X28" s="1815"/>
      <c r="Y28" s="3190"/>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197"/>
      <c r="Q29" s="1812">
        <f t="shared" si="11"/>
        <v>111</v>
      </c>
      <c r="R29" s="774" t="s">
        <v>21</v>
      </c>
      <c r="S29" s="775">
        <f t="shared" si="12"/>
        <v>100</v>
      </c>
      <c r="T29" s="774" t="s">
        <v>21</v>
      </c>
      <c r="U29" s="775">
        <f t="shared" si="13"/>
        <v>100</v>
      </c>
      <c r="V29" s="774" t="s">
        <v>21</v>
      </c>
      <c r="W29" s="775">
        <f t="shared" si="14"/>
        <v>100</v>
      </c>
      <c r="X29" s="1815"/>
      <c r="Y29" s="3190"/>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197"/>
      <c r="Q30" s="1812">
        <f t="shared" si="11"/>
        <v>111</v>
      </c>
      <c r="R30" s="774" t="s">
        <v>21</v>
      </c>
      <c r="S30" s="775">
        <f t="shared" si="12"/>
        <v>100</v>
      </c>
      <c r="T30" s="774" t="s">
        <v>21</v>
      </c>
      <c r="U30" s="775">
        <f t="shared" si="13"/>
        <v>100</v>
      </c>
      <c r="V30" s="774" t="s">
        <v>21</v>
      </c>
      <c r="W30" s="775">
        <f t="shared" si="14"/>
        <v>100</v>
      </c>
      <c r="X30" s="1815"/>
      <c r="Y30" s="3190"/>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197"/>
      <c r="Q31" s="1812">
        <f t="shared" si="11"/>
        <v>111</v>
      </c>
      <c r="R31" s="774" t="s">
        <v>21</v>
      </c>
      <c r="S31" s="775">
        <f t="shared" si="12"/>
        <v>100</v>
      </c>
      <c r="T31" s="774" t="s">
        <v>21</v>
      </c>
      <c r="U31" s="775">
        <f t="shared" si="13"/>
        <v>100</v>
      </c>
      <c r="V31" s="774" t="s">
        <v>21</v>
      </c>
      <c r="W31" s="775">
        <f t="shared" si="14"/>
        <v>100</v>
      </c>
      <c r="X31" s="1815"/>
      <c r="Y31" s="3190"/>
      <c r="Z31" s="1816">
        <f t="shared" si="18"/>
        <v>111</v>
      </c>
      <c r="AA31" s="1813">
        <f t="shared" si="15"/>
        <v>1</v>
      </c>
      <c r="AB31" s="1813">
        <f t="shared" si="16"/>
        <v>1</v>
      </c>
      <c r="AC31" s="1813">
        <f t="shared" si="17"/>
        <v>1</v>
      </c>
    </row>
    <row r="32" spans="1:29" ht="15">
      <c r="A32" s="440" t="s">
        <v>2551</v>
      </c>
      <c r="B32" s="71" t="s">
        <v>2552</v>
      </c>
      <c r="C32" s="2620" t="s">
        <v>3108</v>
      </c>
      <c r="D32" s="467">
        <v>100</v>
      </c>
      <c r="E32" s="2620" t="s">
        <v>3108</v>
      </c>
      <c r="F32" s="461">
        <f>SUMIF(100:100,E32,101:101)-SUMIF(100:100,C32,101:101)+100</f>
        <v>100</v>
      </c>
      <c r="G32" s="2620" t="s">
        <v>3108</v>
      </c>
      <c r="H32" s="467">
        <f>SUMIF(100:100,G32,101:101)-SUMIF(100:100,C32,101:101)+100</f>
        <v>100</v>
      </c>
      <c r="I32" s="2620" t="s">
        <v>3108</v>
      </c>
      <c r="J32" s="435">
        <f>SUMIF(100:100,I32,101:101)-SUMIF(100:100,C32,101:101)+100</f>
        <v>100</v>
      </c>
      <c r="K32" s="426">
        <v>2</v>
      </c>
      <c r="L32" s="1143"/>
      <c r="M32" s="1134"/>
      <c r="N32" s="1134"/>
      <c r="O32" s="1134"/>
      <c r="P32" s="3191" t="s">
        <v>2553</v>
      </c>
      <c r="Q32" s="1812" t="str">
        <f t="shared" si="11"/>
        <v>建筑类型</v>
      </c>
      <c r="R32" s="774" t="s">
        <v>21</v>
      </c>
      <c r="S32" s="775">
        <f t="shared" si="12"/>
        <v>100</v>
      </c>
      <c r="T32" s="774" t="s">
        <v>21</v>
      </c>
      <c r="U32" s="775">
        <f t="shared" si="13"/>
        <v>100</v>
      </c>
      <c r="V32" s="774" t="s">
        <v>21</v>
      </c>
      <c r="W32" s="775">
        <f t="shared" si="14"/>
        <v>100</v>
      </c>
      <c r="X32" s="1815"/>
      <c r="Y32" s="3194" t="s">
        <v>2553</v>
      </c>
      <c r="Z32" s="1816" t="str">
        <f t="shared" si="18"/>
        <v>建筑类型</v>
      </c>
      <c r="AA32" s="1813">
        <f t="shared" si="15"/>
        <v>1</v>
      </c>
      <c r="AB32" s="1813">
        <f t="shared" si="16"/>
        <v>1</v>
      </c>
      <c r="AC32" s="1813">
        <f t="shared" si="17"/>
        <v>1</v>
      </c>
    </row>
    <row r="33" spans="1:29" s="471" customFormat="1" ht="15">
      <c r="A33" s="468"/>
      <c r="B33" s="422" t="s">
        <v>2554</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4"/>
      <c r="L33" s="1141"/>
      <c r="M33" s="1144"/>
      <c r="N33" s="1144"/>
      <c r="O33" s="1144"/>
      <c r="P33" s="3192"/>
      <c r="Q33" s="776" t="str">
        <f t="shared" si="11"/>
        <v>项目建筑规模</v>
      </c>
      <c r="R33" s="777" t="s">
        <v>21</v>
      </c>
      <c r="S33" s="778">
        <f t="shared" si="12"/>
        <v>100</v>
      </c>
      <c r="T33" s="777" t="s">
        <v>21</v>
      </c>
      <c r="U33" s="778">
        <f t="shared" si="13"/>
        <v>100</v>
      </c>
      <c r="V33" s="777" t="s">
        <v>21</v>
      </c>
      <c r="W33" s="778">
        <f t="shared" si="14"/>
        <v>100</v>
      </c>
      <c r="X33" s="779"/>
      <c r="Y33" s="3194"/>
      <c r="Z33" s="780" t="str">
        <f t="shared" si="18"/>
        <v>项目建筑规模</v>
      </c>
      <c r="AA33" s="1813">
        <f t="shared" si="15"/>
        <v>1</v>
      </c>
      <c r="AB33" s="1813">
        <f t="shared" si="16"/>
        <v>1</v>
      </c>
      <c r="AC33" s="1813">
        <f t="shared" si="17"/>
        <v>1</v>
      </c>
    </row>
    <row r="34" spans="1:29" ht="15">
      <c r="A34" s="472"/>
      <c r="B34" s="422" t="s">
        <v>2555</v>
      </c>
      <c r="C34" s="2621" t="s">
        <v>3072</v>
      </c>
      <c r="D34" s="435">
        <v>100</v>
      </c>
      <c r="E34" s="2621" t="s">
        <v>3072</v>
      </c>
      <c r="F34" s="461">
        <f>SUMIF(105:105,E34,106:106)-SUMIF(105:105,C34,106:106)+100</f>
        <v>100</v>
      </c>
      <c r="G34" s="2621" t="s">
        <v>3072</v>
      </c>
      <c r="H34" s="435">
        <f>SUMIF(105:105,G34,106:106)-SUMIF(105:105,C34,106:106)+100</f>
        <v>100</v>
      </c>
      <c r="I34" s="2621" t="s">
        <v>3072</v>
      </c>
      <c r="J34" s="435">
        <f>SUMIF(105:105,I34,106:106)-SUMIF(105:105,C34,106:106)+100</f>
        <v>100</v>
      </c>
      <c r="K34" s="426">
        <v>2</v>
      </c>
      <c r="L34" s="1143"/>
      <c r="M34" s="1134"/>
      <c r="N34" s="1134"/>
      <c r="O34" s="1134"/>
      <c r="P34" s="3192"/>
      <c r="Q34" s="1812" t="str">
        <f t="shared" si="11"/>
        <v>建筑结构</v>
      </c>
      <c r="R34" s="774" t="s">
        <v>21</v>
      </c>
      <c r="S34" s="775">
        <f t="shared" si="12"/>
        <v>100</v>
      </c>
      <c r="T34" s="774" t="s">
        <v>21</v>
      </c>
      <c r="U34" s="775">
        <f t="shared" si="13"/>
        <v>100</v>
      </c>
      <c r="V34" s="774" t="s">
        <v>21</v>
      </c>
      <c r="W34" s="775">
        <f t="shared" si="14"/>
        <v>100</v>
      </c>
      <c r="X34" s="1815"/>
      <c r="Y34" s="3194"/>
      <c r="Z34" s="1816" t="str">
        <f t="shared" si="18"/>
        <v>建筑结构</v>
      </c>
      <c r="AA34" s="1813">
        <f t="shared" si="15"/>
        <v>1</v>
      </c>
      <c r="AB34" s="1813">
        <f t="shared" si="16"/>
        <v>1</v>
      </c>
      <c r="AC34" s="1813">
        <f t="shared" si="17"/>
        <v>1</v>
      </c>
    </row>
    <row r="35" spans="1:29" ht="15">
      <c r="A35" s="472"/>
      <c r="B35" s="422" t="s">
        <v>2556</v>
      </c>
      <c r="C35" s="2616" t="s">
        <v>3074</v>
      </c>
      <c r="D35" s="435">
        <v>100</v>
      </c>
      <c r="E35" s="2616" t="s">
        <v>3074</v>
      </c>
      <c r="F35" s="461">
        <f>SUMIF(107:107,E35,108:108)-SUMIF(107:107,C35,108:108)+100</f>
        <v>100</v>
      </c>
      <c r="G35" s="2616" t="s">
        <v>3074</v>
      </c>
      <c r="H35" s="435">
        <f>SUMIF(107:107,G35,108:108)-SUMIF(107:107,C35,108:108)+100</f>
        <v>100</v>
      </c>
      <c r="I35" s="2616" t="s">
        <v>3074</v>
      </c>
      <c r="J35" s="435">
        <f>SUMIF(107:107,I35,108:108)-SUMIF(107:107,C35,108:108)+100</f>
        <v>100</v>
      </c>
      <c r="K35" s="426">
        <v>2</v>
      </c>
      <c r="L35" s="1143"/>
      <c r="M35" s="1134"/>
      <c r="N35" s="1134"/>
      <c r="O35" s="1134"/>
      <c r="P35" s="3192"/>
      <c r="Q35" s="1812" t="str">
        <f t="shared" si="11"/>
        <v>建筑品质</v>
      </c>
      <c r="R35" s="774" t="s">
        <v>21</v>
      </c>
      <c r="S35" s="775">
        <f t="shared" si="12"/>
        <v>100</v>
      </c>
      <c r="T35" s="774" t="s">
        <v>21</v>
      </c>
      <c r="U35" s="775">
        <f t="shared" si="13"/>
        <v>100</v>
      </c>
      <c r="V35" s="774" t="s">
        <v>21</v>
      </c>
      <c r="W35" s="775">
        <f t="shared" si="14"/>
        <v>100</v>
      </c>
      <c r="X35" s="1815"/>
      <c r="Y35" s="3194"/>
      <c r="Z35" s="1816" t="str">
        <f t="shared" si="18"/>
        <v>建筑品质</v>
      </c>
      <c r="AA35" s="1813">
        <f t="shared" si="15"/>
        <v>1</v>
      </c>
      <c r="AB35" s="1813">
        <f t="shared" si="16"/>
        <v>1</v>
      </c>
      <c r="AC35" s="1813">
        <f t="shared" si="17"/>
        <v>1</v>
      </c>
    </row>
    <row r="36" spans="1:29" ht="15">
      <c r="A36" s="472"/>
      <c r="B36" s="422" t="s">
        <v>2557</v>
      </c>
      <c r="C36" s="2616" t="s">
        <v>3076</v>
      </c>
      <c r="D36" s="435">
        <v>100</v>
      </c>
      <c r="E36" s="2616" t="s">
        <v>3076</v>
      </c>
      <c r="F36" s="461">
        <f>SUMIF(109:109,E36,110:110)-SUMIF(109:109,C36,110:110)+100</f>
        <v>100</v>
      </c>
      <c r="G36" s="2616" t="s">
        <v>3076</v>
      </c>
      <c r="H36" s="435">
        <f>SUMIF(109:109,G36,110:110)-SUMIF(109:109,C36,110:110)+100</f>
        <v>100</v>
      </c>
      <c r="I36" s="2616" t="s">
        <v>3076</v>
      </c>
      <c r="J36" s="435">
        <f>SUMIF(109:109,I36,110:110)-SUMIF(109:109,C36,110:110)+100</f>
        <v>100</v>
      </c>
      <c r="K36" s="426">
        <v>2</v>
      </c>
      <c r="L36" s="1143"/>
      <c r="M36" s="1134"/>
      <c r="N36" s="1134"/>
      <c r="O36" s="1134"/>
      <c r="P36" s="3192"/>
      <c r="Q36" s="1812" t="str">
        <f t="shared" si="11"/>
        <v>公共部分装修</v>
      </c>
      <c r="R36" s="774" t="s">
        <v>21</v>
      </c>
      <c r="S36" s="775">
        <f t="shared" si="12"/>
        <v>100</v>
      </c>
      <c r="T36" s="774" t="s">
        <v>21</v>
      </c>
      <c r="U36" s="775">
        <f t="shared" si="13"/>
        <v>100</v>
      </c>
      <c r="V36" s="774" t="s">
        <v>21</v>
      </c>
      <c r="W36" s="775">
        <f t="shared" si="14"/>
        <v>100</v>
      </c>
      <c r="X36" s="1815"/>
      <c r="Y36" s="3194"/>
      <c r="Z36" s="1816" t="str">
        <f t="shared" si="18"/>
        <v>公共部分装修</v>
      </c>
      <c r="AA36" s="1813">
        <f t="shared" si="15"/>
        <v>1</v>
      </c>
      <c r="AB36" s="1813">
        <f t="shared" si="16"/>
        <v>1</v>
      </c>
      <c r="AC36" s="1813">
        <f t="shared" si="17"/>
        <v>1</v>
      </c>
    </row>
    <row r="37" spans="1:29" s="117" customFormat="1" ht="15">
      <c r="A37" s="473"/>
      <c r="B37" s="422" t="s">
        <v>2558</v>
      </c>
      <c r="C37" s="474">
        <f>'数据-取费表'!N6</f>
        <v>0.77</v>
      </c>
      <c r="D37" s="136">
        <v>100</v>
      </c>
      <c r="E37" s="474">
        <f>C37</f>
        <v>0.77</v>
      </c>
      <c r="F37" s="425">
        <f>LOOKUP(E37,112:112,113:113)-LOOKUP(C37,112:112,113:113)+100</f>
        <v>100</v>
      </c>
      <c r="G37" s="476">
        <f>C37</f>
        <v>0.77</v>
      </c>
      <c r="H37" s="136">
        <f>LOOKUP(G37,112:112,113:113)-LOOKUP(C37,112:112,113:113)+100</f>
        <v>100</v>
      </c>
      <c r="I37" s="475">
        <f>C37</f>
        <v>0.77</v>
      </c>
      <c r="J37" s="136">
        <f>LOOKUP(I37,112:112,113:113)-LOOKUP(C37,112:112,113:113)+100</f>
        <v>100</v>
      </c>
      <c r="K37" s="426">
        <v>1</v>
      </c>
      <c r="L37" s="1135"/>
      <c r="M37" s="1136"/>
      <c r="N37" s="1136"/>
      <c r="O37" s="1136"/>
      <c r="P37" s="3192"/>
      <c r="Q37" s="1797" t="str">
        <f t="shared" si="11"/>
        <v>成新度</v>
      </c>
      <c r="R37" s="770" t="s">
        <v>21</v>
      </c>
      <c r="S37" s="771">
        <f t="shared" si="12"/>
        <v>100</v>
      </c>
      <c r="T37" s="770" t="s">
        <v>21</v>
      </c>
      <c r="U37" s="771">
        <f t="shared" si="13"/>
        <v>100</v>
      </c>
      <c r="V37" s="770" t="s">
        <v>21</v>
      </c>
      <c r="W37" s="771">
        <f t="shared" si="14"/>
        <v>100</v>
      </c>
      <c r="X37" s="772"/>
      <c r="Y37" s="3194"/>
      <c r="Z37" s="55" t="str">
        <f t="shared" si="18"/>
        <v>成新度</v>
      </c>
      <c r="AA37" s="773">
        <f t="shared" si="15"/>
        <v>1</v>
      </c>
      <c r="AB37" s="773">
        <f t="shared" si="16"/>
        <v>1</v>
      </c>
      <c r="AC37" s="773">
        <f t="shared" si="17"/>
        <v>1</v>
      </c>
    </row>
    <row r="38" spans="1:29" ht="15">
      <c r="A38" s="472"/>
      <c r="B38" s="422" t="s">
        <v>2559</v>
      </c>
      <c r="C38" s="2616" t="s">
        <v>3078</v>
      </c>
      <c r="D38" s="435">
        <v>100</v>
      </c>
      <c r="E38" s="2616" t="s">
        <v>3078</v>
      </c>
      <c r="F38" s="461">
        <f>SUMIF(114:114,E38,115:115)-SUMIF(114:114,C38,115:115)+100</f>
        <v>100</v>
      </c>
      <c r="G38" s="2616" t="s">
        <v>3078</v>
      </c>
      <c r="H38" s="435">
        <f>SUMIF(114:114,G38,115:115)-SUMIF(114:114,C38,115:115)+100</f>
        <v>100</v>
      </c>
      <c r="I38" s="2616" t="s">
        <v>3078</v>
      </c>
      <c r="J38" s="435">
        <f>SUMIF(114:114,I38,115:115)-SUMIF(114:114,C38,115:115)+100</f>
        <v>100</v>
      </c>
      <c r="K38" s="426">
        <v>2</v>
      </c>
      <c r="L38" s="1143"/>
      <c r="M38" s="1134"/>
      <c r="N38" s="1134"/>
      <c r="O38" s="1134"/>
      <c r="P38" s="3192" t="s">
        <v>2553</v>
      </c>
      <c r="Q38" s="1812" t="str">
        <f t="shared" si="11"/>
        <v>物业管理</v>
      </c>
      <c r="R38" s="774" t="s">
        <v>21</v>
      </c>
      <c r="S38" s="775">
        <f t="shared" si="12"/>
        <v>100</v>
      </c>
      <c r="T38" s="774" t="s">
        <v>21</v>
      </c>
      <c r="U38" s="775">
        <f t="shared" si="13"/>
        <v>100</v>
      </c>
      <c r="V38" s="774" t="s">
        <v>21</v>
      </c>
      <c r="W38" s="775">
        <f t="shared" si="14"/>
        <v>100</v>
      </c>
      <c r="X38" s="1815"/>
      <c r="Y38" s="3194" t="s">
        <v>2553</v>
      </c>
      <c r="Z38" s="1816" t="str">
        <f t="shared" si="18"/>
        <v>物业管理</v>
      </c>
      <c r="AA38" s="1813">
        <f t="shared" si="15"/>
        <v>1</v>
      </c>
      <c r="AB38" s="1813">
        <f t="shared" si="16"/>
        <v>1</v>
      </c>
      <c r="AC38" s="1813">
        <f t="shared" si="17"/>
        <v>1</v>
      </c>
    </row>
    <row r="39" spans="1:29" ht="15">
      <c r="A39" s="472"/>
      <c r="B39" s="422" t="s">
        <v>2560</v>
      </c>
      <c r="C39" s="2616" t="s">
        <v>3061</v>
      </c>
      <c r="D39" s="435">
        <v>100</v>
      </c>
      <c r="E39" s="2616" t="s">
        <v>3061</v>
      </c>
      <c r="F39" s="461">
        <f>SUMIF(116:116,E39,117:117)-SUMIF(116:116,C39,117:117)+100</f>
        <v>100</v>
      </c>
      <c r="G39" s="2616" t="s">
        <v>3061</v>
      </c>
      <c r="H39" s="435">
        <f>SUMIF(116:116,G39,117:117)-SUMIF(116:116,C39,117:117)+100</f>
        <v>100</v>
      </c>
      <c r="I39" s="2616" t="s">
        <v>3061</v>
      </c>
      <c r="J39" s="435">
        <f>SUMIF(116:116,I39,117:117)-SUMIF(116:116,C39,117:117)+100</f>
        <v>100</v>
      </c>
      <c r="K39" s="426">
        <v>1</v>
      </c>
      <c r="L39" s="1143"/>
      <c r="M39" s="1134"/>
      <c r="N39" s="1134"/>
      <c r="O39" s="1134"/>
      <c r="P39" s="3192"/>
      <c r="Q39" s="1812" t="str">
        <f t="shared" si="11"/>
        <v>市政基础设施</v>
      </c>
      <c r="R39" s="774" t="s">
        <v>21</v>
      </c>
      <c r="S39" s="775">
        <f t="shared" si="12"/>
        <v>100</v>
      </c>
      <c r="T39" s="774" t="s">
        <v>21</v>
      </c>
      <c r="U39" s="775">
        <f t="shared" si="13"/>
        <v>100</v>
      </c>
      <c r="V39" s="774" t="s">
        <v>21</v>
      </c>
      <c r="W39" s="775">
        <f t="shared" si="14"/>
        <v>100</v>
      </c>
      <c r="X39" s="1815"/>
      <c r="Y39" s="3194"/>
      <c r="Z39" s="1816" t="str">
        <f t="shared" si="18"/>
        <v>市政基础设施</v>
      </c>
      <c r="AA39" s="1813">
        <f t="shared" si="15"/>
        <v>1</v>
      </c>
      <c r="AB39" s="1813">
        <f t="shared" si="16"/>
        <v>1</v>
      </c>
      <c r="AC39" s="1813">
        <f t="shared" si="17"/>
        <v>1</v>
      </c>
    </row>
    <row r="40" spans="1:29" ht="15.75" thickBot="1">
      <c r="A40" s="472"/>
      <c r="B40" s="422" t="s">
        <v>2561</v>
      </c>
      <c r="C40" s="2616" t="s">
        <v>3081</v>
      </c>
      <c r="D40" s="435">
        <v>100</v>
      </c>
      <c r="E40" s="2616" t="s">
        <v>3081</v>
      </c>
      <c r="F40" s="461">
        <f>SUMIF(118:118,E40,119:119)-SUMIF(118:118,C40,119:119)+100</f>
        <v>100</v>
      </c>
      <c r="G40" s="2616" t="s">
        <v>3081</v>
      </c>
      <c r="H40" s="435">
        <f>SUMIF(118:118,G40,119:119)-SUMIF(118:118,C40,119:119)+100</f>
        <v>100</v>
      </c>
      <c r="I40" s="2616" t="s">
        <v>3081</v>
      </c>
      <c r="J40" s="435">
        <f>SUMIF(118:118,I40,119:119)-SUMIF(118:118,C40,119:119)+100</f>
        <v>100</v>
      </c>
      <c r="K40" s="426">
        <v>2</v>
      </c>
      <c r="L40" s="1143"/>
      <c r="M40" s="1134"/>
      <c r="N40" s="1134"/>
      <c r="O40" s="1134"/>
      <c r="P40" s="3192"/>
      <c r="Q40" s="1812" t="str">
        <f t="shared" si="11"/>
        <v>房型</v>
      </c>
      <c r="R40" s="774" t="s">
        <v>21</v>
      </c>
      <c r="S40" s="775">
        <f t="shared" si="12"/>
        <v>100</v>
      </c>
      <c r="T40" s="774" t="s">
        <v>21</v>
      </c>
      <c r="U40" s="775">
        <f t="shared" si="13"/>
        <v>100</v>
      </c>
      <c r="V40" s="774" t="s">
        <v>21</v>
      </c>
      <c r="W40" s="775">
        <f t="shared" si="14"/>
        <v>100</v>
      </c>
      <c r="X40" s="1815"/>
      <c r="Y40" s="3194"/>
      <c r="Z40" s="1816" t="str">
        <f t="shared" si="18"/>
        <v>房型</v>
      </c>
      <c r="AA40" s="1813">
        <f t="shared" si="15"/>
        <v>1</v>
      </c>
      <c r="AB40" s="1813">
        <f t="shared" si="16"/>
        <v>1</v>
      </c>
      <c r="AC40" s="1813">
        <f t="shared" si="17"/>
        <v>1</v>
      </c>
    </row>
    <row r="41" spans="1:29" s="471" customFormat="1" ht="29.25" thickTop="1">
      <c r="A41" s="468"/>
      <c r="B41" s="422"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4"/>
      <c r="L41" s="1141"/>
      <c r="M41" s="1144"/>
      <c r="N41" s="1144"/>
      <c r="O41" s="1144"/>
      <c r="P41" s="3192"/>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13">
        <f t="shared" si="15"/>
        <v>1</v>
      </c>
      <c r="AB41" s="1813">
        <f t="shared" si="16"/>
        <v>1</v>
      </c>
      <c r="AC41" s="1813">
        <f t="shared" si="17"/>
        <v>1</v>
      </c>
    </row>
    <row r="42" spans="1:29" ht="15">
      <c r="A42" s="472"/>
      <c r="B42" s="422" t="s">
        <v>2563</v>
      </c>
      <c r="C42" s="2616" t="s">
        <v>3076</v>
      </c>
      <c r="D42" s="435">
        <v>100</v>
      </c>
      <c r="E42" s="2616" t="s">
        <v>3076</v>
      </c>
      <c r="F42" s="461">
        <f>SUMIF(122:122,E42,123:123)-SUMIF(122:122,C42,123:123)+100</f>
        <v>100</v>
      </c>
      <c r="G42" s="2616" t="s">
        <v>3076</v>
      </c>
      <c r="H42" s="435">
        <f>SUMIF(122:122,G42,123:123)-SUMIF(122:122,C42,123:123)+100</f>
        <v>100</v>
      </c>
      <c r="I42" s="2616" t="s">
        <v>3076</v>
      </c>
      <c r="J42" s="435">
        <f>SUMIF(122:122,I42,123:123)-SUMIF(122:122,C42,123:123)+100</f>
        <v>100</v>
      </c>
      <c r="K42" s="426">
        <v>2</v>
      </c>
      <c r="L42" s="1143"/>
      <c r="M42" s="1134"/>
      <c r="N42" s="1134"/>
      <c r="O42" s="1134"/>
      <c r="P42" s="3192"/>
      <c r="Q42" s="1812" t="str">
        <f t="shared" si="11"/>
        <v>内部装修</v>
      </c>
      <c r="R42" s="774" t="s">
        <v>21</v>
      </c>
      <c r="S42" s="775">
        <f t="shared" si="12"/>
        <v>100</v>
      </c>
      <c r="T42" s="774" t="s">
        <v>21</v>
      </c>
      <c r="U42" s="775">
        <f t="shared" si="13"/>
        <v>100</v>
      </c>
      <c r="V42" s="774" t="s">
        <v>21</v>
      </c>
      <c r="W42" s="775">
        <f t="shared" si="14"/>
        <v>100</v>
      </c>
      <c r="X42" s="1815"/>
      <c r="Y42" s="3194"/>
      <c r="Z42" s="1816" t="str">
        <f t="shared" si="18"/>
        <v>内部装修</v>
      </c>
      <c r="AA42" s="1813">
        <f t="shared" si="15"/>
        <v>1</v>
      </c>
      <c r="AB42" s="1813">
        <f t="shared" si="16"/>
        <v>1</v>
      </c>
      <c r="AC42" s="1813">
        <f t="shared" si="17"/>
        <v>1</v>
      </c>
    </row>
    <row r="43" spans="1:29" ht="15.75" thickBot="1">
      <c r="A43" s="472"/>
      <c r="B43" s="422" t="s">
        <v>2564</v>
      </c>
      <c r="C43" s="2616" t="s">
        <v>3058</v>
      </c>
      <c r="D43" s="435">
        <v>100</v>
      </c>
      <c r="E43" s="2616" t="s">
        <v>3058</v>
      </c>
      <c r="F43" s="461">
        <f>SUMIF(124:124,E43,125:125)-SUMIF(124:124,C43,125:125)+100</f>
        <v>100</v>
      </c>
      <c r="G43" s="2616" t="s">
        <v>3058</v>
      </c>
      <c r="H43" s="435">
        <f>SUMIF(124:124,G43,125:125)-SUMIF(124:124,C43,125:125)+100</f>
        <v>100</v>
      </c>
      <c r="I43" s="2616" t="s">
        <v>3058</v>
      </c>
      <c r="J43" s="435">
        <f>SUMIF(124:124,I43,125:125)-SUMIF(124:124,C43,125:125)+100</f>
        <v>100</v>
      </c>
      <c r="K43" s="426">
        <v>2</v>
      </c>
      <c r="L43" s="1143"/>
      <c r="M43" s="1134"/>
      <c r="N43" s="1134"/>
      <c r="O43" s="1134"/>
      <c r="P43" s="3192"/>
      <c r="Q43" s="1812" t="str">
        <f t="shared" si="11"/>
        <v>内部装修维护情况</v>
      </c>
      <c r="R43" s="774" t="s">
        <v>21</v>
      </c>
      <c r="S43" s="775">
        <f t="shared" si="12"/>
        <v>100</v>
      </c>
      <c r="T43" s="774" t="s">
        <v>21</v>
      </c>
      <c r="U43" s="775">
        <f t="shared" si="13"/>
        <v>100</v>
      </c>
      <c r="V43" s="774" t="s">
        <v>21</v>
      </c>
      <c r="W43" s="775">
        <f t="shared" si="14"/>
        <v>100</v>
      </c>
      <c r="X43" s="1815"/>
      <c r="Y43" s="3194"/>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92"/>
      <c r="Q44" s="1797">
        <f t="shared" si="11"/>
        <v>111</v>
      </c>
      <c r="R44" s="770" t="s">
        <v>21</v>
      </c>
      <c r="S44" s="771">
        <f t="shared" si="12"/>
        <v>100</v>
      </c>
      <c r="T44" s="770" t="s">
        <v>21</v>
      </c>
      <c r="U44" s="771">
        <f t="shared" si="13"/>
        <v>100</v>
      </c>
      <c r="V44" s="770" t="s">
        <v>21</v>
      </c>
      <c r="W44" s="771">
        <f t="shared" si="14"/>
        <v>100</v>
      </c>
      <c r="X44" s="772"/>
      <c r="Y44" s="3194"/>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92"/>
      <c r="Q45" s="1812">
        <f t="shared" si="11"/>
        <v>111</v>
      </c>
      <c r="R45" s="774" t="s">
        <v>21</v>
      </c>
      <c r="S45" s="775">
        <f t="shared" si="12"/>
        <v>100</v>
      </c>
      <c r="T45" s="774" t="s">
        <v>21</v>
      </c>
      <c r="U45" s="775">
        <f t="shared" si="13"/>
        <v>100</v>
      </c>
      <c r="V45" s="774" t="s">
        <v>21</v>
      </c>
      <c r="W45" s="775">
        <f t="shared" si="14"/>
        <v>100</v>
      </c>
      <c r="X45" s="1815"/>
      <c r="Y45" s="3194"/>
      <c r="Z45" s="1816">
        <f t="shared" si="18"/>
        <v>111</v>
      </c>
      <c r="AA45" s="1813">
        <f t="shared" si="15"/>
        <v>1</v>
      </c>
      <c r="AB45" s="1813">
        <f t="shared" si="16"/>
        <v>1</v>
      </c>
      <c r="AC45" s="1813">
        <f t="shared" si="17"/>
        <v>1</v>
      </c>
    </row>
    <row r="46" spans="1:29" ht="15.75" hidden="1"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193"/>
      <c r="Q46" s="1812">
        <f t="shared" si="11"/>
        <v>111</v>
      </c>
      <c r="R46" s="774" t="s">
        <v>20</v>
      </c>
      <c r="S46" s="775">
        <f t="shared" si="12"/>
        <v>100</v>
      </c>
      <c r="T46" s="774" t="s">
        <v>20</v>
      </c>
      <c r="U46" s="775">
        <f t="shared" si="13"/>
        <v>100</v>
      </c>
      <c r="V46" s="774" t="s">
        <v>20</v>
      </c>
      <c r="W46" s="775">
        <f t="shared" si="14"/>
        <v>100</v>
      </c>
      <c r="X46" s="1815"/>
      <c r="Y46" s="3195"/>
      <c r="Z46" s="1816">
        <f t="shared" si="18"/>
        <v>111</v>
      </c>
      <c r="AA46" s="1813">
        <f t="shared" si="15"/>
        <v>1</v>
      </c>
      <c r="AB46" s="1813">
        <f t="shared" si="16"/>
        <v>1</v>
      </c>
      <c r="AC46" s="1813">
        <f t="shared" si="17"/>
        <v>1</v>
      </c>
    </row>
    <row r="47" spans="1:29" ht="15">
      <c r="A47" s="479" t="s">
        <v>2565</v>
      </c>
      <c r="B47" s="480"/>
      <c r="C47" s="1410" t="s">
        <v>19</v>
      </c>
      <c r="D47" s="1411"/>
      <c r="E47" s="1412">
        <v>77000</v>
      </c>
      <c r="F47" s="1413"/>
      <c r="G47" s="1414">
        <v>73000</v>
      </c>
      <c r="H47" s="1415"/>
      <c r="I47" s="1412">
        <v>77000</v>
      </c>
      <c r="J47" s="1415"/>
      <c r="K47" s="2622"/>
      <c r="L47" s="1146"/>
      <c r="M47" s="1147"/>
      <c r="N47" s="1134"/>
      <c r="O47" s="1147"/>
      <c r="P47" s="3187" t="str">
        <f>A47</f>
        <v>成交单价（元/平方米）</v>
      </c>
      <c r="Q47" s="3187"/>
      <c r="R47" s="3188">
        <f>E47</f>
        <v>77000</v>
      </c>
      <c r="S47" s="3188"/>
      <c r="T47" s="3188">
        <f>G47</f>
        <v>73000</v>
      </c>
      <c r="U47" s="3188"/>
      <c r="V47" s="3188">
        <f>I47</f>
        <v>77000</v>
      </c>
      <c r="W47" s="3188"/>
      <c r="X47" s="759"/>
      <c r="Y47" s="781"/>
      <c r="Z47" s="759"/>
      <c r="AA47" s="759"/>
      <c r="AB47" s="759"/>
      <c r="AC47" s="759"/>
    </row>
    <row r="48" spans="1:29" ht="15.75" thickBot="1">
      <c r="A48" s="486" t="s">
        <v>2566</v>
      </c>
      <c r="B48" s="487"/>
      <c r="C48" s="1416">
        <f>R49</f>
        <v>75928</v>
      </c>
      <c r="D48" s="1417"/>
      <c r="E48" s="1418">
        <f>R48</f>
        <v>76640</v>
      </c>
      <c r="F48" s="1418"/>
      <c r="G48" s="1416">
        <f>T48</f>
        <v>74112</v>
      </c>
      <c r="H48" s="1417"/>
      <c r="I48" s="1418">
        <f>V48</f>
        <v>77031</v>
      </c>
      <c r="J48" s="1417"/>
      <c r="K48" s="2623"/>
      <c r="L48" s="1146"/>
      <c r="M48" s="1147"/>
      <c r="N48" s="1147"/>
      <c r="O48" s="1147"/>
      <c r="P48" s="3187" t="str">
        <f>A48</f>
        <v>比较价值（元/平方米）</v>
      </c>
      <c r="Q48" s="3187"/>
      <c r="R48" s="3188">
        <f>IF(F1="售价",ROUND(PRODUCT(R47,AA7:AA46),0),ROUND(PRODUCT(R47,AA7:AA46),1))</f>
        <v>76640</v>
      </c>
      <c r="S48" s="3188"/>
      <c r="T48" s="3188">
        <f>IF(F1="售价",ROUND(PRODUCT(T47,AB7:AB46),0),ROUND(PRODUCT(T47,AB7:AB46),1))</f>
        <v>74112</v>
      </c>
      <c r="U48" s="3188"/>
      <c r="V48" s="3188">
        <f>IF(F1="售价",ROUND(PRODUCT(V47,AC7:AC46),0),ROUND(PRODUCT(V47,AC7:AC46),1))</f>
        <v>77031</v>
      </c>
      <c r="W48" s="3188"/>
      <c r="X48" s="759"/>
      <c r="Y48" s="759"/>
      <c r="Z48" s="759"/>
      <c r="AA48" s="759"/>
      <c r="AB48" s="759"/>
      <c r="AC48" s="759"/>
    </row>
    <row r="49" spans="1:29" ht="15.75" thickBot="1">
      <c r="A49" s="492" t="s">
        <v>2567</v>
      </c>
      <c r="B49" s="493"/>
      <c r="C49" s="1419">
        <f>R49</f>
        <v>75928</v>
      </c>
      <c r="D49" s="1420"/>
      <c r="E49" s="1420"/>
      <c r="F49" s="1420"/>
      <c r="G49" s="1420"/>
      <c r="H49" s="1420"/>
      <c r="I49" s="1420"/>
      <c r="J49" s="1420"/>
      <c r="K49" s="2624"/>
      <c r="L49" s="1146"/>
      <c r="M49" s="1147"/>
      <c r="N49" s="1147"/>
      <c r="O49" s="1147"/>
      <c r="P49" s="3184" t="str">
        <f>A49</f>
        <v>估价对象XX用房的比较价值（楼面单价，元/平方米）</v>
      </c>
      <c r="Q49" s="3185"/>
      <c r="R49" s="3186">
        <f>IF(F1="售价",ROUND(AVERAGE(R48:V48),0),ROUND(AVERAGE(R48:V48),1))</f>
        <v>75928</v>
      </c>
      <c r="S49" s="3186"/>
      <c r="T49" s="3186"/>
      <c r="U49" s="3186"/>
      <c r="V49" s="3186"/>
      <c r="W49" s="318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4.6972860125260585E-3</v>
      </c>
      <c r="F52" s="500" t="str">
        <f>IF(OR(E52&gt;=0.3,E52&lt;=-0.3),"超过30%","")</f>
        <v/>
      </c>
      <c r="G52" s="499">
        <f>IF(G47&lt;G48,G48/G47-1,G47/G48-1)</f>
        <v>1.5232876712328869E-2</v>
      </c>
      <c r="H52" s="500" t="str">
        <f>IF(OR(G52&gt;=0.3,G52&lt;=-0.3),"超过30%","")</f>
        <v/>
      </c>
      <c r="I52" s="499">
        <f>IF(I47&lt;I48,I48/I47-1,I47/I48-1)</f>
        <v>4.025974025974044E-4</v>
      </c>
      <c r="J52" s="500" t="str">
        <f>IF(OR(I52&gt;=0.3,I52&lt;=-0.3),"超过30%","")</f>
        <v/>
      </c>
      <c r="K52" s="1108"/>
      <c r="L52" s="1109"/>
      <c r="M52" s="1147"/>
      <c r="N52" s="1147"/>
      <c r="O52" s="1147"/>
    </row>
    <row r="53" spans="1:29" ht="13.5" customHeight="1">
      <c r="A53" s="1147"/>
      <c r="B53" s="1147"/>
      <c r="C53" s="497" t="s">
        <v>2569</v>
      </c>
      <c r="D53" s="501"/>
      <c r="E53" s="499">
        <f>IF(E48&lt;G48,G48/E48-1,E48/G48-1)</f>
        <v>3.4110535405872167E-2</v>
      </c>
      <c r="F53" s="500" t="str">
        <f>IF(OR(E53&gt;=0.2,E53&lt;=-0.2),"超过20%","")</f>
        <v/>
      </c>
      <c r="G53" s="499">
        <f>IF(G48&lt;I48,I48/G48-1,G48/I48-1)</f>
        <v>3.9386334196891193E-2</v>
      </c>
      <c r="H53" s="500" t="str">
        <f>IF(OR(G53&gt;=0.2,G53&lt;=-0.2),"超过20%","")</f>
        <v/>
      </c>
      <c r="I53" s="499">
        <f>IF(I48&lt;E48,E48/I48-1,I48/E48-1)</f>
        <v>5.1017745302714967E-3</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5.4794520547945202E-2</v>
      </c>
      <c r="F54" s="500" t="str">
        <f>IF(OR(E54&gt;=0.3,E54&lt;=-0.3),"超过30%","")</f>
        <v/>
      </c>
      <c r="G54" s="499">
        <f>IF(G47&lt;I47,I47/G47-1,G47/I47-1)</f>
        <v>5.4794520547945202E-2</v>
      </c>
      <c r="H54" s="500" t="str">
        <f>IF(OR(G54&gt;=0.3,G54&lt;=-0.3),"超过30%","")</f>
        <v/>
      </c>
      <c r="I54" s="499">
        <f>IF(I47&lt;E47,E47/I47-1,I47/E47-1)</f>
        <v>0</v>
      </c>
      <c r="J54" s="500" t="str">
        <f>IF(OR(I54&gt;=0.3,I54&lt;=-0.3),"超过30%","")</f>
        <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7"/>
      <c r="Q57" s="504"/>
    </row>
    <row r="58" spans="1:29" s="508" customFormat="1" ht="15">
      <c r="A58" s="505" t="s">
        <v>2572</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8"/>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9"/>
    </row>
    <row r="60" spans="1:29" s="117" customFormat="1" ht="15.75" thickBot="1">
      <c r="A60" s="515" t="s">
        <v>2573</v>
      </c>
      <c r="B60" s="516"/>
      <c r="C60" s="517"/>
      <c r="D60" s="518"/>
      <c r="E60" s="518"/>
      <c r="F60" s="518"/>
      <c r="G60" s="518"/>
      <c r="H60" s="518"/>
      <c r="I60" s="518"/>
      <c r="J60" s="518"/>
      <c r="K60" s="518"/>
      <c r="L60" s="518"/>
      <c r="M60" s="519"/>
      <c r="N60" s="518"/>
      <c r="O60" s="519"/>
      <c r="P60" s="2629"/>
      <c r="Q60" s="504"/>
    </row>
    <row r="61" spans="1:29" s="117" customFormat="1" ht="15">
      <c r="A61" s="521" t="s">
        <v>2574</v>
      </c>
      <c r="B61" s="510"/>
      <c r="C61" s="522" t="s">
        <v>2575</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2576</v>
      </c>
      <c r="B63" s="528" t="s">
        <v>2542</v>
      </c>
      <c r="C63" s="529" t="str">
        <f>C9</f>
        <v>住宅</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1"/>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31"/>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31"/>
      <c r="Q67" s="504"/>
    </row>
    <row r="68" spans="1:17" ht="15">
      <c r="A68" s="534"/>
      <c r="B68" s="548"/>
      <c r="C68" s="549">
        <v>0</v>
      </c>
      <c r="D68" s="549">
        <v>1</v>
      </c>
      <c r="E68" s="549">
        <v>2</v>
      </c>
      <c r="F68" s="549">
        <v>3</v>
      </c>
      <c r="G68" s="549"/>
      <c r="H68" s="549"/>
      <c r="I68" s="549"/>
      <c r="J68" s="549"/>
      <c r="K68" s="550"/>
      <c r="L68" s="551"/>
      <c r="M68" s="552"/>
      <c r="N68" s="1155"/>
      <c r="O68" s="1155"/>
      <c r="P68" s="2631"/>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1"/>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1"/>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1"/>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31"/>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31"/>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1"/>
      <c r="Q85" s="504"/>
    </row>
    <row r="86" spans="1:17" s="117" customFormat="1" ht="15.75" thickTop="1">
      <c r="A86" s="579"/>
      <c r="B86" s="538" t="s">
        <v>2598</v>
      </c>
      <c r="C86" s="2948" t="s">
        <v>3066</v>
      </c>
      <c r="D86" s="2948" t="s">
        <v>3068</v>
      </c>
      <c r="E86" s="2948" t="s">
        <v>3070</v>
      </c>
      <c r="F86" s="554"/>
      <c r="G86" s="554"/>
      <c r="H86" s="554"/>
      <c r="I86" s="554"/>
      <c r="J86" s="554"/>
      <c r="K86" s="554"/>
      <c r="L86" s="580"/>
      <c r="M86" s="581"/>
      <c r="N86" s="1154"/>
      <c r="O86" s="1154"/>
      <c r="P86" s="2631"/>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31"/>
      <c r="Q87" s="504"/>
    </row>
    <row r="88" spans="1:17" s="117" customFormat="1" ht="15.75" thickTop="1">
      <c r="A88" s="579"/>
      <c r="B88" s="538" t="s">
        <v>2599</v>
      </c>
      <c r="C88" s="2948" t="s">
        <v>3094</v>
      </c>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31"/>
      <c r="Q89" s="504"/>
    </row>
    <row r="90" spans="1:17" s="471" customFormat="1" ht="15.75" thickTop="1">
      <c r="A90" s="553"/>
      <c r="B90" s="538" t="str">
        <f>B27</f>
        <v>楼层</v>
      </c>
      <c r="C90" s="2948" t="s">
        <v>3066</v>
      </c>
      <c r="D90" s="2948" t="s">
        <v>3068</v>
      </c>
      <c r="E90" s="2948" t="s">
        <v>3070</v>
      </c>
      <c r="F90" s="554"/>
      <c r="G90" s="554"/>
      <c r="H90" s="555"/>
      <c r="I90" s="555"/>
      <c r="J90" s="555"/>
      <c r="K90" s="555"/>
      <c r="L90" s="556"/>
      <c r="M90" s="557"/>
      <c r="N90" s="1157"/>
      <c r="O90" s="1157"/>
      <c r="P90" s="2632"/>
      <c r="Q90" s="559"/>
    </row>
    <row r="91" spans="1:17" s="471" customFormat="1" ht="15.75" thickBot="1">
      <c r="A91" s="553"/>
      <c r="B91" s="543"/>
      <c r="C91" s="560">
        <v>100</v>
      </c>
      <c r="D91" s="560">
        <f>C91-2</f>
        <v>98</v>
      </c>
      <c r="E91" s="560">
        <f>D91-2</f>
        <v>96</v>
      </c>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2551</v>
      </c>
      <c r="B100" s="528" t="s">
        <v>2600</v>
      </c>
      <c r="C100" s="2952" t="s">
        <v>3109</v>
      </c>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31"/>
      <c r="Q101" s="504"/>
    </row>
    <row r="102" spans="1:17" ht="15.75" thickTop="1">
      <c r="A102" s="534"/>
      <c r="B102" s="538" t="s">
        <v>2601</v>
      </c>
      <c r="C102" s="578" t="str">
        <f>C103&amp;"(含)"&amp;"-"&amp;D103</f>
        <v>0(含)-100</v>
      </c>
      <c r="D102" s="578" t="str">
        <f t="shared" ref="D102:L102" si="28">D103&amp;"(含)"&amp;"-"&amp;E103</f>
        <v>100(含)-200</v>
      </c>
      <c r="E102" s="578" t="str">
        <f t="shared" si="28"/>
        <v>200(含)-</v>
      </c>
      <c r="F102" s="578" t="str">
        <f t="shared" si="28"/>
        <v>(含)-</v>
      </c>
      <c r="G102" s="578" t="str">
        <f t="shared" si="28"/>
        <v>(含)-</v>
      </c>
      <c r="H102" s="578" t="str">
        <f t="shared" si="28"/>
        <v>(含)-</v>
      </c>
      <c r="I102" s="578" t="str">
        <f t="shared" si="28"/>
        <v>(含)-</v>
      </c>
      <c r="J102" s="578" t="str">
        <f t="shared" si="28"/>
        <v>(含)-</v>
      </c>
      <c r="K102" s="578" t="str">
        <f>K103&amp;"(含)"&amp;"-"&amp;L103</f>
        <v>(含)-</v>
      </c>
      <c r="L102" s="578" t="str">
        <f t="shared" si="28"/>
        <v>(含)-</v>
      </c>
      <c r="M102" s="578" t="str">
        <f>M103&amp;"(含)"&amp;"-"&amp;P103</f>
        <v>(含)-</v>
      </c>
      <c r="N102" s="1154"/>
      <c r="O102" s="1154"/>
      <c r="P102" s="2631"/>
      <c r="Q102" s="504"/>
    </row>
    <row r="103" spans="1:17" s="471" customFormat="1">
      <c r="A103" s="593"/>
      <c r="B103" s="594"/>
      <c r="C103" s="595">
        <v>0</v>
      </c>
      <c r="D103" s="595">
        <v>100</v>
      </c>
      <c r="E103" s="595">
        <v>200</v>
      </c>
      <c r="F103" s="595"/>
      <c r="G103" s="595"/>
      <c r="H103" s="595"/>
      <c r="I103" s="595"/>
      <c r="J103" s="596"/>
      <c r="K103" s="596"/>
      <c r="L103" s="597"/>
      <c r="M103" s="598"/>
      <c r="N103" s="1157"/>
      <c r="O103" s="1157"/>
      <c r="P103" s="2632"/>
      <c r="Q103" s="559"/>
    </row>
    <row r="104" spans="1:17" s="471" customFormat="1" ht="15.75" thickBot="1">
      <c r="A104" s="553"/>
      <c r="B104" s="543"/>
      <c r="C104" s="560">
        <v>100</v>
      </c>
      <c r="D104" s="536">
        <v>100</v>
      </c>
      <c r="E104" s="536">
        <v>100</v>
      </c>
      <c r="F104" s="536"/>
      <c r="G104" s="536"/>
      <c r="H104" s="536"/>
      <c r="I104" s="536"/>
      <c r="J104" s="536"/>
      <c r="K104" s="536"/>
      <c r="L104" s="536"/>
      <c r="M104" s="536"/>
      <c r="N104" s="1156"/>
      <c r="O104" s="1156"/>
      <c r="P104" s="2632"/>
      <c r="Q104" s="559"/>
    </row>
    <row r="105" spans="1:17" ht="15" thickTop="1">
      <c r="A105" s="599"/>
      <c r="B105" s="538" t="s">
        <v>2602</v>
      </c>
      <c r="C105" s="2948" t="s">
        <v>3073</v>
      </c>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6"/>
      <c r="O106" s="1156"/>
      <c r="P106" s="2631"/>
      <c r="Q106" s="504"/>
    </row>
    <row r="107" spans="1:17" ht="15" thickTop="1">
      <c r="A107" s="599"/>
      <c r="B107" s="538" t="s">
        <v>2603</v>
      </c>
      <c r="C107" s="2953" t="s">
        <v>3075</v>
      </c>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6"/>
      <c r="O108" s="1156"/>
      <c r="P108" s="2631"/>
      <c r="Q108" s="504"/>
    </row>
    <row r="109" spans="1:17" ht="15" thickTop="1">
      <c r="A109" s="599"/>
      <c r="B109" s="538" t="s">
        <v>2604</v>
      </c>
      <c r="C109" s="2948" t="s">
        <v>3077</v>
      </c>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6"/>
      <c r="O110" s="1156"/>
      <c r="P110" s="2631"/>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2"/>
      <c r="Q113" s="559"/>
    </row>
    <row r="114" spans="1:17" ht="15" thickTop="1">
      <c r="A114" s="599"/>
      <c r="B114" s="538" t="s">
        <v>2605</v>
      </c>
      <c r="C114" s="2948" t="s">
        <v>3079</v>
      </c>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6"/>
      <c r="O115" s="1156"/>
      <c r="P115" s="2631"/>
      <c r="Q115" s="504"/>
    </row>
    <row r="116" spans="1:17" ht="15" thickTop="1">
      <c r="A116" s="599"/>
      <c r="B116" s="538" t="s">
        <v>2606</v>
      </c>
      <c r="C116" s="2948" t="s">
        <v>3080</v>
      </c>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1"/>
      <c r="Q117" s="504"/>
    </row>
    <row r="118" spans="1:17" ht="15" thickTop="1">
      <c r="A118" s="599"/>
      <c r="B118" s="538" t="s">
        <v>2607</v>
      </c>
      <c r="C118" s="2953" t="s">
        <v>3082</v>
      </c>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6"/>
      <c r="O119" s="1156"/>
      <c r="P119" s="2631"/>
      <c r="Q119" s="504"/>
    </row>
    <row r="120" spans="1:17" s="471" customFormat="1" ht="28.5" thickTop="1">
      <c r="A120" s="593"/>
      <c r="B120" s="538" t="s">
        <v>2562</v>
      </c>
      <c r="C120" s="554" t="s">
        <v>3083</v>
      </c>
      <c r="D120" s="554" t="s">
        <v>3084</v>
      </c>
      <c r="E120" s="554" t="s">
        <v>3085</v>
      </c>
      <c r="F120" s="554" t="s">
        <v>3086</v>
      </c>
      <c r="G120" s="554" t="s">
        <v>3087</v>
      </c>
      <c r="H120" s="554" t="s">
        <v>3088</v>
      </c>
      <c r="I120" s="554" t="s">
        <v>3089</v>
      </c>
      <c r="J120" s="554"/>
      <c r="K120" s="554"/>
      <c r="L120" s="580"/>
      <c r="M120" s="581"/>
      <c r="N120" s="1157"/>
      <c r="O120" s="1157"/>
      <c r="P120" s="2632"/>
      <c r="Q120" s="559"/>
    </row>
    <row r="121" spans="1:17" s="471" customFormat="1" ht="15.75" thickBot="1">
      <c r="A121" s="553"/>
      <c r="B121" s="535"/>
      <c r="C121" s="560">
        <v>100</v>
      </c>
      <c r="D121" s="536">
        <f>C121-1</f>
        <v>99</v>
      </c>
      <c r="E121" s="536">
        <f t="shared" ref="E121:I121" si="34">D121-1</f>
        <v>98</v>
      </c>
      <c r="F121" s="536">
        <f t="shared" si="34"/>
        <v>97</v>
      </c>
      <c r="G121" s="536">
        <f t="shared" si="34"/>
        <v>96</v>
      </c>
      <c r="H121" s="536">
        <f t="shared" si="34"/>
        <v>95</v>
      </c>
      <c r="I121" s="536">
        <f t="shared" si="34"/>
        <v>94</v>
      </c>
      <c r="J121" s="536"/>
      <c r="K121" s="536"/>
      <c r="L121" s="536"/>
      <c r="M121" s="536"/>
      <c r="N121" s="1157"/>
      <c r="O121" s="1157"/>
      <c r="P121" s="2632"/>
      <c r="Q121" s="559"/>
    </row>
    <row r="122" spans="1:17" ht="15" thickTop="1">
      <c r="A122" s="599"/>
      <c r="B122" s="538" t="s">
        <v>2608</v>
      </c>
      <c r="C122" s="2948" t="s">
        <v>3077</v>
      </c>
      <c r="D122" s="2948" t="s">
        <v>3090</v>
      </c>
      <c r="E122" s="2948" t="s">
        <v>3091</v>
      </c>
      <c r="F122" s="2953" t="s">
        <v>3092</v>
      </c>
      <c r="G122" s="583"/>
      <c r="H122" s="583"/>
      <c r="I122" s="583"/>
      <c r="J122" s="583"/>
      <c r="K122" s="584"/>
      <c r="L122" s="585"/>
      <c r="M122" s="586"/>
      <c r="N122" s="1155"/>
      <c r="O122" s="1155"/>
      <c r="P122" s="2631"/>
      <c r="Q122" s="504"/>
    </row>
    <row r="123" spans="1:17" ht="15.75" thickBot="1">
      <c r="A123" s="534"/>
      <c r="B123" s="543"/>
      <c r="C123" s="544">
        <v>100</v>
      </c>
      <c r="D123" s="544">
        <f t="shared" ref="D123:M123" si="35">C123-$K42</f>
        <v>98</v>
      </c>
      <c r="E123" s="544">
        <f t="shared" si="35"/>
        <v>96</v>
      </c>
      <c r="F123" s="544">
        <f t="shared" si="35"/>
        <v>94</v>
      </c>
      <c r="G123" s="544">
        <f t="shared" si="35"/>
        <v>92</v>
      </c>
      <c r="H123" s="544">
        <f t="shared" si="35"/>
        <v>90</v>
      </c>
      <c r="I123" s="544">
        <f t="shared" si="35"/>
        <v>88</v>
      </c>
      <c r="J123" s="544">
        <f t="shared" si="35"/>
        <v>86</v>
      </c>
      <c r="K123" s="544">
        <f t="shared" si="35"/>
        <v>84</v>
      </c>
      <c r="L123" s="544">
        <f t="shared" si="35"/>
        <v>82</v>
      </c>
      <c r="M123" s="544">
        <f t="shared" si="35"/>
        <v>80</v>
      </c>
      <c r="N123" s="1156"/>
      <c r="O123" s="1156"/>
      <c r="P123" s="2631"/>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2610</v>
      </c>
    </row>
    <row r="137" spans="1:17" ht="15">
      <c r="B137" s="2639" t="s">
        <v>2611</v>
      </c>
      <c r="C137" s="2640"/>
      <c r="D137" s="2640"/>
      <c r="E137" s="2640"/>
      <c r="F137" s="2640"/>
      <c r="G137" s="2641"/>
      <c r="H137" s="2642"/>
      <c r="I137" s="2643" t="s">
        <v>2612</v>
      </c>
      <c r="J137" s="2640"/>
      <c r="K137" s="2644"/>
    </row>
    <row r="138" spans="1:17" ht="15">
      <c r="B138" s="2645"/>
      <c r="C138" s="146" t="s">
        <v>2613</v>
      </c>
      <c r="D138" s="146" t="s">
        <v>2614</v>
      </c>
      <c r="E138" s="2646" t="s">
        <v>2615</v>
      </c>
      <c r="F138" s="2647" t="s">
        <v>2616</v>
      </c>
      <c r="G138" s="146" t="s">
        <v>2614</v>
      </c>
      <c r="H138" s="147" t="s">
        <v>2615</v>
      </c>
      <c r="I138" s="2648"/>
      <c r="J138" s="146" t="s">
        <v>2617</v>
      </c>
      <c r="K138" s="147" t="s">
        <v>2618</v>
      </c>
    </row>
    <row r="139" spans="1:17" ht="15">
      <c r="B139" s="1087">
        <v>6</v>
      </c>
      <c r="C139" s="1088">
        <v>96</v>
      </c>
      <c r="D139" s="2649" t="s">
        <v>2619</v>
      </c>
      <c r="E139" s="1089">
        <v>100</v>
      </c>
      <c r="F139" s="1090">
        <v>102.5</v>
      </c>
      <c r="G139" s="2649" t="s">
        <v>2619</v>
      </c>
      <c r="H139" s="1091">
        <v>105</v>
      </c>
      <c r="I139" s="2650" t="s">
        <v>2620</v>
      </c>
      <c r="J139" s="1088">
        <v>20</v>
      </c>
      <c r="K139" s="1092">
        <f>C145/(J139-2)</f>
        <v>4.0555555555555553E-3</v>
      </c>
    </row>
    <row r="140" spans="1:17" ht="15">
      <c r="B140" s="1093">
        <v>5</v>
      </c>
      <c r="C140" s="1094">
        <v>100</v>
      </c>
      <c r="D140" s="1094"/>
      <c r="E140" s="1095"/>
      <c r="F140" s="1096">
        <v>102</v>
      </c>
      <c r="G140" s="1094"/>
      <c r="H140" s="1097"/>
      <c r="I140" s="2651" t="s">
        <v>2621</v>
      </c>
      <c r="J140" s="315">
        <f>ROUNDUP((J139-1)/2,0)</f>
        <v>10</v>
      </c>
      <c r="K140" s="1098">
        <v>100</v>
      </c>
    </row>
    <row r="141" spans="1:17" ht="15">
      <c r="B141" s="1093">
        <v>4</v>
      </c>
      <c r="C141" s="1094">
        <v>102</v>
      </c>
      <c r="D141" s="1094"/>
      <c r="E141" s="1095"/>
      <c r="F141" s="1096">
        <v>101.5</v>
      </c>
      <c r="G141" s="1094"/>
      <c r="H141" s="1097"/>
      <c r="I141" s="2651" t="s">
        <v>2622</v>
      </c>
      <c r="J141" s="315">
        <v>1</v>
      </c>
      <c r="K141" s="1099">
        <f>ROUND(100+(J141-J140)*K139*100,1)</f>
        <v>96.4</v>
      </c>
    </row>
    <row r="142" spans="1:17" ht="15">
      <c r="B142" s="1093">
        <v>3</v>
      </c>
      <c r="C142" s="1094">
        <v>103</v>
      </c>
      <c r="D142" s="1094"/>
      <c r="E142" s="1095"/>
      <c r="F142" s="1096">
        <v>101</v>
      </c>
      <c r="G142" s="1094"/>
      <c r="H142" s="1097"/>
      <c r="I142" s="2651" t="s">
        <v>2623</v>
      </c>
      <c r="J142" s="315">
        <f>J139</f>
        <v>20</v>
      </c>
      <c r="K142" s="1100">
        <v>95</v>
      </c>
    </row>
    <row r="143" spans="1:17" ht="15">
      <c r="B143" s="1093">
        <v>2</v>
      </c>
      <c r="C143" s="1094">
        <v>100</v>
      </c>
      <c r="D143" s="1094"/>
      <c r="E143" s="1095"/>
      <c r="F143" s="1096">
        <v>100.5</v>
      </c>
      <c r="G143" s="1094"/>
      <c r="H143" s="1097"/>
      <c r="I143" s="2651" t="s">
        <v>2624</v>
      </c>
      <c r="J143" s="1094">
        <v>15</v>
      </c>
      <c r="K143" s="1099">
        <f>ROUND(100+(J143-J140)*K139*100,1)</f>
        <v>102</v>
      </c>
    </row>
    <row r="144" spans="1:17" ht="15">
      <c r="B144" s="1093">
        <v>1</v>
      </c>
      <c r="C144" s="1094">
        <v>98</v>
      </c>
      <c r="D144" s="2652" t="s">
        <v>2625</v>
      </c>
      <c r="E144" s="1095">
        <v>102</v>
      </c>
      <c r="F144" s="1101">
        <v>100</v>
      </c>
      <c r="G144" s="2652" t="s">
        <v>2625</v>
      </c>
      <c r="H144" s="1097">
        <v>105</v>
      </c>
      <c r="I144" s="2651" t="s">
        <v>2624</v>
      </c>
      <c r="J144" s="1094">
        <v>18</v>
      </c>
      <c r="K144" s="1099">
        <f>ROUND(100+(J144-J140)*K139*100,1)</f>
        <v>103.2</v>
      </c>
    </row>
    <row r="145" spans="2:11" ht="15.75" thickBot="1">
      <c r="B145" s="2653" t="s">
        <v>2626</v>
      </c>
      <c r="C145" s="1102">
        <f>ROUND(MAX(C139:C144)/MIN(C139:C144)-1,3)</f>
        <v>7.2999999999999995E-2</v>
      </c>
      <c r="D145" s="1103"/>
      <c r="E145" s="1103"/>
      <c r="F145" s="2654" t="s">
        <v>2627</v>
      </c>
      <c r="G145" s="2655"/>
      <c r="H145" s="2656"/>
      <c r="I145" s="2657" t="s">
        <v>2624</v>
      </c>
      <c r="J145" s="1104">
        <v>8</v>
      </c>
      <c r="K145" s="1105">
        <f>ROUND(100+(J145-J140)*K139*100,1)</f>
        <v>99.2</v>
      </c>
    </row>
    <row r="147" spans="2:11">
      <c r="B147" s="2638" t="s">
        <v>2628</v>
      </c>
    </row>
    <row r="148" spans="2:11">
      <c r="B148" s="2638"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J50" sqref="J5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3054</v>
      </c>
      <c r="D1" s="1822" t="s">
        <v>70</v>
      </c>
      <c r="E1" s="1823" t="s">
        <v>1387</v>
      </c>
      <c r="F1" s="1286">
        <f>J53</f>
        <v>42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322</v>
      </c>
      <c r="C2" s="1847" t="s">
        <v>1591</v>
      </c>
      <c r="D2" s="1940">
        <f ca="1">C40+J29+L46</f>
        <v>3216221</v>
      </c>
      <c r="E2" s="1848" t="s">
        <v>1592</v>
      </c>
      <c r="F2" s="1849"/>
      <c r="G2" s="1850"/>
      <c r="H2" s="1842"/>
      <c r="I2" s="1842"/>
      <c r="J2" s="1842"/>
      <c r="K2" s="1843"/>
      <c r="L2" s="1842"/>
      <c r="M2" s="1842"/>
    </row>
    <row r="3" spans="1:37" ht="18" customHeight="1" thickBot="1">
      <c r="A3" s="1851" t="s">
        <v>1593</v>
      </c>
      <c r="B3" s="1852">
        <f ca="1">IF(ISERROR(D2/F43),0,ROUND(D2/F43,0))</f>
        <v>25785</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123075</v>
      </c>
      <c r="D5" s="1824" t="s">
        <v>1601</v>
      </c>
      <c r="E5" s="1296"/>
      <c r="F5" s="1297"/>
      <c r="G5" s="1853"/>
      <c r="H5" s="344">
        <v>1</v>
      </c>
      <c r="I5" s="345" t="s">
        <v>1600</v>
      </c>
      <c r="J5" s="1295">
        <f ca="1">J6+J10+J12</f>
        <v>0</v>
      </c>
      <c r="K5" s="1824" t="s">
        <v>1601</v>
      </c>
      <c r="L5" s="1296"/>
      <c r="M5" s="1297"/>
    </row>
    <row r="6" spans="1:37" ht="18" customHeight="1">
      <c r="A6" s="1294" t="s">
        <v>1035</v>
      </c>
      <c r="B6" s="3151" t="s">
        <v>1403</v>
      </c>
      <c r="C6" s="1299">
        <f ca="1">ROUND(F6*F8*F7*(1-F9),0)</f>
        <v>122921</v>
      </c>
      <c r="D6" s="164" t="s">
        <v>3013</v>
      </c>
      <c r="E6" s="347" t="s">
        <v>1405</v>
      </c>
      <c r="F6" s="348">
        <f ca="1">INDIRECT("'数据-取费表'!u"&amp;$G$1)</f>
        <v>3</v>
      </c>
      <c r="G6" s="1853"/>
      <c r="H6" s="1294" t="s">
        <v>1035</v>
      </c>
      <c r="I6" s="3151" t="s">
        <v>1403</v>
      </c>
      <c r="J6" s="346">
        <f ca="1">ROUND(M6*M8*M7*(1-M9),0)</f>
        <v>0</v>
      </c>
      <c r="K6" s="1836" t="s">
        <v>3014</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124.73</v>
      </c>
      <c r="G7" s="1853"/>
      <c r="H7" s="349"/>
      <c r="I7" s="3152"/>
      <c r="J7" s="351"/>
      <c r="K7" s="352"/>
      <c r="L7" s="347" t="s">
        <v>1406</v>
      </c>
      <c r="M7" s="348">
        <f ca="1">F7</f>
        <v>124.73</v>
      </c>
    </row>
    <row r="8" spans="1:37" ht="18" customHeight="1">
      <c r="A8" s="349"/>
      <c r="B8" s="3152"/>
      <c r="C8" s="351"/>
      <c r="D8" s="352"/>
      <c r="E8" s="347" t="s">
        <v>1407</v>
      </c>
      <c r="F8" s="348">
        <f ca="1">INDIRECT("'数据-取费表'!ai"&amp;$G$1)</f>
        <v>365</v>
      </c>
      <c r="G8" s="1853"/>
      <c r="H8" s="349"/>
      <c r="I8" s="3152"/>
      <c r="J8" s="351"/>
      <c r="K8" s="352"/>
      <c r="L8" s="347" t="s">
        <v>1407</v>
      </c>
      <c r="M8" s="348">
        <f ca="1">INDIRECT("'数据-取费表'!ai"&amp;$G$1)</f>
        <v>365</v>
      </c>
    </row>
    <row r="9" spans="1:37" ht="18" customHeight="1">
      <c r="A9" s="349"/>
      <c r="B9" s="3153"/>
      <c r="C9" s="351"/>
      <c r="D9" s="352"/>
      <c r="E9" s="347" t="s">
        <v>1408</v>
      </c>
      <c r="F9" s="357">
        <f ca="1">INDIRECT("'数据-取费表'!w"&amp;$G$1)</f>
        <v>0.1</v>
      </c>
      <c r="G9" s="1853"/>
      <c r="H9" s="349"/>
      <c r="I9" s="3153"/>
      <c r="J9" s="351"/>
      <c r="K9" s="352"/>
      <c r="L9" s="358" t="s">
        <v>1408</v>
      </c>
      <c r="M9" s="359">
        <f ca="1">INDIRECT("'数据-取费表'!ab"&amp;$G$1)</f>
        <v>0</v>
      </c>
    </row>
    <row r="10" spans="1:37" ht="18" customHeight="1">
      <c r="A10" s="1294" t="s">
        <v>1039</v>
      </c>
      <c r="B10" s="1825" t="s">
        <v>1409</v>
      </c>
      <c r="C10" s="361">
        <f ca="1">ROUND(IF(F10="押一",C6/12*F11,IF(F10="押二",C6/12*2*F11,IF(F10="押三",C6/12*3*F11,C11*F11))),0)</f>
        <v>154</v>
      </c>
      <c r="D10" s="1826" t="s">
        <v>3024</v>
      </c>
      <c r="E10" s="358" t="s">
        <v>1410</v>
      </c>
      <c r="F10" s="1369" t="s">
        <v>3095</v>
      </c>
      <c r="G10" s="1853"/>
      <c r="H10" s="1294" t="s">
        <v>1039</v>
      </c>
      <c r="I10" s="1825" t="s">
        <v>1409</v>
      </c>
      <c r="J10" s="346">
        <f ca="1">ROUND(IF(M10="押一",J6/12*M11,IF(M10="押二",J6/12*2*M11,IF(M10="押三",J6/12*3*M11,J11*M11))),0)</f>
        <v>0</v>
      </c>
      <c r="K10" s="1837" t="s">
        <v>3026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462080</v>
      </c>
      <c r="D13" s="1334" t="s">
        <v>1415</v>
      </c>
      <c r="E13" s="1334" t="s">
        <v>1416</v>
      </c>
      <c r="F13" s="1335">
        <f ca="1">INDIRECT("'数据-取费表'!y"&amp;$G$1)</f>
        <v>0.77</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374190</v>
      </c>
      <c r="D14" s="1802" t="s">
        <v>1418</v>
      </c>
      <c r="E14" s="1796"/>
      <c r="F14" s="364"/>
      <c r="G14" s="1853"/>
      <c r="H14" s="1204" t="s">
        <v>1035</v>
      </c>
      <c r="I14" s="347" t="s">
        <v>1419</v>
      </c>
      <c r="J14" s="24">
        <f ca="1">C29</f>
        <v>600104</v>
      </c>
      <c r="K14" s="15"/>
      <c r="L14" s="982"/>
      <c r="M14" s="983"/>
    </row>
    <row r="15" spans="1:37" s="1860" customFormat="1" ht="18" customHeight="1" thickBot="1">
      <c r="A15" s="1204" t="s">
        <v>1036</v>
      </c>
      <c r="B15" s="347" t="s">
        <v>1420</v>
      </c>
      <c r="C15" s="24">
        <f ca="1">ROUND(C14*F15,0)</f>
        <v>11226</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18710</v>
      </c>
      <c r="D16" s="347" t="s">
        <v>1421</v>
      </c>
      <c r="E16" s="347" t="s">
        <v>1422</v>
      </c>
      <c r="F16" s="367">
        <f ca="1">IF(INDIRECT("'数据-取费表'!c"&amp;$G$1)="住宅",'数据-取费表'!B34,0)</f>
        <v>0.05</v>
      </c>
      <c r="G16" s="1853"/>
      <c r="H16" s="1332" t="s">
        <v>1030</v>
      </c>
      <c r="I16" s="1333" t="s">
        <v>1424</v>
      </c>
      <c r="J16" s="355">
        <f ca="1">ROUND(J17+J22+J23+J24,0)</f>
        <v>9002</v>
      </c>
      <c r="K16" s="1340" t="s">
        <v>1425</v>
      </c>
      <c r="L16" s="1341"/>
      <c r="M16" s="1297"/>
    </row>
    <row r="17" spans="1:37" s="1860" customFormat="1" ht="18" customHeight="1">
      <c r="A17" s="1204" t="s">
        <v>1390</v>
      </c>
      <c r="B17" s="347" t="s">
        <v>1426</v>
      </c>
      <c r="C17" s="24">
        <f ca="1">ROUND(F17*(F43+INDIRECT("'数据-取费表'!S"&amp;$G$1)),0)</f>
        <v>24946</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0.05</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5613</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434685</v>
      </c>
      <c r="D19" s="140" t="s">
        <v>1436</v>
      </c>
      <c r="E19" s="1820"/>
      <c r="F19" s="26"/>
      <c r="G19" s="1853"/>
      <c r="H19" s="1204" t="s">
        <v>1036</v>
      </c>
      <c r="I19" s="347" t="s">
        <v>1437</v>
      </c>
      <c r="J19" s="24">
        <f ca="1">IF(K19="按租金收入计税",ROUND(J5*M19,0),ROUND(C29*M19*0.7,0))</f>
        <v>5041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8694</v>
      </c>
      <c r="D20" s="369" t="s">
        <v>1440</v>
      </c>
      <c r="E20" s="347" t="s">
        <v>1422</v>
      </c>
      <c r="F20" s="367">
        <f>'数据-取费表'!B37</f>
        <v>0.02</v>
      </c>
      <c r="G20" s="1856"/>
      <c r="H20" s="1204" t="s">
        <v>1389</v>
      </c>
      <c r="I20" s="164" t="s">
        <v>1441</v>
      </c>
      <c r="J20" s="25">
        <f ca="1">ROUND(M20*M21,0)</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9002</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21061</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-9002</v>
      </c>
      <c r="K25" s="1348" t="s">
        <v>1464</v>
      </c>
      <c r="L25" s="1349"/>
      <c r="M25" s="1350"/>
    </row>
    <row r="26" spans="1:37" ht="18" customHeight="1">
      <c r="A26" s="1204" t="s">
        <v>1034</v>
      </c>
      <c r="B26" s="347" t="s">
        <v>1465</v>
      </c>
      <c r="C26" s="24">
        <f ca="1">ROUND((C19+C20)*F26,0)</f>
        <v>88676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600104</v>
      </c>
      <c r="D29" s="1345"/>
      <c r="E29" s="1343"/>
      <c r="F29" s="1346"/>
      <c r="G29" s="1856"/>
      <c r="H29" s="380" t="s">
        <v>1033</v>
      </c>
      <c r="I29" s="381" t="s">
        <v>1479</v>
      </c>
      <c r="J29" s="382">
        <f ca="1">ROUND(J26/(1+F40)^F41,0)</f>
        <v>0</v>
      </c>
      <c r="K29" s="383" t="s">
        <v>1480</v>
      </c>
      <c r="L29" s="384"/>
      <c r="M29" s="385">
        <f ca="1">INDIRECT("'数据-取费表'!k"&amp;$G$1)</f>
        <v>124.73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17080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6154</v>
      </c>
      <c r="D31" s="1802" t="s">
        <v>1430</v>
      </c>
      <c r="E31" s="1800" t="s">
        <v>1481</v>
      </c>
      <c r="F31" s="368">
        <f ca="1">IF(项目基本情况!B11="企业","",IF(INDIRECT("'数据-取费表'!c"&amp;$G$1)="住宅",5%,IF(F6*F7*F8/12/(1+'数据-取费表'!C42)&gt;20000,12%,7%)))</f>
        <v>0.05</v>
      </c>
      <c r="G31" s="1853"/>
      <c r="H31" s="745"/>
      <c r="I31" s="746"/>
      <c r="J31" s="747"/>
      <c r="K31" s="748"/>
      <c r="L31" s="749"/>
      <c r="M31" s="750"/>
    </row>
    <row r="32" spans="1:37" ht="18" customHeight="1">
      <c r="A32" s="1204" t="s">
        <v>1034</v>
      </c>
      <c r="B32" s="347" t="s">
        <v>1433</v>
      </c>
      <c r="C32" s="24" t="str">
        <f>IF(项目基本情况!B11="自然人","——",ROUND(C5*F32/(1+'数据-取费表'!C42),0))</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IF(项目基本情况!B11="自然人","——",IF(D33="按租金收入计税",ROUND(C5*F33,0),IF(D33="按房产原值计税",ROUND(C29*F33*0.7,0),INDIRECT("'数据-取费表'!Aj"&amp;$G$1))))</f>
        <v>——</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9002</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693</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1230.8</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105995</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3216221</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25785</v>
      </c>
      <c r="D43" s="383" t="s">
        <v>1488</v>
      </c>
      <c r="E43" s="384" t="s">
        <v>1489</v>
      </c>
      <c r="F43" s="385">
        <f ca="1">INDIRECT("'数据-取费表'!k"&amp;$G$1)</f>
        <v>124.73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-3510398</v>
      </c>
      <c r="D45" s="1942" t="s">
        <v>1604</v>
      </c>
      <c r="E45" s="1868"/>
      <c r="F45" s="1868"/>
      <c r="O45" s="1871" t="s">
        <v>1519</v>
      </c>
      <c r="P45" s="1841"/>
      <c r="Q45" s="1841"/>
      <c r="R45" s="1841"/>
    </row>
    <row r="46" spans="1:18" s="1844" customFormat="1" ht="13.5" thickBot="1">
      <c r="A46" s="1872" t="s">
        <v>1520</v>
      </c>
      <c r="C46" s="1873">
        <f ca="1">ROUND(C45/10000,0)</f>
        <v>-351</v>
      </c>
      <c r="D46" s="1874" t="str">
        <f>C2</f>
        <v>万元</v>
      </c>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3072</v>
      </c>
      <c r="K47" s="1884" t="s">
        <v>1527</v>
      </c>
      <c r="L47" s="1885">
        <f ca="1">INDIRECT("'数据-取费表'!d"&amp;$G$1)</f>
        <v>0</v>
      </c>
      <c r="M47" s="1840" t="str">
        <f>IF(ISNUMBER(FIND("住宅",C1)),"住宅","非住宅")</f>
        <v>住宅</v>
      </c>
      <c r="O47" s="1886" t="s">
        <v>1040</v>
      </c>
      <c r="P47" s="1887" t="s">
        <v>1528</v>
      </c>
      <c r="Q47" s="1888">
        <f ca="1">C40+J29</f>
        <v>3216221</v>
      </c>
      <c r="R47" s="1888" t="s">
        <v>1529</v>
      </c>
    </row>
    <row r="48" spans="1:18" s="1844" customFormat="1" ht="28.5" thickBot="1">
      <c r="A48" s="1363" t="s">
        <v>1135</v>
      </c>
      <c r="B48" s="345" t="s">
        <v>1401</v>
      </c>
      <c r="C48" s="1819">
        <f ca="1">C49+C53+C55</f>
        <v>0</v>
      </c>
      <c r="D48" s="1365"/>
      <c r="E48" s="1366"/>
      <c r="F48" s="1184"/>
      <c r="G48" s="792"/>
      <c r="H48" s="793"/>
      <c r="I48" s="1889" t="s">
        <v>1530</v>
      </c>
      <c r="J48" s="1890" t="s">
        <v>3096</v>
      </c>
      <c r="K48" s="1891" t="s">
        <v>1531</v>
      </c>
      <c r="L48" s="1892">
        <f ca="1">INDIRECT("'数据-取费表'!f"&amp;$G$1)</f>
        <v>0</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2000</v>
      </c>
      <c r="K49" s="1891" t="s">
        <v>1535</v>
      </c>
      <c r="L49" s="1895"/>
      <c r="O49" s="1896" t="s">
        <v>1042</v>
      </c>
      <c r="P49" s="1887" t="s">
        <v>1536</v>
      </c>
      <c r="Q49" s="1888">
        <f ca="1">C29</f>
        <v>600104</v>
      </c>
      <c r="R49" s="1888" t="s">
        <v>1529</v>
      </c>
    </row>
    <row r="50" spans="1:18" s="1844" customFormat="1" ht="13.5" thickBot="1">
      <c r="A50" s="1198"/>
      <c r="B50" s="1201"/>
      <c r="C50" s="1202"/>
      <c r="D50" s="1175"/>
      <c r="E50" s="1280" t="s">
        <v>1406</v>
      </c>
      <c r="F50" s="1281">
        <f ca="1">F7</f>
        <v>124.73</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42</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J53</f>
        <v>42</v>
      </c>
      <c r="R52" s="1888" t="s">
        <v>1546</v>
      </c>
    </row>
    <row r="53" spans="1:18" s="1844" customFormat="1" ht="30.75" customHeight="1" thickBot="1">
      <c r="A53" s="1364" t="s">
        <v>1137</v>
      </c>
      <c r="B53" s="369" t="s">
        <v>1409</v>
      </c>
      <c r="C53" s="361">
        <f ca="1">ROUND(IF(F53="押一",C49/12*F11,IF(F53="押二",C49/12*2*F11,IF(F53="押三",C49/12*3*F11,C54*F11))),0)</f>
        <v>0</v>
      </c>
      <c r="D53" s="1826" t="s">
        <v>3027</v>
      </c>
      <c r="E53" s="358" t="s">
        <v>1410</v>
      </c>
      <c r="F53" s="1369"/>
      <c r="I53" s="1907" t="s">
        <v>1547</v>
      </c>
      <c r="J53" s="1908">
        <f>IF(M47="住宅",J51,IF(D1="——",MIN(J51,L48),IF(D1="在建（套用方法）",MIN(J51,L48-'数据-取费表'!B24),IF(D1="土地（套用方法）",MIN(J51,L48-'数据-取费表'!B20)))))</f>
        <v>42</v>
      </c>
      <c r="K53" s="3149" t="s">
        <v>1548</v>
      </c>
      <c r="L53" s="3150"/>
      <c r="O53" s="1886" t="s">
        <v>1046</v>
      </c>
      <c r="P53" s="1887" t="s">
        <v>1549</v>
      </c>
      <c r="Q53" s="1888">
        <f ca="1">Q47+Q48</f>
        <v>3216221</v>
      </c>
      <c r="R53" s="1888" t="s">
        <v>1047</v>
      </c>
    </row>
    <row r="54" spans="1:18" s="1844" customFormat="1" ht="13.5" thickBot="1">
      <c r="A54" s="1197"/>
      <c r="B54" s="1943" t="s">
        <v>1603</v>
      </c>
      <c r="C54" s="1181"/>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462080</v>
      </c>
      <c r="D56" s="1916"/>
      <c r="E56" s="1917"/>
      <c r="F56" s="1909"/>
      <c r="I56" s="1918" t="s">
        <v>1554</v>
      </c>
      <c r="J56" s="1919" t="s">
        <v>3043</v>
      </c>
      <c r="K56" s="1889" t="s">
        <v>1555</v>
      </c>
      <c r="L56" s="1892" t="str">
        <f ca="1">IF(L48&lt;J51,"——",L48-J51)</f>
        <v>——</v>
      </c>
      <c r="O56" s="1886" t="s">
        <v>1040</v>
      </c>
      <c r="P56" s="1887" t="s">
        <v>1528</v>
      </c>
      <c r="Q56" s="1888">
        <f ca="1">C40+J29</f>
        <v>3216221</v>
      </c>
      <c r="R56" s="1888" t="s">
        <v>1529</v>
      </c>
    </row>
    <row r="57" spans="1:18" s="1844" customFormat="1" ht="24.75" thickBot="1">
      <c r="A57" s="1920"/>
      <c r="B57" s="1172" t="s">
        <v>1478</v>
      </c>
      <c r="C57" s="282">
        <f ca="1">C29</f>
        <v>600104</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9695</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0.05</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IF(项目基本情况!B11="自然人","——",ROUND(C48*F60/(1+'数据-取费表'!C42),0))</f>
        <v>——</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IF(项目基本情况!B11="自然人","——",IF(D61="按租金收入计税",ROUND(C48*F61,0),IF(D61="按房产原值计税",ROUND(C57*F61*0.7,0),INDIRECT("'数据-取费表'!Aj"&amp;$G$1))))</f>
        <v>——</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t="str">
        <f>IF(项目基本情况!B11="自然人","——",ROUND(F62*F63,0))</f>
        <v>——</v>
      </c>
      <c r="D62" s="1187" t="s">
        <v>1497</v>
      </c>
      <c r="E62" s="1172" t="s">
        <v>1498</v>
      </c>
      <c r="F62" s="371">
        <f t="shared" si="0"/>
        <v>3</v>
      </c>
      <c r="I62" s="1931" t="s">
        <v>1570</v>
      </c>
      <c r="J62" s="1932" t="s">
        <v>1571</v>
      </c>
      <c r="K62" s="1932" t="s">
        <v>1572</v>
      </c>
      <c r="L62" s="1932" t="s">
        <v>1573</v>
      </c>
      <c r="M62" s="1933" t="s">
        <v>1574</v>
      </c>
      <c r="O62" s="1886" t="s">
        <v>1046</v>
      </c>
      <c r="P62" s="1887" t="s">
        <v>1575</v>
      </c>
      <c r="Q62" s="1888">
        <f ca="1">Q56+Q57</f>
        <v>3216221</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9002</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693</v>
      </c>
      <c r="D65" s="1186" t="s">
        <v>1454</v>
      </c>
      <c r="E65" s="1172" t="s">
        <v>1455</v>
      </c>
      <c r="F65" s="376">
        <f t="shared" ca="1" si="0"/>
        <v>1.5E-3</v>
      </c>
      <c r="I65" s="1931" t="s">
        <v>1579</v>
      </c>
      <c r="J65" s="1932">
        <v>40</v>
      </c>
      <c r="K65" s="1932">
        <v>30</v>
      </c>
      <c r="L65" s="1932">
        <v>50</v>
      </c>
      <c r="M65" s="1934">
        <v>0.02</v>
      </c>
      <c r="O65" s="1886" t="s">
        <v>1040</v>
      </c>
      <c r="P65" s="1887" t="s">
        <v>1580</v>
      </c>
      <c r="Q65" s="1888">
        <f ca="1">C40+J29</f>
        <v>3216221</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-9695</v>
      </c>
      <c r="D67" s="1185" t="s">
        <v>1464</v>
      </c>
      <c r="E67" s="1190"/>
      <c r="F67" s="1191"/>
      <c r="O67" s="1896" t="s">
        <v>1042</v>
      </c>
      <c r="P67" s="1887" t="s">
        <v>1562</v>
      </c>
      <c r="Q67" s="1935">
        <f ca="1">L51</f>
        <v>0</v>
      </c>
      <c r="R67" s="1888" t="s">
        <v>1582</v>
      </c>
    </row>
    <row r="68" spans="1:18" s="1844" customFormat="1" ht="16.5" thickBot="1">
      <c r="A68" s="1169" t="s">
        <v>1032</v>
      </c>
      <c r="B68" s="1170" t="s">
        <v>1485</v>
      </c>
      <c r="C68" s="346">
        <f ca="1">ROUND(C67*(1-((1+F70)/(1+F68))^F69)/(F68-F70),0)</f>
        <v>-294177</v>
      </c>
      <c r="D68" s="1187" t="s">
        <v>1469</v>
      </c>
      <c r="E68" s="1172" t="s">
        <v>1470</v>
      </c>
      <c r="F68" s="357">
        <f ca="1">F40</f>
        <v>4.4999999999999998E-2</v>
      </c>
      <c r="O68" s="1896" t="s">
        <v>1043</v>
      </c>
      <c r="P68" s="1936" t="s">
        <v>1583</v>
      </c>
      <c r="Q68" s="1888">
        <f ca="1">ROUND(Q69-Q70*Q71,0)</f>
        <v>66718</v>
      </c>
      <c r="R68" s="1888" t="s">
        <v>1051</v>
      </c>
    </row>
    <row r="69" spans="1:18" s="1844" customFormat="1" ht="13.5" thickBot="1">
      <c r="A69" s="1173"/>
      <c r="B69" s="1174"/>
      <c r="C69" s="351"/>
      <c r="D69" s="1192" t="s">
        <v>1473</v>
      </c>
      <c r="E69" s="1172" t="s">
        <v>1474</v>
      </c>
      <c r="F69" s="379">
        <f ca="1">F41</f>
        <v>42</v>
      </c>
      <c r="O69" s="1896" t="s">
        <v>1048</v>
      </c>
      <c r="P69" s="1936" t="s">
        <v>1584</v>
      </c>
      <c r="Q69" s="1888">
        <f ca="1">C39</f>
        <v>105995</v>
      </c>
      <c r="R69" s="1888" t="s">
        <v>1529</v>
      </c>
    </row>
    <row r="70" spans="1:18" s="1844" customFormat="1" ht="13.5" thickBot="1">
      <c r="A70" s="1176"/>
      <c r="B70" s="1177"/>
      <c r="C70" s="355"/>
      <c r="D70" s="1188"/>
      <c r="E70" s="1172" t="s">
        <v>1477</v>
      </c>
      <c r="F70" s="1278">
        <f ca="1">F42</f>
        <v>0.03</v>
      </c>
      <c r="O70" s="1896" t="s">
        <v>1049</v>
      </c>
      <c r="P70" s="1936" t="s">
        <v>1585</v>
      </c>
      <c r="Q70" s="1888">
        <f ca="1">C13</f>
        <v>462080</v>
      </c>
      <c r="R70" s="1888" t="s">
        <v>1529</v>
      </c>
    </row>
    <row r="71" spans="1:18" s="1844" customFormat="1" ht="13.5" thickBot="1">
      <c r="A71" s="1193" t="s">
        <v>1033</v>
      </c>
      <c r="B71" s="1194" t="s">
        <v>1487</v>
      </c>
      <c r="C71" s="382">
        <f ca="1">ROUND(C68/F71,0)</f>
        <v>-2359</v>
      </c>
      <c r="D71" s="1195" t="s">
        <v>1488</v>
      </c>
      <c r="E71" s="1196" t="s">
        <v>1489</v>
      </c>
      <c r="F71" s="385">
        <f ca="1">F43</f>
        <v>124.73</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39277</v>
      </c>
      <c r="D75" s="1844"/>
      <c r="E75" s="1844"/>
      <c r="F75" s="1844"/>
      <c r="K75" s="1870"/>
      <c r="L75" s="1844"/>
      <c r="O75" s="1886" t="s">
        <v>1046</v>
      </c>
      <c r="P75" s="1887" t="s">
        <v>1549</v>
      </c>
      <c r="Q75" s="1888">
        <f ca="1">Q65+Q66</f>
        <v>3216221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0.629</v>
      </c>
    </row>
    <row r="80" spans="1:18">
      <c r="B80" s="386" t="s">
        <v>1511</v>
      </c>
      <c r="C80" s="318">
        <f ca="1">ROUND(C75/C39,3)</f>
        <v>0.371</v>
      </c>
    </row>
    <row r="81" spans="2:3">
      <c r="B81" s="314" t="s">
        <v>1512</v>
      </c>
      <c r="C81" s="282"/>
    </row>
    <row r="82" spans="2:3">
      <c r="B82" s="317" t="s">
        <v>1513</v>
      </c>
      <c r="C82" s="319">
        <f ca="1">1-C83</f>
        <v>0.85599999999999998</v>
      </c>
    </row>
    <row r="83" spans="2:3">
      <c r="B83" s="317" t="s">
        <v>1514</v>
      </c>
      <c r="C83" s="318">
        <f ca="1">ROUND(C13/C40,3)</f>
        <v>0.14399999999999999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2514</v>
      </c>
      <c r="B1" s="2566"/>
      <c r="C1" s="2566"/>
      <c r="D1" s="2566"/>
      <c r="E1" s="2567"/>
    </row>
    <row r="2" spans="1:6" ht="15.75">
      <c r="A2" s="2568" t="s">
        <v>2315</v>
      </c>
      <c r="B2" s="2569">
        <f ca="1">SUMIF(B6:B13,"&lt;&gt;#ref!",B6:B13)</f>
        <v>322</v>
      </c>
      <c r="C2" s="2570" t="s">
        <v>2507</v>
      </c>
      <c r="D2" s="2571" t="s">
        <v>2508</v>
      </c>
      <c r="E2" s="2572">
        <f>SUM(E6:E13)</f>
        <v>124.73</v>
      </c>
    </row>
    <row r="3" spans="1:6" ht="15.75">
      <c r="A3" s="2568" t="s">
        <v>1395</v>
      </c>
      <c r="B3" s="2569">
        <f ca="1">ROUND(B2*10000/E2,0)</f>
        <v>25816</v>
      </c>
      <c r="C3" s="2570" t="s">
        <v>2515</v>
      </c>
      <c r="D3" s="2573"/>
      <c r="E3" s="2574"/>
    </row>
    <row r="4" spans="1:6" ht="15.75">
      <c r="A4" s="2575"/>
      <c r="B4" s="2573"/>
      <c r="C4" s="2573"/>
      <c r="D4" s="2573"/>
      <c r="E4" s="2574"/>
    </row>
    <row r="5" spans="1:6" ht="15">
      <c r="A5" s="2576" t="s">
        <v>2509</v>
      </c>
      <c r="B5" s="3198" t="s">
        <v>2510</v>
      </c>
      <c r="C5" s="3198"/>
      <c r="D5" s="2577"/>
      <c r="E5" s="2578" t="s">
        <v>2511</v>
      </c>
      <c r="F5" s="2579" t="s">
        <v>2512</v>
      </c>
    </row>
    <row r="6" spans="1:6">
      <c r="A6" s="2580" t="str">
        <f>'数据-取费表'!AN6</f>
        <v>收益法 (元)</v>
      </c>
      <c r="B6" s="2579">
        <f ca="1">IF(F6="是",'数据-取费表'!AO6,0)</f>
        <v>322</v>
      </c>
      <c r="C6" s="2570" t="s">
        <v>2507</v>
      </c>
      <c r="D6" s="2573"/>
      <c r="E6" s="2581">
        <f>IF(OR(A6=0,F6="否"),0,'数据-取费表'!K6+'数据-取费表'!S6)</f>
        <v>124.73</v>
      </c>
      <c r="F6" s="2582" t="s">
        <v>2513</v>
      </c>
    </row>
    <row r="7" spans="1:6">
      <c r="A7" s="2580">
        <f>'数据-取费表'!AN7</f>
        <v>0</v>
      </c>
      <c r="B7" s="2579" t="e">
        <f ca="1">IF(F7="是",'数据-取费表'!AO7,0)</f>
        <v>#REF!</v>
      </c>
      <c r="C7" s="2570" t="s">
        <v>2507</v>
      </c>
      <c r="D7" s="2573"/>
      <c r="E7" s="2581">
        <f>IF(OR(A7=0,F7="否"),0,'数据-取费表'!K7+'数据-取费表'!S7)</f>
        <v>0</v>
      </c>
      <c r="F7" s="2582" t="s">
        <v>2513</v>
      </c>
    </row>
    <row r="8" spans="1:6">
      <c r="A8" s="2580">
        <f>'数据-取费表'!AN8</f>
        <v>0</v>
      </c>
      <c r="B8" s="2579" t="e">
        <f ca="1">IF(F8="是",'数据-取费表'!AO8,0)</f>
        <v>#REF!</v>
      </c>
      <c r="C8" s="2570" t="s">
        <v>2507</v>
      </c>
      <c r="D8" s="2573"/>
      <c r="E8" s="2581">
        <f>IF(OR(A8=0,F8="否"),0,'数据-取费表'!K8+'数据-取费表'!S8)</f>
        <v>0</v>
      </c>
      <c r="F8" s="2582" t="s">
        <v>2513</v>
      </c>
    </row>
    <row r="9" spans="1:6">
      <c r="A9" s="2580">
        <f>'数据-取费表'!AN9</f>
        <v>0</v>
      </c>
      <c r="B9" s="2579" t="e">
        <f ca="1">IF(F9="是",'数据-取费表'!AO9,0)</f>
        <v>#REF!</v>
      </c>
      <c r="C9" s="2570" t="s">
        <v>2507</v>
      </c>
      <c r="D9" s="2573"/>
      <c r="E9" s="2581">
        <f>IF(OR(A9=0,F9="否"),0,'数据-取费表'!K9+'数据-取费表'!S9)</f>
        <v>0</v>
      </c>
      <c r="F9" s="2582" t="s">
        <v>2513</v>
      </c>
    </row>
    <row r="10" spans="1:6">
      <c r="A10" s="2580">
        <f>'数据-取费表'!AN10</f>
        <v>0</v>
      </c>
      <c r="B10" s="2579" t="e">
        <f ca="1">IF(F10="是",'数据-取费表'!AO10,0)</f>
        <v>#REF!</v>
      </c>
      <c r="C10" s="2570" t="s">
        <v>2507</v>
      </c>
      <c r="D10" s="2573"/>
      <c r="E10" s="2581">
        <f>IF(OR(A10=0,F10="否"),0,'数据-取费表'!K10+'数据-取费表'!S10)</f>
        <v>0</v>
      </c>
      <c r="F10" s="2582" t="s">
        <v>2513</v>
      </c>
    </row>
    <row r="11" spans="1:6">
      <c r="A11" s="2580">
        <f>'数据-取费表'!AN11</f>
        <v>0</v>
      </c>
      <c r="B11" s="2579" t="e">
        <f ca="1">IF(F11="是",'数据-取费表'!AO11,0)</f>
        <v>#REF!</v>
      </c>
      <c r="C11" s="2570" t="s">
        <v>2507</v>
      </c>
      <c r="D11" s="2573"/>
      <c r="E11" s="2581">
        <f>IF(OR(A11=0,F11="否"),0,'数据-取费表'!K11+'数据-取费表'!S11)</f>
        <v>0</v>
      </c>
      <c r="F11" s="2582" t="s">
        <v>2513</v>
      </c>
    </row>
    <row r="12" spans="1:6">
      <c r="A12" s="2580">
        <f>'数据-取费表'!AN12</f>
        <v>0</v>
      </c>
      <c r="B12" s="2579" t="e">
        <f ca="1">IF(F12="是",'数据-取费表'!AO12,0)</f>
        <v>#REF!</v>
      </c>
      <c r="C12" s="2570" t="s">
        <v>2507</v>
      </c>
      <c r="D12" s="2573"/>
      <c r="E12" s="2581">
        <f>IF(OR(A12=0,F12="否"),0,'数据-取费表'!K12+'数据-取费表'!S12)</f>
        <v>0</v>
      </c>
      <c r="F12" s="2582" t="s">
        <v>2513</v>
      </c>
    </row>
    <row r="13" spans="1:6" ht="15" thickBot="1">
      <c r="A13" s="2583">
        <f>'数据-取费表'!AN13</f>
        <v>0</v>
      </c>
      <c r="B13" s="2579" t="e">
        <f ca="1">IF(F13="是",'数据-取费表'!AO13,0)</f>
        <v>#REF!</v>
      </c>
      <c r="C13" s="2584" t="s">
        <v>2507</v>
      </c>
      <c r="D13" s="2585"/>
      <c r="E13" s="2581">
        <f>IF(OR(A13=0,F13="否"),0,'数据-取费表'!K13+'数据-取费表'!S13)</f>
        <v>0</v>
      </c>
      <c r="F13" s="2582"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9" t="s">
        <v>1076</v>
      </c>
      <c r="B1" s="3200"/>
      <c r="C1" s="3201"/>
      <c r="D1" s="3202">
        <f>SUM(I10,I15,I20,I21,I23)</f>
        <v>0</v>
      </c>
      <c r="E1" s="3202"/>
      <c r="F1" s="3202"/>
      <c r="G1" s="3202"/>
      <c r="H1" s="3202"/>
      <c r="I1" s="3203"/>
    </row>
    <row r="2" spans="1:9">
      <c r="A2" s="3204" t="s">
        <v>1077</v>
      </c>
      <c r="B2" s="3205" t="s">
        <v>1078</v>
      </c>
      <c r="C2" s="3205"/>
      <c r="D2" s="1304" t="s">
        <v>1079</v>
      </c>
      <c r="E2" s="1304" t="s">
        <v>1080</v>
      </c>
      <c r="F2" s="1304" t="s">
        <v>1081</v>
      </c>
      <c r="G2" s="1304" t="s">
        <v>1082</v>
      </c>
      <c r="H2" s="1304" t="s">
        <v>1083</v>
      </c>
      <c r="I2" s="1305" t="s">
        <v>1084</v>
      </c>
    </row>
    <row r="3" spans="1:9">
      <c r="A3" s="3204"/>
      <c r="B3" s="3205" t="s">
        <v>1085</v>
      </c>
      <c r="C3" s="3205"/>
      <c r="D3" s="1306"/>
      <c r="E3" s="1304"/>
      <c r="F3" s="1307"/>
      <c r="G3" s="1307"/>
      <c r="H3" s="1308"/>
      <c r="I3" s="1309">
        <f>ROUND(D3*E3*F3*G3*H3/10000,0)</f>
        <v>0</v>
      </c>
    </row>
    <row r="4" spans="1:9">
      <c r="A4" s="3204"/>
      <c r="B4" s="3205" t="s">
        <v>1086</v>
      </c>
      <c r="C4" s="3205"/>
      <c r="D4" s="1306"/>
      <c r="E4" s="1304"/>
      <c r="F4" s="1307"/>
      <c r="G4" s="1307"/>
      <c r="H4" s="1308"/>
      <c r="I4" s="1309">
        <f t="shared" ref="I4:I9" si="0">ROUND(D4*E4*F4*G4*H4/10000,0)</f>
        <v>0</v>
      </c>
    </row>
    <row r="5" spans="1:9">
      <c r="A5" s="3204"/>
      <c r="B5" s="3205" t="s">
        <v>1087</v>
      </c>
      <c r="C5" s="3205"/>
      <c r="D5" s="1306"/>
      <c r="E5" s="1304"/>
      <c r="F5" s="1307"/>
      <c r="G5" s="1307"/>
      <c r="H5" s="1308"/>
      <c r="I5" s="1309">
        <f t="shared" si="0"/>
        <v>0</v>
      </c>
    </row>
    <row r="6" spans="1:9">
      <c r="A6" s="3204"/>
      <c r="B6" s="3205" t="s">
        <v>1088</v>
      </c>
      <c r="C6" s="3205"/>
      <c r="D6" s="1306"/>
      <c r="E6" s="1304"/>
      <c r="F6" s="1307"/>
      <c r="G6" s="1307"/>
      <c r="H6" s="1308"/>
      <c r="I6" s="1309">
        <f t="shared" si="0"/>
        <v>0</v>
      </c>
    </row>
    <row r="7" spans="1:9">
      <c r="A7" s="3204"/>
      <c r="B7" s="3205" t="s">
        <v>1089</v>
      </c>
      <c r="C7" s="3205"/>
      <c r="D7" s="1306"/>
      <c r="E7" s="1304"/>
      <c r="F7" s="1307"/>
      <c r="G7" s="1307"/>
      <c r="H7" s="1308"/>
      <c r="I7" s="1309">
        <f t="shared" si="0"/>
        <v>0</v>
      </c>
    </row>
    <row r="8" spans="1:9">
      <c r="A8" s="3204"/>
      <c r="B8" s="3205" t="s">
        <v>1090</v>
      </c>
      <c r="C8" s="3205"/>
      <c r="D8" s="1306"/>
      <c r="E8" s="1304"/>
      <c r="F8" s="1307"/>
      <c r="G8" s="1307"/>
      <c r="H8" s="1308"/>
      <c r="I8" s="1309">
        <f t="shared" si="0"/>
        <v>0</v>
      </c>
    </row>
    <row r="9" spans="1:9">
      <c r="A9" s="3204"/>
      <c r="B9" s="3205" t="s">
        <v>1091</v>
      </c>
      <c r="C9" s="3205"/>
      <c r="D9" s="1306"/>
      <c r="E9" s="1304"/>
      <c r="F9" s="1307"/>
      <c r="G9" s="1307"/>
      <c r="H9" s="1308"/>
      <c r="I9" s="1309">
        <f t="shared" si="0"/>
        <v>0</v>
      </c>
    </row>
    <row r="10" spans="1:9">
      <c r="A10" s="3204"/>
      <c r="B10" s="3206" t="s">
        <v>1092</v>
      </c>
      <c r="C10" s="3206"/>
      <c r="D10" s="1310"/>
      <c r="E10" s="1310" t="e">
        <f>ROUND(D1*10000/D10/H9,0)</f>
        <v>#DIV/0!</v>
      </c>
      <c r="F10" s="1311"/>
      <c r="G10" s="1311"/>
      <c r="H10" s="1312"/>
      <c r="I10" s="1313">
        <f>SUM(I3:I9)</f>
        <v>0</v>
      </c>
    </row>
    <row r="11" spans="1:9" ht="14.25">
      <c r="A11" s="3204" t="s">
        <v>1093</v>
      </c>
      <c r="B11" s="3205" t="s">
        <v>1094</v>
      </c>
      <c r="C11" s="3205"/>
      <c r="D11" s="1306" t="s">
        <v>1095</v>
      </c>
      <c r="E11" s="1306" t="s">
        <v>1096</v>
      </c>
      <c r="F11" s="1307" t="s">
        <v>1097</v>
      </c>
      <c r="G11" s="1307" t="s">
        <v>1083</v>
      </c>
      <c r="H11" s="1314" t="s">
        <v>1098</v>
      </c>
      <c r="I11" s="1305" t="s">
        <v>1084</v>
      </c>
    </row>
    <row r="12" spans="1:9">
      <c r="A12" s="3204"/>
      <c r="B12" s="3205" t="s">
        <v>1099</v>
      </c>
      <c r="C12" s="3205"/>
      <c r="D12" s="1306"/>
      <c r="E12" s="1306"/>
      <c r="F12" s="1307"/>
      <c r="G12" s="1308"/>
      <c r="H12" s="1315"/>
      <c r="I12" s="1305">
        <f>ROUND(D12*E12*F12*G12/10000,0)</f>
        <v>0</v>
      </c>
    </row>
    <row r="13" spans="1:9">
      <c r="A13" s="3204"/>
      <c r="B13" s="3205" t="s">
        <v>1100</v>
      </c>
      <c r="C13" s="3205"/>
      <c r="D13" s="1306"/>
      <c r="E13" s="1306"/>
      <c r="F13" s="1307"/>
      <c r="G13" s="1308"/>
      <c r="H13" s="1315"/>
      <c r="I13" s="1305">
        <f>ROUND(D13*E13*F13*G13/10000,0)</f>
        <v>0</v>
      </c>
    </row>
    <row r="14" spans="1:9">
      <c r="A14" s="3204"/>
      <c r="B14" s="3205" t="s">
        <v>1101</v>
      </c>
      <c r="C14" s="3205"/>
      <c r="D14" s="1306"/>
      <c r="E14" s="1306"/>
      <c r="F14" s="1307"/>
      <c r="G14" s="1308"/>
      <c r="H14" s="1315"/>
      <c r="I14" s="1305">
        <f>ROUND(D14*E14*F14*G14/10000,0)</f>
        <v>0</v>
      </c>
    </row>
    <row r="15" spans="1:9">
      <c r="A15" s="3204"/>
      <c r="B15" s="3206" t="s">
        <v>1092</v>
      </c>
      <c r="C15" s="3206"/>
      <c r="D15" s="1310"/>
      <c r="E15" s="1310">
        <f>SUM(E12:E14)</f>
        <v>0</v>
      </c>
      <c r="F15" s="1311"/>
      <c r="G15" s="1308"/>
      <c r="H15" s="1315"/>
      <c r="I15" s="1316">
        <f>SUM(I12:I14)</f>
        <v>0</v>
      </c>
    </row>
    <row r="16" spans="1:9" ht="24">
      <c r="A16" s="3204" t="s">
        <v>1102</v>
      </c>
      <c r="B16" s="3205" t="s">
        <v>1103</v>
      </c>
      <c r="C16" s="3205"/>
      <c r="D16" s="1306" t="s">
        <v>1079</v>
      </c>
      <c r="E16" s="1317" t="s">
        <v>1104</v>
      </c>
      <c r="F16" s="1307" t="s">
        <v>1105</v>
      </c>
      <c r="G16" s="1308" t="s">
        <v>1083</v>
      </c>
      <c r="H16" s="1314" t="s">
        <v>1098</v>
      </c>
      <c r="I16" s="1305" t="s">
        <v>1084</v>
      </c>
    </row>
    <row r="17" spans="1:9" ht="14.25">
      <c r="A17" s="3204"/>
      <c r="B17" s="3205" t="s">
        <v>1106</v>
      </c>
      <c r="C17" s="3205"/>
      <c r="D17" s="1306"/>
      <c r="E17" s="1306"/>
      <c r="F17" s="1307"/>
      <c r="G17" s="1308"/>
      <c r="H17" s="1318"/>
      <c r="I17" s="1319">
        <f>ROUND(D17*E17*F17*G17/10000,0)</f>
        <v>0</v>
      </c>
    </row>
    <row r="18" spans="1:9" ht="14.25">
      <c r="A18" s="3204"/>
      <c r="B18" s="3205" t="s">
        <v>1107</v>
      </c>
      <c r="C18" s="3205"/>
      <c r="D18" s="1306"/>
      <c r="E18" s="1306"/>
      <c r="F18" s="1307"/>
      <c r="G18" s="1308"/>
      <c r="H18" s="1318"/>
      <c r="I18" s="1319">
        <f>ROUND(D18*E18*F18*G18/10000,0)</f>
        <v>0</v>
      </c>
    </row>
    <row r="19" spans="1:9" ht="14.25">
      <c r="A19" s="3204"/>
      <c r="B19" s="3205" t="s">
        <v>1108</v>
      </c>
      <c r="C19" s="3205"/>
      <c r="D19" s="1306"/>
      <c r="E19" s="1306"/>
      <c r="F19" s="1307"/>
      <c r="G19" s="1308"/>
      <c r="H19" s="1318"/>
      <c r="I19" s="1319">
        <f>ROUND(D19*E19*F19*G19/10000,0)</f>
        <v>0</v>
      </c>
    </row>
    <row r="20" spans="1:9">
      <c r="A20" s="3204"/>
      <c r="B20" s="3206" t="s">
        <v>1092</v>
      </c>
      <c r="C20" s="3206"/>
      <c r="D20" s="1310">
        <f>SUM(D17:D19)</f>
        <v>0</v>
      </c>
      <c r="E20" s="1310"/>
      <c r="F20" s="1311"/>
      <c r="G20" s="1308"/>
      <c r="H20" s="1315"/>
      <c r="I20" s="1316">
        <f>SUM(I17:I19)</f>
        <v>0</v>
      </c>
    </row>
    <row r="21" spans="1:9">
      <c r="A21" s="3204" t="s">
        <v>1109</v>
      </c>
      <c r="B21" s="3208"/>
      <c r="C21" s="3208"/>
      <c r="D21" s="3208"/>
      <c r="E21" s="3208"/>
      <c r="F21" s="3208"/>
      <c r="G21" s="3208"/>
      <c r="H21" s="1768">
        <v>0.1</v>
      </c>
      <c r="I21" s="1313">
        <f>ROUND(I10*H21,0)</f>
        <v>0</v>
      </c>
    </row>
    <row r="22" spans="1:9" ht="14.25">
      <c r="A22" s="3209" t="s">
        <v>1110</v>
      </c>
      <c r="B22" s="3210"/>
      <c r="C22" s="3211"/>
      <c r="D22" s="1320" t="s">
        <v>1111</v>
      </c>
      <c r="E22" s="1320" t="s">
        <v>1112</v>
      </c>
      <c r="F22" s="1321" t="s">
        <v>1113</v>
      </c>
      <c r="G22" s="1321" t="s">
        <v>1114</v>
      </c>
      <c r="H22" s="1314" t="s">
        <v>1115</v>
      </c>
      <c r="I22" s="1305" t="s">
        <v>1116</v>
      </c>
    </row>
    <row r="23" spans="1:9" ht="14.25" thickBot="1">
      <c r="A23" s="3212"/>
      <c r="B23" s="3213"/>
      <c r="C23" s="3214"/>
      <c r="D23" s="1322"/>
      <c r="E23" s="1322"/>
      <c r="F23" s="1322"/>
      <c r="G23" s="1323"/>
      <c r="H23" s="1324"/>
      <c r="I23" s="1325">
        <f>ROUND(E23*D23*F23*(1-G23)/10000,0)</f>
        <v>0</v>
      </c>
    </row>
    <row r="26" spans="1:9">
      <c r="A26" s="1326" t="s">
        <v>1117</v>
      </c>
      <c r="B26" s="1326"/>
      <c r="C26" s="1326"/>
      <c r="D26" s="1326"/>
      <c r="E26" s="3215">
        <f>C27-C30-C31-C32</f>
        <v>0</v>
      </c>
      <c r="F26" s="3215"/>
      <c r="G26" s="3215"/>
      <c r="H26" s="1740" t="s">
        <v>1340</v>
      </c>
    </row>
    <row r="27" spans="1:9">
      <c r="A27" s="1327">
        <v>1</v>
      </c>
      <c r="B27" s="1328" t="s">
        <v>1118</v>
      </c>
      <c r="C27" s="1328">
        <f>C28+C29</f>
        <v>0</v>
      </c>
      <c r="D27" s="1328"/>
      <c r="E27" s="3216"/>
      <c r="F27" s="3216"/>
      <c r="G27" s="3216"/>
    </row>
    <row r="28" spans="1:9">
      <c r="A28" s="1329" t="s">
        <v>1119</v>
      </c>
      <c r="B28" s="1328" t="s">
        <v>1120</v>
      </c>
      <c r="C28" s="1328"/>
      <c r="D28" s="1328"/>
      <c r="E28" s="3216"/>
      <c r="F28" s="3216"/>
      <c r="G28" s="321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7"/>
      <c r="F32" s="3207"/>
      <c r="G32" s="3207"/>
    </row>
    <row r="33" spans="1:7" hidden="1">
      <c r="A33" s="3217" t="s">
        <v>1129</v>
      </c>
      <c r="B33" s="3218"/>
      <c r="C33" s="3218"/>
      <c r="D33" s="3219"/>
      <c r="E33" s="3215"/>
      <c r="F33" s="3215"/>
      <c r="G33" s="3215"/>
    </row>
    <row r="34" spans="1:7" hidden="1">
      <c r="A34" s="1331">
        <v>1</v>
      </c>
      <c r="B34" s="1328" t="s">
        <v>1130</v>
      </c>
      <c r="C34" s="1328"/>
      <c r="D34" s="1328"/>
      <c r="E34" s="3216"/>
      <c r="F34" s="3216"/>
      <c r="G34" s="3216"/>
    </row>
    <row r="35" spans="1:7" hidden="1">
      <c r="A35" s="1331">
        <v>2</v>
      </c>
      <c r="B35" s="1328" t="s">
        <v>1131</v>
      </c>
      <c r="C35" s="1328"/>
      <c r="D35" s="1328"/>
      <c r="E35" s="3216"/>
      <c r="F35" s="3216"/>
      <c r="G35" s="3216"/>
    </row>
    <row r="36" spans="1:7" hidden="1">
      <c r="A36" s="1331">
        <v>3</v>
      </c>
      <c r="B36" s="1328" t="s">
        <v>1132</v>
      </c>
      <c r="C36" s="1328"/>
      <c r="D36" s="1328"/>
      <c r="E36" s="3216"/>
      <c r="F36" s="3216"/>
      <c r="G36" s="3216"/>
    </row>
    <row r="37" spans="1:7" hidden="1">
      <c r="A37" s="1331">
        <v>4</v>
      </c>
      <c r="B37" s="1328" t="s">
        <v>1133</v>
      </c>
      <c r="C37" s="1328"/>
      <c r="D37" s="1328"/>
      <c r="E37" s="3216"/>
      <c r="F37" s="3216"/>
      <c r="G37" s="3216"/>
    </row>
    <row r="38" spans="1:7" hidden="1">
      <c r="A38" s="3217" t="s">
        <v>1134</v>
      </c>
      <c r="B38" s="3218"/>
      <c r="C38" s="3218"/>
      <c r="D38" s="3219"/>
      <c r="E38" s="3215"/>
      <c r="F38" s="3215"/>
      <c r="G38" s="32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6" t="s">
        <v>2630</v>
      </c>
      <c r="C1" s="1637" t="s">
        <v>2518</v>
      </c>
      <c r="D1" s="1624"/>
      <c r="E1" s="2658"/>
      <c r="F1" s="2588"/>
      <c r="G1" s="1634" t="s">
        <v>2631</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2315</v>
      </c>
      <c r="B2" s="1421" t="e">
        <f ca="1">IF(C2="——",ROUND(C49*D3/10000,0),ROUND(C49*D3/10000,0)-D2)</f>
        <v>#DIV/0!</v>
      </c>
      <c r="C2" s="2590"/>
      <c r="D2" s="1368" t="e">
        <f ca="1">SUMIF(INDIRECT("'"&amp;F2&amp;"'"&amp;"!A:A"),"承租人权益价值",INDIRECT("'"&amp;F2&amp;"'"&amp;"!c:c"))</f>
        <v>#REF!</v>
      </c>
      <c r="E2" s="2591" t="s">
        <v>2316</v>
      </c>
      <c r="F2" s="2592"/>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2317</v>
      </c>
      <c r="B3" s="609" t="e">
        <f ca="1">IF(C2="——",C49,ROUND(B2*10000/D3,0))</f>
        <v>#DIV/0!</v>
      </c>
      <c r="C3" s="400" t="s">
        <v>2632</v>
      </c>
      <c r="D3" s="399">
        <f>IF(D1="",'数据-汇总表'!E3,SUMIF('数据-汇总表'!$C19:$C33,D1,'数据-汇总表'!$E19:$E33))</f>
        <v>124.73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2633</v>
      </c>
      <c r="B4" s="402"/>
      <c r="C4" s="3170" t="s">
        <v>2634</v>
      </c>
      <c r="D4" s="3171"/>
      <c r="E4" s="3172" t="s">
        <v>2635</v>
      </c>
      <c r="F4" s="3173"/>
      <c r="G4" s="3170" t="s">
        <v>2636</v>
      </c>
      <c r="H4" s="3171"/>
      <c r="I4" s="3170" t="s">
        <v>2637</v>
      </c>
      <c r="J4" s="3171"/>
      <c r="K4" s="610" t="s">
        <v>2638</v>
      </c>
      <c r="L4" s="1133"/>
      <c r="M4" s="1134"/>
      <c r="N4" s="1134"/>
      <c r="O4" s="1134"/>
      <c r="P4" s="3174" t="s">
        <v>2639</v>
      </c>
      <c r="Q4" s="3175"/>
      <c r="R4" s="3159" t="s">
        <v>2635</v>
      </c>
      <c r="S4" s="3160"/>
      <c r="T4" s="3159" t="s">
        <v>2636</v>
      </c>
      <c r="U4" s="3160"/>
      <c r="V4" s="3182" t="s">
        <v>2637</v>
      </c>
      <c r="W4" s="3182"/>
      <c r="X4" s="1815"/>
      <c r="Y4" s="3159" t="s">
        <v>2639</v>
      </c>
      <c r="Z4" s="3160"/>
      <c r="AA4" s="3154" t="s">
        <v>2635</v>
      </c>
      <c r="AB4" s="3182" t="s">
        <v>2636</v>
      </c>
      <c r="AC4" s="3154" t="s">
        <v>2637</v>
      </c>
    </row>
    <row r="5" spans="1:29" ht="15">
      <c r="A5" s="404"/>
      <c r="B5" s="405"/>
      <c r="C5" s="3222" t="s">
        <v>2530</v>
      </c>
      <c r="D5" s="3164"/>
      <c r="E5" s="3220" t="s">
        <v>2531</v>
      </c>
      <c r="F5" s="3221"/>
      <c r="G5" s="3222" t="s">
        <v>2532</v>
      </c>
      <c r="H5" s="3164"/>
      <c r="I5" s="3222" t="s">
        <v>2533</v>
      </c>
      <c r="J5" s="3164"/>
      <c r="K5" s="610"/>
      <c r="L5" s="1133"/>
      <c r="M5" s="1134"/>
      <c r="N5" s="1134"/>
      <c r="O5" s="1134"/>
      <c r="P5" s="3176"/>
      <c r="Q5" s="3177"/>
      <c r="R5" s="3161"/>
      <c r="S5" s="3162"/>
      <c r="T5" s="3161"/>
      <c r="U5" s="3162"/>
      <c r="V5" s="3182"/>
      <c r="W5" s="3182"/>
      <c r="X5" s="1815"/>
      <c r="Y5" s="3161"/>
      <c r="Z5" s="3162"/>
      <c r="AA5" s="3155"/>
      <c r="AB5" s="3182"/>
      <c r="AC5" s="3155"/>
    </row>
    <row r="6" spans="1:29" ht="15.75" thickBot="1">
      <c r="A6" s="406"/>
      <c r="B6" s="407"/>
      <c r="C6" s="3165" t="s">
        <v>2534</v>
      </c>
      <c r="D6" s="3166"/>
      <c r="E6" s="3167" t="s">
        <v>2534</v>
      </c>
      <c r="F6" s="3168"/>
      <c r="G6" s="3165" t="s">
        <v>2534</v>
      </c>
      <c r="H6" s="3166"/>
      <c r="I6" s="3165" t="s">
        <v>2534</v>
      </c>
      <c r="J6" s="3166"/>
      <c r="K6" s="610" t="s">
        <v>2535</v>
      </c>
      <c r="L6" s="1133"/>
      <c r="M6" s="1134"/>
      <c r="N6" s="1134"/>
      <c r="O6" s="1134"/>
      <c r="P6" s="3178"/>
      <c r="Q6" s="3179"/>
      <c r="R6" s="3161"/>
      <c r="S6" s="3162"/>
      <c r="T6" s="3180"/>
      <c r="U6" s="3181"/>
      <c r="V6" s="3182"/>
      <c r="W6" s="3182"/>
      <c r="X6" s="1815"/>
      <c r="Y6" s="3180"/>
      <c r="Z6" s="3181"/>
      <c r="AA6" s="3156"/>
      <c r="AB6" s="3182"/>
      <c r="AC6" s="3156"/>
    </row>
    <row r="7" spans="1:29" s="117" customFormat="1" ht="15.75" thickBot="1">
      <c r="A7" s="408" t="s">
        <v>2536</v>
      </c>
      <c r="B7" s="409"/>
      <c r="C7" s="410">
        <f>'数据-取费表'!B2</f>
        <v>43217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7" t="s">
        <v>2537</v>
      </c>
      <c r="Q7" s="3183"/>
      <c r="R7" s="770" t="s">
        <v>17</v>
      </c>
      <c r="S7" s="771">
        <f t="shared" ref="S7:S15" si="0">F7</f>
        <v>0</v>
      </c>
      <c r="T7" s="770" t="s">
        <v>17</v>
      </c>
      <c r="U7" s="771">
        <f t="shared" ref="U7:U15" si="1">H7</f>
        <v>0</v>
      </c>
      <c r="V7" s="770" t="s">
        <v>17</v>
      </c>
      <c r="W7" s="771">
        <f t="shared" ref="W7:W15" si="2">J7</f>
        <v>0</v>
      </c>
      <c r="X7" s="772"/>
      <c r="Y7" s="3157" t="s">
        <v>2537</v>
      </c>
      <c r="Z7" s="3158"/>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7" t="s">
        <v>2540</v>
      </c>
      <c r="Q8" s="3158"/>
      <c r="R8" s="770" t="s">
        <v>17</v>
      </c>
      <c r="S8" s="771">
        <f t="shared" si="0"/>
        <v>0</v>
      </c>
      <c r="T8" s="770" t="s">
        <v>17</v>
      </c>
      <c r="U8" s="771">
        <f t="shared" si="1"/>
        <v>0</v>
      </c>
      <c r="V8" s="770" t="s">
        <v>17</v>
      </c>
      <c r="W8" s="771">
        <f t="shared" si="2"/>
        <v>0</v>
      </c>
      <c r="X8" s="772"/>
      <c r="Y8" s="3157" t="s">
        <v>2540</v>
      </c>
      <c r="Z8" s="3158"/>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9" t="s">
        <v>2543</v>
      </c>
      <c r="Q9" s="1797" t="str">
        <f t="shared" ref="Q9:Q15" si="6">B9</f>
        <v>用途</v>
      </c>
      <c r="R9" s="770" t="s">
        <v>17</v>
      </c>
      <c r="S9" s="771">
        <f t="shared" si="0"/>
        <v>100</v>
      </c>
      <c r="T9" s="770" t="s">
        <v>17</v>
      </c>
      <c r="U9" s="771">
        <f t="shared" si="1"/>
        <v>100</v>
      </c>
      <c r="V9" s="770" t="s">
        <v>17</v>
      </c>
      <c r="W9" s="771">
        <f t="shared" si="2"/>
        <v>100</v>
      </c>
      <c r="X9" s="772"/>
      <c r="Y9" s="302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9"/>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9"/>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9"/>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9"/>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9"/>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15">
      <c r="A15" s="440" t="s">
        <v>2547</v>
      </c>
      <c r="B15" s="69" t="s">
        <v>2641</v>
      </c>
      <c r="C15" s="260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6" t="s">
        <v>2548</v>
      </c>
      <c r="Q15" s="1812" t="str">
        <f t="shared" si="6"/>
        <v>商业繁华度</v>
      </c>
      <c r="R15" s="774" t="s">
        <v>17</v>
      </c>
      <c r="S15" s="775">
        <f t="shared" si="0"/>
        <v>100</v>
      </c>
      <c r="T15" s="774" t="s">
        <v>17</v>
      </c>
      <c r="U15" s="775">
        <f t="shared" si="1"/>
        <v>100</v>
      </c>
      <c r="V15" s="774" t="s">
        <v>17</v>
      </c>
      <c r="W15" s="775">
        <f t="shared" si="2"/>
        <v>100</v>
      </c>
      <c r="X15" s="1815"/>
      <c r="Y15" s="3189"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97"/>
      <c r="Q16" s="1812"/>
      <c r="R16" s="774"/>
      <c r="S16" s="775"/>
      <c r="T16" s="774"/>
      <c r="U16" s="775"/>
      <c r="V16" s="774"/>
      <c r="W16" s="775"/>
      <c r="X16" s="1815"/>
      <c r="Y16" s="3190"/>
      <c r="Z16" s="1816"/>
      <c r="AA16" s="1813">
        <v>1</v>
      </c>
      <c r="AB16" s="1813">
        <v>1</v>
      </c>
      <c r="AC16" s="1813">
        <v>1</v>
      </c>
    </row>
    <row r="17" spans="1:29" ht="15">
      <c r="A17" s="428"/>
      <c r="B17" s="451" t="s">
        <v>2087</v>
      </c>
      <c r="C17" s="261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7"/>
      <c r="Q17" s="1812" t="str">
        <f>B17</f>
        <v>交通便捷度</v>
      </c>
      <c r="R17" s="774" t="s">
        <v>17</v>
      </c>
      <c r="S17" s="775">
        <f>F17</f>
        <v>100</v>
      </c>
      <c r="T17" s="774" t="s">
        <v>17</v>
      </c>
      <c r="U17" s="775">
        <f>H17</f>
        <v>100</v>
      </c>
      <c r="V17" s="774" t="s">
        <v>17</v>
      </c>
      <c r="W17" s="775">
        <f>J17</f>
        <v>100</v>
      </c>
      <c r="X17" s="1815"/>
      <c r="Y17" s="3190"/>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3"/>
      <c r="M18" s="1134"/>
      <c r="N18" s="1134"/>
      <c r="O18" s="1134"/>
      <c r="P18" s="3197"/>
      <c r="Q18" s="1812"/>
      <c r="R18" s="774"/>
      <c r="S18" s="775"/>
      <c r="T18" s="774"/>
      <c r="U18" s="775"/>
      <c r="V18" s="774"/>
      <c r="W18" s="775"/>
      <c r="X18" s="1815"/>
      <c r="Y18" s="3190"/>
      <c r="Z18" s="1816"/>
      <c r="AA18" s="1813">
        <v>1</v>
      </c>
      <c r="AB18" s="1813">
        <v>1</v>
      </c>
      <c r="AC18" s="1813">
        <v>1</v>
      </c>
    </row>
    <row r="19" spans="1:29" ht="15">
      <c r="A19" s="428"/>
      <c r="B19" s="451" t="s">
        <v>2642</v>
      </c>
      <c r="C19" s="261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7"/>
      <c r="Q19" s="1812" t="str">
        <f>B19</f>
        <v>公共配套设施</v>
      </c>
      <c r="R19" s="774" t="s">
        <v>17</v>
      </c>
      <c r="S19" s="775">
        <f>F19</f>
        <v>100</v>
      </c>
      <c r="T19" s="774" t="s">
        <v>17</v>
      </c>
      <c r="U19" s="775">
        <f>H19</f>
        <v>100</v>
      </c>
      <c r="V19" s="774" t="s">
        <v>17</v>
      </c>
      <c r="W19" s="775">
        <f>J19</f>
        <v>100</v>
      </c>
      <c r="X19" s="1815"/>
      <c r="Y19" s="3190"/>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3"/>
      <c r="M20" s="1134"/>
      <c r="N20" s="1134"/>
      <c r="O20" s="1134"/>
      <c r="P20" s="3197"/>
      <c r="Q20" s="1812"/>
      <c r="R20" s="774"/>
      <c r="S20" s="775"/>
      <c r="T20" s="774"/>
      <c r="U20" s="775"/>
      <c r="V20" s="774"/>
      <c r="W20" s="775"/>
      <c r="X20" s="1815"/>
      <c r="Y20" s="3190"/>
      <c r="Z20" s="1816"/>
      <c r="AA20" s="1813">
        <v>1</v>
      </c>
      <c r="AB20" s="1813">
        <v>1</v>
      </c>
      <c r="AC20" s="1813">
        <v>1</v>
      </c>
    </row>
    <row r="21" spans="1:29" ht="15">
      <c r="A21" s="428"/>
      <c r="B21" s="1387" t="s">
        <v>2643</v>
      </c>
      <c r="C21" s="261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7"/>
      <c r="Q21" s="1812" t="str">
        <f>B21</f>
        <v>基础设施水平</v>
      </c>
      <c r="R21" s="774" t="s">
        <v>17</v>
      </c>
      <c r="S21" s="775">
        <f>F21</f>
        <v>100</v>
      </c>
      <c r="T21" s="774" t="s">
        <v>17</v>
      </c>
      <c r="U21" s="775">
        <f>H21</f>
        <v>100</v>
      </c>
      <c r="V21" s="774" t="s">
        <v>17</v>
      </c>
      <c r="W21" s="775">
        <f>J21</f>
        <v>100</v>
      </c>
      <c r="X21" s="1815"/>
      <c r="Y21" s="3190"/>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9"/>
      <c r="G22" s="447"/>
      <c r="H22" s="448"/>
      <c r="I22" s="447"/>
      <c r="J22" s="448"/>
      <c r="K22" s="1386"/>
      <c r="L22" s="1143"/>
      <c r="M22" s="1134"/>
      <c r="N22" s="1134"/>
      <c r="O22" s="1134"/>
      <c r="P22" s="3197"/>
      <c r="Q22" s="1812"/>
      <c r="R22" s="774"/>
      <c r="S22" s="775"/>
      <c r="T22" s="774"/>
      <c r="U22" s="775"/>
      <c r="V22" s="774"/>
      <c r="W22" s="775"/>
      <c r="X22" s="1815"/>
      <c r="Y22" s="3190"/>
      <c r="Z22" s="1816"/>
      <c r="AA22" s="1813">
        <v>1</v>
      </c>
      <c r="AB22" s="1813">
        <v>1</v>
      </c>
      <c r="AC22" s="1813">
        <v>1</v>
      </c>
    </row>
    <row r="23" spans="1:29" ht="15">
      <c r="A23" s="428"/>
      <c r="B23" s="451" t="s">
        <v>2090</v>
      </c>
      <c r="C23" s="2665"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7"/>
      <c r="Q23" s="1812" t="str">
        <f>B23</f>
        <v>自然及人文环境</v>
      </c>
      <c r="R23" s="774" t="s">
        <v>17</v>
      </c>
      <c r="S23" s="775">
        <f>F23</f>
        <v>100</v>
      </c>
      <c r="T23" s="774" t="s">
        <v>17</v>
      </c>
      <c r="U23" s="775">
        <f>H23</f>
        <v>100</v>
      </c>
      <c r="V23" s="774" t="s">
        <v>17</v>
      </c>
      <c r="W23" s="775">
        <f>J23</f>
        <v>100</v>
      </c>
      <c r="X23" s="1815"/>
      <c r="Y23" s="3190"/>
      <c r="Z23" s="1816" t="str">
        <f>Q23</f>
        <v>自然及人文环境</v>
      </c>
      <c r="AA23" s="1813">
        <f t="shared" si="3"/>
        <v>1</v>
      </c>
      <c r="AB23" s="1813">
        <f t="shared" si="4"/>
        <v>1</v>
      </c>
      <c r="AC23" s="1813">
        <f t="shared" si="5"/>
        <v>1</v>
      </c>
    </row>
    <row r="24" spans="1:29" ht="15">
      <c r="A24" s="428"/>
      <c r="B24" s="456"/>
      <c r="C24" s="447"/>
      <c r="D24" s="448"/>
      <c r="E24" s="2608"/>
      <c r="F24" s="449"/>
      <c r="G24" s="2607"/>
      <c r="H24" s="448"/>
      <c r="I24" s="2608"/>
      <c r="J24" s="448"/>
      <c r="K24" s="615"/>
      <c r="L24" s="1143"/>
      <c r="M24" s="1134"/>
      <c r="N24" s="1134"/>
      <c r="O24" s="1134"/>
      <c r="P24" s="3197"/>
      <c r="Q24" s="1812"/>
      <c r="R24" s="774"/>
      <c r="S24" s="775"/>
      <c r="T24" s="774"/>
      <c r="U24" s="775"/>
      <c r="V24" s="774"/>
      <c r="W24" s="775"/>
      <c r="X24" s="1815"/>
      <c r="Y24" s="3190"/>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7"/>
      <c r="Q25" s="1812" t="str">
        <f t="shared" ref="Q25:Q46" si="11">B25</f>
        <v>临街状况</v>
      </c>
      <c r="R25" s="774" t="s">
        <v>17</v>
      </c>
      <c r="S25" s="775">
        <f>F25</f>
        <v>100</v>
      </c>
      <c r="T25" s="774" t="s">
        <v>17</v>
      </c>
      <c r="U25" s="775">
        <f>H25</f>
        <v>100</v>
      </c>
      <c r="V25" s="774" t="s">
        <v>17</v>
      </c>
      <c r="W25" s="775">
        <f>J25</f>
        <v>100</v>
      </c>
      <c r="X25" s="1815"/>
      <c r="Y25" s="3190"/>
      <c r="Z25" s="1816" t="str">
        <f>Q25</f>
        <v>临街状况</v>
      </c>
      <c r="AA25" s="1813">
        <f t="shared" si="3"/>
        <v>1</v>
      </c>
      <c r="AB25" s="1813">
        <f t="shared" si="4"/>
        <v>1</v>
      </c>
      <c r="AC25" s="1813">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7"/>
      <c r="Q26" s="1812" t="str">
        <f t="shared" si="11"/>
        <v>平面位置/可视性</v>
      </c>
      <c r="R26" s="774" t="s">
        <v>17</v>
      </c>
      <c r="S26" s="775">
        <f>F26</f>
        <v>100</v>
      </c>
      <c r="T26" s="774" t="s">
        <v>17</v>
      </c>
      <c r="U26" s="775">
        <f>H26</f>
        <v>100</v>
      </c>
      <c r="V26" s="774" t="s">
        <v>17</v>
      </c>
      <c r="W26" s="775">
        <f>J26</f>
        <v>100</v>
      </c>
      <c r="X26" s="1815"/>
      <c r="Y26" s="3190"/>
      <c r="Z26" s="1816" t="str">
        <f>Q26</f>
        <v>平面位置/可视性</v>
      </c>
      <c r="AA26" s="1813">
        <f t="shared" si="3"/>
        <v>1</v>
      </c>
      <c r="AB26" s="1813">
        <f t="shared" si="4"/>
        <v>1</v>
      </c>
      <c r="AC26" s="1813">
        <f t="shared" si="5"/>
        <v>1</v>
      </c>
    </row>
    <row r="27" spans="1:29" s="117" customFormat="1" ht="15">
      <c r="A27" s="431"/>
      <c r="B27" s="451" t="s">
        <v>2646</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197"/>
      <c r="Q27" s="1797" t="str">
        <f t="shared" si="11"/>
        <v>人流量</v>
      </c>
      <c r="R27" s="770" t="s">
        <v>17</v>
      </c>
      <c r="S27" s="771">
        <f>F27</f>
        <v>100</v>
      </c>
      <c r="T27" s="770" t="s">
        <v>17</v>
      </c>
      <c r="U27" s="771">
        <f>H27</f>
        <v>100</v>
      </c>
      <c r="V27" s="770" t="s">
        <v>17</v>
      </c>
      <c r="W27" s="771">
        <f>J27</f>
        <v>100</v>
      </c>
      <c r="X27" s="772"/>
      <c r="Y27" s="3190"/>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7"/>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0"/>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7"/>
      <c r="Q29" s="1812">
        <f t="shared" si="11"/>
        <v>111</v>
      </c>
      <c r="R29" s="774" t="s">
        <v>17</v>
      </c>
      <c r="S29" s="775">
        <f t="shared" si="12"/>
        <v>100</v>
      </c>
      <c r="T29" s="774" t="s">
        <v>17</v>
      </c>
      <c r="U29" s="775">
        <f t="shared" si="13"/>
        <v>100</v>
      </c>
      <c r="V29" s="774" t="s">
        <v>17</v>
      </c>
      <c r="W29" s="775">
        <f t="shared" si="14"/>
        <v>100</v>
      </c>
      <c r="X29" s="1815"/>
      <c r="Y29" s="3190"/>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7"/>
      <c r="Q30" s="1812">
        <f t="shared" si="11"/>
        <v>111</v>
      </c>
      <c r="R30" s="774" t="s">
        <v>17</v>
      </c>
      <c r="S30" s="775">
        <f t="shared" si="12"/>
        <v>100</v>
      </c>
      <c r="T30" s="774" t="s">
        <v>17</v>
      </c>
      <c r="U30" s="775">
        <f t="shared" si="13"/>
        <v>100</v>
      </c>
      <c r="V30" s="774" t="s">
        <v>17</v>
      </c>
      <c r="W30" s="775">
        <f t="shared" si="14"/>
        <v>100</v>
      </c>
      <c r="X30" s="1815"/>
      <c r="Y30" s="3190"/>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7"/>
      <c r="Q31" s="1812">
        <f t="shared" si="11"/>
        <v>111</v>
      </c>
      <c r="R31" s="774" t="s">
        <v>17</v>
      </c>
      <c r="S31" s="775">
        <f t="shared" si="12"/>
        <v>100</v>
      </c>
      <c r="T31" s="774" t="s">
        <v>17</v>
      </c>
      <c r="U31" s="775">
        <f t="shared" si="13"/>
        <v>100</v>
      </c>
      <c r="V31" s="774" t="s">
        <v>17</v>
      </c>
      <c r="W31" s="775">
        <f t="shared" si="14"/>
        <v>100</v>
      </c>
      <c r="X31" s="1815"/>
      <c r="Y31" s="3190"/>
      <c r="Z31" s="1816">
        <f t="shared" si="15"/>
        <v>111</v>
      </c>
      <c r="AA31" s="1813">
        <f t="shared" si="3"/>
        <v>1</v>
      </c>
      <c r="AB31" s="1813">
        <f t="shared" si="4"/>
        <v>1</v>
      </c>
      <c r="AC31" s="1813">
        <f t="shared" si="5"/>
        <v>1</v>
      </c>
    </row>
    <row r="32" spans="1:29" ht="15">
      <c r="A32" s="440" t="s">
        <v>2551</v>
      </c>
      <c r="B32" s="71" t="s">
        <v>2648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91" t="s">
        <v>2553</v>
      </c>
      <c r="Q32" s="1812" t="str">
        <f t="shared" si="11"/>
        <v>商业类型</v>
      </c>
      <c r="R32" s="774" t="s">
        <v>17</v>
      </c>
      <c r="S32" s="775">
        <f t="shared" si="12"/>
        <v>100</v>
      </c>
      <c r="T32" s="774" t="s">
        <v>17</v>
      </c>
      <c r="U32" s="775">
        <f t="shared" si="13"/>
        <v>100</v>
      </c>
      <c r="V32" s="774" t="s">
        <v>17</v>
      </c>
      <c r="W32" s="775">
        <f t="shared" si="14"/>
        <v>100</v>
      </c>
      <c r="X32" s="1815"/>
      <c r="Y32" s="3194"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2"/>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13" t="e">
        <f t="shared" si="3"/>
        <v>#N/A</v>
      </c>
      <c r="AB33" s="1813" t="e">
        <f t="shared" si="4"/>
        <v>#N/A</v>
      </c>
      <c r="AC33" s="1813" t="e">
        <f t="shared" si="5"/>
        <v>#N/A</v>
      </c>
    </row>
    <row r="34" spans="1:29" ht="15">
      <c r="A34" s="472"/>
      <c r="B34" s="422" t="s">
        <v>2555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92"/>
      <c r="Q34" s="1812" t="str">
        <f t="shared" si="11"/>
        <v>建筑结构</v>
      </c>
      <c r="R34" s="774" t="s">
        <v>17</v>
      </c>
      <c r="S34" s="775">
        <f t="shared" si="12"/>
        <v>100</v>
      </c>
      <c r="T34" s="774" t="s">
        <v>17</v>
      </c>
      <c r="U34" s="775">
        <f t="shared" si="13"/>
        <v>100</v>
      </c>
      <c r="V34" s="774" t="s">
        <v>17</v>
      </c>
      <c r="W34" s="775">
        <f t="shared" si="14"/>
        <v>100</v>
      </c>
      <c r="X34" s="1815"/>
      <c r="Y34" s="3194"/>
      <c r="Z34" s="1816" t="str">
        <f t="shared" si="15"/>
        <v>建筑结构</v>
      </c>
      <c r="AA34" s="1813">
        <f t="shared" si="3"/>
        <v>1</v>
      </c>
      <c r="AB34" s="1813">
        <f t="shared" si="4"/>
        <v>1</v>
      </c>
      <c r="AC34" s="1813">
        <f t="shared" si="5"/>
        <v>1</v>
      </c>
    </row>
    <row r="35" spans="1:29" ht="15">
      <c r="A35" s="472"/>
      <c r="B35" s="422" t="s">
        <v>2649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92"/>
      <c r="Q35" s="1812" t="str">
        <f t="shared" si="11"/>
        <v>公共部分装修</v>
      </c>
      <c r="R35" s="774" t="s">
        <v>17</v>
      </c>
      <c r="S35" s="775">
        <f t="shared" si="12"/>
        <v>100</v>
      </c>
      <c r="T35" s="774" t="s">
        <v>17</v>
      </c>
      <c r="U35" s="775">
        <f t="shared" si="13"/>
        <v>100</v>
      </c>
      <c r="V35" s="774" t="s">
        <v>17</v>
      </c>
      <c r="W35" s="775">
        <f t="shared" si="14"/>
        <v>100</v>
      </c>
      <c r="X35" s="1815"/>
      <c r="Y35" s="3194"/>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2"/>
      <c r="Q36" s="1812" t="str">
        <f t="shared" si="11"/>
        <v>成新度</v>
      </c>
      <c r="R36" s="774" t="s">
        <v>17</v>
      </c>
      <c r="S36" s="775" t="e">
        <f t="shared" si="12"/>
        <v>#N/A</v>
      </c>
      <c r="T36" s="774" t="s">
        <v>17</v>
      </c>
      <c r="U36" s="775" t="e">
        <f t="shared" si="13"/>
        <v>#N/A</v>
      </c>
      <c r="V36" s="774" t="s">
        <v>17</v>
      </c>
      <c r="W36" s="775" t="e">
        <f t="shared" si="14"/>
        <v>#N/A</v>
      </c>
      <c r="X36" s="1815"/>
      <c r="Y36" s="3194"/>
      <c r="Z36" s="1816" t="str">
        <f t="shared" si="15"/>
        <v>成新度</v>
      </c>
      <c r="AA36" s="1813" t="e">
        <f t="shared" si="3"/>
        <v>#N/A</v>
      </c>
      <c r="AB36" s="1813" t="e">
        <f t="shared" si="4"/>
        <v>#N/A</v>
      </c>
      <c r="AC36" s="1813" t="e">
        <f t="shared" si="5"/>
        <v>#N/A</v>
      </c>
    </row>
    <row r="37" spans="1:29" s="117" customFormat="1" ht="15">
      <c r="A37" s="473"/>
      <c r="B37" s="422" t="s">
        <v>2651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92"/>
      <c r="Q37" s="1797"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2652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92" t="s">
        <v>2553</v>
      </c>
      <c r="Q38" s="1812" t="str">
        <f t="shared" si="11"/>
        <v>业态</v>
      </c>
      <c r="R38" s="774" t="s">
        <v>17</v>
      </c>
      <c r="S38" s="775">
        <f t="shared" si="12"/>
        <v>100</v>
      </c>
      <c r="T38" s="774" t="s">
        <v>17</v>
      </c>
      <c r="U38" s="775">
        <f t="shared" si="13"/>
        <v>100</v>
      </c>
      <c r="V38" s="774" t="s">
        <v>17</v>
      </c>
      <c r="W38" s="775">
        <f t="shared" si="14"/>
        <v>100</v>
      </c>
      <c r="X38" s="1815"/>
      <c r="Y38" s="3194" t="s">
        <v>2553</v>
      </c>
      <c r="Z38" s="1816" t="str">
        <f t="shared" si="15"/>
        <v>业态</v>
      </c>
      <c r="AA38" s="1813">
        <f t="shared" si="3"/>
        <v>1</v>
      </c>
      <c r="AB38" s="1813">
        <f t="shared" si="4"/>
        <v>1</v>
      </c>
      <c r="AC38" s="1813">
        <f t="shared" si="5"/>
        <v>1</v>
      </c>
    </row>
    <row r="39" spans="1:29" ht="15">
      <c r="A39" s="472"/>
      <c r="B39" s="422" t="s">
        <v>2653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92"/>
      <c r="Q39" s="1812" t="str">
        <f t="shared" si="11"/>
        <v>层高</v>
      </c>
      <c r="R39" s="774" t="s">
        <v>17</v>
      </c>
      <c r="S39" s="775">
        <f t="shared" si="12"/>
        <v>100</v>
      </c>
      <c r="T39" s="774" t="s">
        <v>17</v>
      </c>
      <c r="U39" s="775">
        <f t="shared" si="13"/>
        <v>100</v>
      </c>
      <c r="V39" s="774" t="s">
        <v>17</v>
      </c>
      <c r="W39" s="775">
        <f t="shared" si="14"/>
        <v>100</v>
      </c>
      <c r="X39" s="1815"/>
      <c r="Y39" s="3194"/>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2"/>
      <c r="Q40" s="1812" t="str">
        <f t="shared" si="11"/>
        <v>单套建筑面积</v>
      </c>
      <c r="R40" s="774" t="s">
        <v>17</v>
      </c>
      <c r="S40" s="775">
        <f t="shared" si="12"/>
        <v>100</v>
      </c>
      <c r="T40" s="774" t="s">
        <v>17</v>
      </c>
      <c r="U40" s="775">
        <f t="shared" si="13"/>
        <v>100</v>
      </c>
      <c r="V40" s="774" t="s">
        <v>17</v>
      </c>
      <c r="W40" s="775">
        <f t="shared" si="14"/>
        <v>100</v>
      </c>
      <c r="X40" s="1815"/>
      <c r="Y40" s="3194"/>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2"/>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13">
        <f t="shared" si="3"/>
        <v>1</v>
      </c>
      <c r="AB41" s="1813">
        <f t="shared" si="4"/>
        <v>1</v>
      </c>
      <c r="AC41" s="1813">
        <f t="shared" si="5"/>
        <v>1</v>
      </c>
    </row>
    <row r="42" spans="1:29" ht="15">
      <c r="A42" s="472"/>
      <c r="B42" s="422" t="s">
        <v>2656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92"/>
      <c r="Q42" s="1812" t="str">
        <f t="shared" si="11"/>
        <v>内部装修</v>
      </c>
      <c r="R42" s="774" t="s">
        <v>17</v>
      </c>
      <c r="S42" s="775">
        <f t="shared" si="12"/>
        <v>100</v>
      </c>
      <c r="T42" s="774" t="s">
        <v>17</v>
      </c>
      <c r="U42" s="775">
        <f t="shared" si="13"/>
        <v>100</v>
      </c>
      <c r="V42" s="774" t="s">
        <v>17</v>
      </c>
      <c r="W42" s="775">
        <f t="shared" si="14"/>
        <v>100</v>
      </c>
      <c r="X42" s="1815"/>
      <c r="Y42" s="3194"/>
      <c r="Z42" s="1816" t="str">
        <f t="shared" si="15"/>
        <v>内部装修</v>
      </c>
      <c r="AA42" s="1813">
        <f t="shared" si="3"/>
        <v>1</v>
      </c>
      <c r="AB42" s="1813">
        <f t="shared" si="4"/>
        <v>1</v>
      </c>
      <c r="AC42" s="1813">
        <f t="shared" si="5"/>
        <v>1</v>
      </c>
    </row>
    <row r="43" spans="1:29" ht="15">
      <c r="A43" s="472"/>
      <c r="B43" s="422" t="s">
        <v>2564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92"/>
      <c r="Q43" s="1812" t="str">
        <f t="shared" si="11"/>
        <v>内部装修维护情况</v>
      </c>
      <c r="R43" s="774" t="s">
        <v>17</v>
      </c>
      <c r="S43" s="775">
        <f t="shared" si="12"/>
        <v>100</v>
      </c>
      <c r="T43" s="774" t="s">
        <v>17</v>
      </c>
      <c r="U43" s="775">
        <f t="shared" si="13"/>
        <v>100</v>
      </c>
      <c r="V43" s="774" t="s">
        <v>17</v>
      </c>
      <c r="W43" s="775">
        <f t="shared" si="14"/>
        <v>100</v>
      </c>
      <c r="X43" s="1815"/>
      <c r="Y43" s="3194"/>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2"/>
      <c r="Q44" s="1797">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2"/>
      <c r="Q45" s="1812">
        <f t="shared" si="11"/>
        <v>111</v>
      </c>
      <c r="R45" s="774" t="s">
        <v>17</v>
      </c>
      <c r="S45" s="775">
        <f t="shared" si="12"/>
        <v>100</v>
      </c>
      <c r="T45" s="774" t="s">
        <v>17</v>
      </c>
      <c r="U45" s="775">
        <f t="shared" si="13"/>
        <v>100</v>
      </c>
      <c r="V45" s="774" t="s">
        <v>17</v>
      </c>
      <c r="W45" s="775">
        <f t="shared" si="14"/>
        <v>100</v>
      </c>
      <c r="X45" s="1815"/>
      <c r="Y45" s="3194"/>
      <c r="Z45" s="1816">
        <f t="shared" si="15"/>
        <v>111</v>
      </c>
      <c r="AA45" s="1813">
        <f t="shared" si="3"/>
        <v>1</v>
      </c>
      <c r="AB45" s="1813">
        <f t="shared" si="4"/>
        <v>1</v>
      </c>
      <c r="AC45" s="1813">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3"/>
      <c r="Q46" s="1812">
        <f t="shared" si="11"/>
        <v>111</v>
      </c>
      <c r="R46" s="774" t="s">
        <v>17</v>
      </c>
      <c r="S46" s="775">
        <f t="shared" si="12"/>
        <v>100</v>
      </c>
      <c r="T46" s="774" t="s">
        <v>17</v>
      </c>
      <c r="U46" s="775">
        <f t="shared" si="13"/>
        <v>100</v>
      </c>
      <c r="V46" s="774" t="s">
        <v>17</v>
      </c>
      <c r="W46" s="775">
        <f t="shared" si="14"/>
        <v>100</v>
      </c>
      <c r="X46" s="1815"/>
      <c r="Y46" s="3195"/>
      <c r="Z46" s="1816">
        <f t="shared" si="15"/>
        <v>111</v>
      </c>
      <c r="AA46" s="1813">
        <f t="shared" si="3"/>
        <v>1</v>
      </c>
      <c r="AB46" s="1813">
        <f t="shared" si="4"/>
        <v>1</v>
      </c>
      <c r="AC46" s="1813">
        <f t="shared" si="5"/>
        <v>1</v>
      </c>
    </row>
    <row r="47" spans="1:29" ht="15">
      <c r="A47" s="479" t="s">
        <v>2565</v>
      </c>
      <c r="B47" s="480"/>
      <c r="C47" s="1410" t="s">
        <v>1</v>
      </c>
      <c r="D47" s="1411"/>
      <c r="E47" s="1412"/>
      <c r="F47" s="1413"/>
      <c r="G47" s="1414"/>
      <c r="H47" s="1415"/>
      <c r="I47" s="1412"/>
      <c r="J47" s="1415"/>
      <c r="K47" s="783"/>
      <c r="L47" s="1146"/>
      <c r="M47" s="1147"/>
      <c r="N47" s="1134"/>
      <c r="O47" s="1147"/>
      <c r="P47" s="3187" t="str">
        <f>A47</f>
        <v>成交单价（元/平方米）</v>
      </c>
      <c r="Q47" s="3187"/>
      <c r="R47" s="3182">
        <f>E47</f>
        <v>0</v>
      </c>
      <c r="S47" s="3182"/>
      <c r="T47" s="3182">
        <f>G47</f>
        <v>0</v>
      </c>
      <c r="U47" s="3182"/>
      <c r="V47" s="3182">
        <f>I47</f>
        <v>0</v>
      </c>
      <c r="W47" s="3182"/>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84" t="str">
        <f>A49</f>
        <v>估价对象XX用房的比较价值（楼面单价，元/平方米）</v>
      </c>
      <c r="Q49" s="3185"/>
      <c r="R49" s="3186" t="e">
        <f>IF(F1="售价",ROUND(AVERAGE(R48:V48),0),ROUND(AVERAGE(R48:V48),1))</f>
        <v>#DIV/0!</v>
      </c>
      <c r="S49" s="3186"/>
      <c r="T49" s="3186"/>
      <c r="U49" s="3186"/>
      <c r="V49" s="3186"/>
      <c r="W49" s="318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2536</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2573</v>
      </c>
      <c r="B60" s="516"/>
      <c r="C60" s="517"/>
      <c r="D60" s="518"/>
      <c r="E60" s="518"/>
      <c r="F60" s="518"/>
      <c r="G60" s="518"/>
      <c r="H60" s="518"/>
      <c r="I60" s="518"/>
      <c r="J60" s="518"/>
      <c r="K60" s="518"/>
      <c r="L60" s="518"/>
      <c r="M60" s="519"/>
      <c r="N60" s="518"/>
      <c r="O60" s="519"/>
      <c r="P60" s="2629"/>
      <c r="Q60" s="504"/>
    </row>
    <row r="61" spans="1:29" s="117" customFormat="1" ht="15">
      <c r="A61" s="521" t="s">
        <v>2538</v>
      </c>
      <c r="B61" s="510"/>
      <c r="C61" s="522" t="s">
        <v>2640</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2576</v>
      </c>
      <c r="B63" s="528" t="s">
        <v>2542</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2668</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2551</v>
      </c>
      <c r="B100" s="528" t="s">
        <v>2669</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2602</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2604</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2670</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2671</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2672</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2608</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0" t="s">
        <v>2674</v>
      </c>
      <c r="C1" s="1623" t="s">
        <v>2518</v>
      </c>
      <c r="D1" s="1624"/>
      <c r="E1" s="1633"/>
      <c r="F1" s="2588"/>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90"/>
      <c r="D2" s="1368" t="e">
        <f ca="1">SUMIF(INDIRECT("'"&amp;F2&amp;"'"&amp;"!A:A"),"承租人权益价值",INDIRECT("'"&amp;F2&amp;"'"&amp;"!c:c"))</f>
        <v>#REF!</v>
      </c>
      <c r="E2" s="2591" t="s">
        <v>2316</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124.73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70" t="s">
        <v>2634</v>
      </c>
      <c r="D4" s="3171"/>
      <c r="E4" s="3172" t="s">
        <v>2635</v>
      </c>
      <c r="F4" s="3173"/>
      <c r="G4" s="3170" t="s">
        <v>2636</v>
      </c>
      <c r="H4" s="3171"/>
      <c r="I4" s="3170" t="s">
        <v>2637</v>
      </c>
      <c r="J4" s="3171"/>
      <c r="K4" s="610" t="s">
        <v>2638</v>
      </c>
      <c r="L4" s="1133"/>
      <c r="M4" s="1134"/>
      <c r="N4" s="1134"/>
      <c r="O4" s="1134"/>
      <c r="P4" s="3229" t="s">
        <v>2639</v>
      </c>
      <c r="Q4" s="3230"/>
      <c r="R4" s="3224" t="s">
        <v>2635</v>
      </c>
      <c r="S4" s="3225"/>
      <c r="T4" s="3224" t="s">
        <v>2636</v>
      </c>
      <c r="U4" s="3225"/>
      <c r="V4" s="3233" t="s">
        <v>2637</v>
      </c>
      <c r="W4" s="3233"/>
      <c r="X4" s="2671"/>
      <c r="Y4" s="3224" t="s">
        <v>2639</v>
      </c>
      <c r="Z4" s="3225"/>
      <c r="AA4" s="3223" t="s">
        <v>2635</v>
      </c>
      <c r="AB4" s="3223" t="s">
        <v>2636</v>
      </c>
      <c r="AC4" s="3226" t="s">
        <v>2637</v>
      </c>
    </row>
    <row r="5" spans="1:29" ht="15">
      <c r="A5" s="404"/>
      <c r="B5" s="405"/>
      <c r="C5" s="3222" t="s">
        <v>2530</v>
      </c>
      <c r="D5" s="3164"/>
      <c r="E5" s="3220" t="s">
        <v>2531</v>
      </c>
      <c r="F5" s="3221"/>
      <c r="G5" s="3222" t="s">
        <v>2532</v>
      </c>
      <c r="H5" s="3164"/>
      <c r="I5" s="3222" t="s">
        <v>2533</v>
      </c>
      <c r="J5" s="3164"/>
      <c r="K5" s="610"/>
      <c r="L5" s="1133"/>
      <c r="M5" s="1134"/>
      <c r="N5" s="1134"/>
      <c r="O5" s="1134"/>
      <c r="P5" s="3231"/>
      <c r="Q5" s="3177"/>
      <c r="R5" s="3161"/>
      <c r="S5" s="3162"/>
      <c r="T5" s="3161"/>
      <c r="U5" s="3162"/>
      <c r="V5" s="3182"/>
      <c r="W5" s="3182"/>
      <c r="X5" s="1815"/>
      <c r="Y5" s="3161"/>
      <c r="Z5" s="3162"/>
      <c r="AA5" s="3155"/>
      <c r="AB5" s="3155"/>
      <c r="AC5" s="3227"/>
    </row>
    <row r="6" spans="1:29" ht="15.75" thickBot="1">
      <c r="A6" s="406"/>
      <c r="B6" s="407"/>
      <c r="C6" s="3165" t="s">
        <v>2534</v>
      </c>
      <c r="D6" s="3166"/>
      <c r="E6" s="3167" t="s">
        <v>2534</v>
      </c>
      <c r="F6" s="3168"/>
      <c r="G6" s="3165" t="s">
        <v>2534</v>
      </c>
      <c r="H6" s="3166"/>
      <c r="I6" s="3165" t="s">
        <v>2534</v>
      </c>
      <c r="J6" s="3166"/>
      <c r="K6" s="610" t="s">
        <v>2535</v>
      </c>
      <c r="L6" s="1133"/>
      <c r="M6" s="1134"/>
      <c r="N6" s="1134"/>
      <c r="O6" s="1134"/>
      <c r="P6" s="3232"/>
      <c r="Q6" s="3179"/>
      <c r="R6" s="3161"/>
      <c r="S6" s="3162"/>
      <c r="T6" s="3180"/>
      <c r="U6" s="3181"/>
      <c r="V6" s="3182"/>
      <c r="W6" s="3182"/>
      <c r="X6" s="1815"/>
      <c r="Y6" s="3180"/>
      <c r="Z6" s="3181"/>
      <c r="AA6" s="3156"/>
      <c r="AB6" s="3156"/>
      <c r="AC6" s="3228"/>
    </row>
    <row r="7" spans="1:29" s="117" customFormat="1" ht="15.75" thickBot="1">
      <c r="A7" s="408" t="s">
        <v>2536</v>
      </c>
      <c r="B7" s="409"/>
      <c r="C7" s="410">
        <f>'数据-取费表'!B2</f>
        <v>43217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4" t="s">
        <v>2537</v>
      </c>
      <c r="Q7" s="3183"/>
      <c r="R7" s="770" t="s">
        <v>17</v>
      </c>
      <c r="S7" s="771">
        <f t="shared" ref="S7:S15" si="0">F7</f>
        <v>0</v>
      </c>
      <c r="T7" s="770" t="s">
        <v>17</v>
      </c>
      <c r="U7" s="771">
        <f t="shared" ref="U7:U15" si="1">H7</f>
        <v>0</v>
      </c>
      <c r="V7" s="770" t="s">
        <v>17</v>
      </c>
      <c r="W7" s="771">
        <f t="shared" ref="W7:W15" si="2">J7</f>
        <v>0</v>
      </c>
      <c r="X7" s="772"/>
      <c r="Y7" s="3157" t="s">
        <v>2537</v>
      </c>
      <c r="Z7" s="3158"/>
      <c r="AA7" s="773" t="e">
        <f>D7/F7</f>
        <v>#DIV/0!</v>
      </c>
      <c r="AB7" s="773" t="e">
        <f>D7/H7</f>
        <v>#DIV/0!</v>
      </c>
      <c r="AC7" s="2672"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4" t="s">
        <v>2540</v>
      </c>
      <c r="Q8" s="3158"/>
      <c r="R8" s="770" t="s">
        <v>17</v>
      </c>
      <c r="S8" s="771">
        <f t="shared" si="0"/>
        <v>0</v>
      </c>
      <c r="T8" s="770" t="s">
        <v>17</v>
      </c>
      <c r="U8" s="771">
        <f t="shared" si="1"/>
        <v>0</v>
      </c>
      <c r="V8" s="770" t="s">
        <v>17</v>
      </c>
      <c r="W8" s="771">
        <f t="shared" si="2"/>
        <v>0</v>
      </c>
      <c r="X8" s="772"/>
      <c r="Y8" s="3157" t="s">
        <v>2540</v>
      </c>
      <c r="Z8" s="3158"/>
      <c r="AA8" s="773" t="e">
        <f t="shared" ref="AA8:AA47" si="3">D8/F8</f>
        <v>#DIV/0!</v>
      </c>
      <c r="AB8" s="773" t="e">
        <f t="shared" ref="AB8:AB47" si="4">D8/H8</f>
        <v>#DIV/0!</v>
      </c>
      <c r="AC8" s="2672"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9" t="s">
        <v>2543</v>
      </c>
      <c r="Q9" s="1797" t="str">
        <f t="shared" ref="Q9:Q15" si="6">B9</f>
        <v>用途</v>
      </c>
      <c r="R9" s="770" t="s">
        <v>17</v>
      </c>
      <c r="S9" s="771">
        <f t="shared" si="0"/>
        <v>100</v>
      </c>
      <c r="T9" s="770" t="s">
        <v>17</v>
      </c>
      <c r="U9" s="771">
        <f t="shared" si="1"/>
        <v>100</v>
      </c>
      <c r="V9" s="770" t="s">
        <v>17</v>
      </c>
      <c r="W9" s="771">
        <f t="shared" si="2"/>
        <v>100</v>
      </c>
      <c r="X9" s="772"/>
      <c r="Y9" s="3026" t="s">
        <v>2544</v>
      </c>
      <c r="Z9" s="55" t="str">
        <f t="shared" ref="Z9:Z15" si="7">Q9</f>
        <v>用途</v>
      </c>
      <c r="AA9" s="773">
        <f t="shared" si="3"/>
        <v>1</v>
      </c>
      <c r="AB9" s="773">
        <f t="shared" si="4"/>
        <v>1</v>
      </c>
      <c r="AC9" s="2672">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9"/>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2">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9"/>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2" t="e">
        <f t="shared" si="5"/>
        <v>#N/A</v>
      </c>
    </row>
    <row r="12" spans="1:29" s="117" customFormat="1" ht="15">
      <c r="A12" s="431"/>
      <c r="B12" s="2603">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69"/>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2">
        <f>D12/J12</f>
        <v>1</v>
      </c>
    </row>
    <row r="13" spans="1:29" ht="15">
      <c r="A13" s="428"/>
      <c r="B13" s="2603">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69"/>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2">
        <f t="shared" si="5"/>
        <v>1</v>
      </c>
    </row>
    <row r="14" spans="1:29" ht="15.75" thickBot="1">
      <c r="A14" s="436"/>
      <c r="B14" s="2605">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69"/>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2">
        <f t="shared" si="5"/>
        <v>1</v>
      </c>
    </row>
    <row r="15" spans="1:29" ht="15">
      <c r="A15" s="440" t="s">
        <v>2547</v>
      </c>
      <c r="B15" s="629" t="s">
        <v>2675</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6" t="s">
        <v>2548</v>
      </c>
      <c r="Q15" s="1812" t="str">
        <f t="shared" si="6"/>
        <v>办公集聚程度</v>
      </c>
      <c r="R15" s="774" t="s">
        <v>17</v>
      </c>
      <c r="S15" s="775">
        <f t="shared" si="0"/>
        <v>100</v>
      </c>
      <c r="T15" s="774" t="s">
        <v>17</v>
      </c>
      <c r="U15" s="775">
        <f t="shared" si="1"/>
        <v>100</v>
      </c>
      <c r="V15" s="774" t="s">
        <v>17</v>
      </c>
      <c r="W15" s="775">
        <f t="shared" si="2"/>
        <v>100</v>
      </c>
      <c r="X15" s="1815"/>
      <c r="Y15" s="3189" t="s">
        <v>2548</v>
      </c>
      <c r="Z15" s="1816" t="str">
        <f t="shared" si="7"/>
        <v>办公集聚程度</v>
      </c>
      <c r="AA15" s="1813">
        <f t="shared" si="3"/>
        <v>1</v>
      </c>
      <c r="AB15" s="1813">
        <f t="shared" si="4"/>
        <v>1</v>
      </c>
      <c r="AC15" s="2675">
        <f t="shared" si="5"/>
        <v>1</v>
      </c>
    </row>
    <row r="16" spans="1:29" ht="15">
      <c r="A16" s="428"/>
      <c r="B16" s="630"/>
      <c r="C16" s="2614"/>
      <c r="D16" s="448"/>
      <c r="E16" s="447"/>
      <c r="F16" s="448"/>
      <c r="G16" s="2614"/>
      <c r="H16" s="450"/>
      <c r="I16" s="447"/>
      <c r="J16" s="448"/>
      <c r="K16" s="615"/>
      <c r="L16" s="1143"/>
      <c r="M16" s="1134"/>
      <c r="N16" s="1134"/>
      <c r="O16" s="1134"/>
      <c r="P16" s="3197"/>
      <c r="Q16" s="1812"/>
      <c r="R16" s="774"/>
      <c r="S16" s="775"/>
      <c r="T16" s="774"/>
      <c r="U16" s="775"/>
      <c r="V16" s="774"/>
      <c r="W16" s="775"/>
      <c r="X16" s="1815"/>
      <c r="Y16" s="3190"/>
      <c r="Z16" s="1816"/>
      <c r="AA16" s="1813">
        <v>1</v>
      </c>
      <c r="AB16" s="1813">
        <v>1</v>
      </c>
      <c r="AC16" s="2675">
        <v>1</v>
      </c>
    </row>
    <row r="17" spans="1:29" ht="15">
      <c r="A17" s="428"/>
      <c r="B17" s="631" t="s">
        <v>2087</v>
      </c>
      <c r="C17" s="2676"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7"/>
      <c r="Q17" s="1812" t="str">
        <f>B17</f>
        <v>交通便捷度</v>
      </c>
      <c r="R17" s="774" t="s">
        <v>17</v>
      </c>
      <c r="S17" s="775">
        <f>F17</f>
        <v>100</v>
      </c>
      <c r="T17" s="774" t="s">
        <v>17</v>
      </c>
      <c r="U17" s="775">
        <f>H17</f>
        <v>100</v>
      </c>
      <c r="V17" s="774" t="s">
        <v>17</v>
      </c>
      <c r="W17" s="775">
        <f>J17</f>
        <v>100</v>
      </c>
      <c r="X17" s="1815"/>
      <c r="Y17" s="3190"/>
      <c r="Z17" s="1816" t="str">
        <f>Q17</f>
        <v>交通便捷度</v>
      </c>
      <c r="AA17" s="1813">
        <f t="shared" si="3"/>
        <v>1</v>
      </c>
      <c r="AB17" s="1813">
        <f t="shared" si="4"/>
        <v>1</v>
      </c>
      <c r="AC17" s="2675">
        <f t="shared" si="5"/>
        <v>1</v>
      </c>
    </row>
    <row r="18" spans="1:29" ht="15">
      <c r="A18" s="428"/>
      <c r="B18" s="632"/>
      <c r="C18" s="2677"/>
      <c r="D18" s="450"/>
      <c r="E18" s="2612"/>
      <c r="F18" s="450"/>
      <c r="G18" s="2613"/>
      <c r="H18" s="448"/>
      <c r="I18" s="2613"/>
      <c r="J18" s="448"/>
      <c r="K18" s="615"/>
      <c r="L18" s="1143"/>
      <c r="M18" s="1134"/>
      <c r="N18" s="1134"/>
      <c r="O18" s="1134"/>
      <c r="P18" s="3197"/>
      <c r="Q18" s="1812"/>
      <c r="R18" s="774"/>
      <c r="S18" s="775"/>
      <c r="T18" s="774"/>
      <c r="U18" s="775"/>
      <c r="V18" s="774"/>
      <c r="W18" s="775"/>
      <c r="X18" s="1815"/>
      <c r="Y18" s="3190"/>
      <c r="Z18" s="1816"/>
      <c r="AA18" s="1813">
        <v>1</v>
      </c>
      <c r="AB18" s="1813">
        <v>1</v>
      </c>
      <c r="AC18" s="2675">
        <v>1</v>
      </c>
    </row>
    <row r="19" spans="1:29" ht="15">
      <c r="A19" s="428"/>
      <c r="B19" s="631" t="s">
        <v>2676</v>
      </c>
      <c r="C19" s="2676"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7"/>
      <c r="Q19" s="1812" t="str">
        <f>B19</f>
        <v>公共配套设施</v>
      </c>
      <c r="R19" s="774" t="s">
        <v>17</v>
      </c>
      <c r="S19" s="775">
        <f>F19</f>
        <v>100</v>
      </c>
      <c r="T19" s="774" t="s">
        <v>17</v>
      </c>
      <c r="U19" s="775">
        <f>H19</f>
        <v>100</v>
      </c>
      <c r="V19" s="774" t="s">
        <v>17</v>
      </c>
      <c r="W19" s="775">
        <f>J19</f>
        <v>100</v>
      </c>
      <c r="X19" s="1815"/>
      <c r="Y19" s="3190"/>
      <c r="Z19" s="1816" t="str">
        <f>Q19</f>
        <v>公共配套设施</v>
      </c>
      <c r="AA19" s="1813">
        <f t="shared" si="3"/>
        <v>1</v>
      </c>
      <c r="AB19" s="1813">
        <f t="shared" si="4"/>
        <v>1</v>
      </c>
      <c r="AC19" s="2675">
        <f t="shared" si="5"/>
        <v>1</v>
      </c>
    </row>
    <row r="20" spans="1:29" ht="15">
      <c r="A20" s="428"/>
      <c r="B20" s="632"/>
      <c r="C20" s="2614"/>
      <c r="D20" s="448"/>
      <c r="E20" s="2607"/>
      <c r="F20" s="448"/>
      <c r="G20" s="2608"/>
      <c r="H20" s="448"/>
      <c r="I20" s="2608"/>
      <c r="J20" s="448"/>
      <c r="K20" s="615"/>
      <c r="L20" s="1143"/>
      <c r="M20" s="1134"/>
      <c r="N20" s="1134"/>
      <c r="O20" s="1134"/>
      <c r="P20" s="3197"/>
      <c r="Q20" s="1812"/>
      <c r="R20" s="774"/>
      <c r="S20" s="775"/>
      <c r="T20" s="774"/>
      <c r="U20" s="775"/>
      <c r="V20" s="774"/>
      <c r="W20" s="775"/>
      <c r="X20" s="1815"/>
      <c r="Y20" s="3190"/>
      <c r="Z20" s="1816"/>
      <c r="AA20" s="1813">
        <v>1</v>
      </c>
      <c r="AB20" s="1813">
        <v>1</v>
      </c>
      <c r="AC20" s="2675">
        <v>1</v>
      </c>
    </row>
    <row r="21" spans="1:29" ht="15">
      <c r="A21" s="428"/>
      <c r="B21" s="633" t="s">
        <v>2677</v>
      </c>
      <c r="C21" s="2676"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7"/>
      <c r="Q21" s="1812" t="str">
        <f>B21</f>
        <v>基础设施水平</v>
      </c>
      <c r="R21" s="774" t="s">
        <v>17</v>
      </c>
      <c r="S21" s="775">
        <f>F21</f>
        <v>100</v>
      </c>
      <c r="T21" s="774" t="s">
        <v>17</v>
      </c>
      <c r="U21" s="775">
        <f>H21</f>
        <v>100</v>
      </c>
      <c r="V21" s="774" t="s">
        <v>17</v>
      </c>
      <c r="W21" s="775">
        <f>J21</f>
        <v>100</v>
      </c>
      <c r="X21" s="1815"/>
      <c r="Y21" s="3190"/>
      <c r="Z21" s="1816" t="str">
        <f>Q21</f>
        <v>基础设施水平</v>
      </c>
      <c r="AA21" s="1813">
        <f t="shared" ref="AA21" si="8">D21/F21</f>
        <v>1</v>
      </c>
      <c r="AB21" s="1813">
        <f t="shared" ref="AB21" si="9">D21/H21</f>
        <v>1</v>
      </c>
      <c r="AC21" s="2675">
        <f t="shared" ref="AC21" si="10">D21/J21</f>
        <v>1</v>
      </c>
    </row>
    <row r="22" spans="1:29" ht="15">
      <c r="A22" s="428"/>
      <c r="B22" s="633"/>
      <c r="C22" s="2677"/>
      <c r="D22" s="448"/>
      <c r="E22" s="447"/>
      <c r="F22" s="448"/>
      <c r="G22" s="2614"/>
      <c r="H22" s="448"/>
      <c r="I22" s="2614"/>
      <c r="J22" s="448"/>
      <c r="K22" s="1386"/>
      <c r="L22" s="1143"/>
      <c r="M22" s="1134"/>
      <c r="N22" s="1134"/>
      <c r="O22" s="1134"/>
      <c r="P22" s="3197"/>
      <c r="Q22" s="1812"/>
      <c r="R22" s="774"/>
      <c r="S22" s="775"/>
      <c r="T22" s="774"/>
      <c r="U22" s="775"/>
      <c r="V22" s="774"/>
      <c r="W22" s="775"/>
      <c r="X22" s="1815"/>
      <c r="Y22" s="3190"/>
      <c r="Z22" s="1816"/>
      <c r="AA22" s="1813">
        <v>1</v>
      </c>
      <c r="AB22" s="1813">
        <v>1</v>
      </c>
      <c r="AC22" s="2675">
        <v>1</v>
      </c>
    </row>
    <row r="23" spans="1:29" ht="15">
      <c r="A23" s="428"/>
      <c r="B23" s="631" t="s">
        <v>2678</v>
      </c>
      <c r="C23" s="2676"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7"/>
      <c r="Q23" s="1812" t="str">
        <f>B23</f>
        <v>环境质量</v>
      </c>
      <c r="R23" s="774" t="s">
        <v>17</v>
      </c>
      <c r="S23" s="775">
        <f>F23</f>
        <v>100</v>
      </c>
      <c r="T23" s="774" t="s">
        <v>17</v>
      </c>
      <c r="U23" s="775">
        <f>H23</f>
        <v>100</v>
      </c>
      <c r="V23" s="774" t="s">
        <v>17</v>
      </c>
      <c r="W23" s="775">
        <f>J23</f>
        <v>100</v>
      </c>
      <c r="X23" s="1815"/>
      <c r="Y23" s="3190"/>
      <c r="Z23" s="1816" t="str">
        <f>Q23</f>
        <v>环境质量</v>
      </c>
      <c r="AA23" s="1813">
        <f t="shared" si="3"/>
        <v>1</v>
      </c>
      <c r="AB23" s="1813">
        <f t="shared" si="4"/>
        <v>1</v>
      </c>
      <c r="AC23" s="2675">
        <f t="shared" si="5"/>
        <v>1</v>
      </c>
    </row>
    <row r="24" spans="1:29" ht="15">
      <c r="A24" s="428"/>
      <c r="B24" s="633"/>
      <c r="C24" s="2614"/>
      <c r="D24" s="448"/>
      <c r="E24" s="2607"/>
      <c r="F24" s="448"/>
      <c r="G24" s="2608"/>
      <c r="H24" s="448"/>
      <c r="I24" s="2608"/>
      <c r="J24" s="448"/>
      <c r="K24" s="615"/>
      <c r="L24" s="1143"/>
      <c r="M24" s="1134"/>
      <c r="N24" s="1134"/>
      <c r="O24" s="1134"/>
      <c r="P24" s="3197"/>
      <c r="Q24" s="1812"/>
      <c r="R24" s="774"/>
      <c r="S24" s="775"/>
      <c r="T24" s="774"/>
      <c r="U24" s="775"/>
      <c r="V24" s="774"/>
      <c r="W24" s="775"/>
      <c r="X24" s="1815"/>
      <c r="Y24" s="3190"/>
      <c r="Z24" s="1816"/>
      <c r="AA24" s="1813">
        <v>1</v>
      </c>
      <c r="AB24" s="1813">
        <v>1</v>
      </c>
      <c r="AC24" s="2675">
        <v>1</v>
      </c>
    </row>
    <row r="25" spans="1:29" ht="27">
      <c r="A25" s="404"/>
      <c r="B25" s="631" t="s">
        <v>2679</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197"/>
      <c r="Q25" s="1812" t="str">
        <f>B25</f>
        <v>毗邻道路的类型与等级</v>
      </c>
      <c r="R25" s="774" t="s">
        <v>17</v>
      </c>
      <c r="S25" s="775">
        <f>F25</f>
        <v>100</v>
      </c>
      <c r="T25" s="774" t="s">
        <v>17</v>
      </c>
      <c r="U25" s="775">
        <f>H25</f>
        <v>100</v>
      </c>
      <c r="V25" s="774" t="s">
        <v>17</v>
      </c>
      <c r="W25" s="775">
        <f>J25</f>
        <v>100</v>
      </c>
      <c r="X25" s="1815"/>
      <c r="Y25" s="3190"/>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197"/>
      <c r="Q26" s="1812"/>
      <c r="R26" s="774"/>
      <c r="S26" s="775"/>
      <c r="T26" s="774"/>
      <c r="U26" s="775"/>
      <c r="V26" s="774"/>
      <c r="W26" s="775"/>
      <c r="X26" s="1815"/>
      <c r="Y26" s="3190"/>
      <c r="Z26" s="1816"/>
      <c r="AA26" s="1813">
        <v>1</v>
      </c>
      <c r="AB26" s="1813">
        <v>1</v>
      </c>
      <c r="AC26" s="2675">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7"/>
      <c r="Q27" s="1812" t="str">
        <f t="shared" ref="Q27:Q47" si="11">B27</f>
        <v>楼层</v>
      </c>
      <c r="R27" s="774" t="s">
        <v>17</v>
      </c>
      <c r="S27" s="775">
        <f>F27</f>
        <v>100</v>
      </c>
      <c r="T27" s="774" t="s">
        <v>17</v>
      </c>
      <c r="U27" s="775">
        <f>H27</f>
        <v>100</v>
      </c>
      <c r="V27" s="774" t="s">
        <v>17</v>
      </c>
      <c r="W27" s="775">
        <f>J27</f>
        <v>100</v>
      </c>
      <c r="X27" s="1815"/>
      <c r="Y27" s="3190"/>
      <c r="Z27" s="1816" t="str">
        <f>Q27</f>
        <v>楼层</v>
      </c>
      <c r="AA27" s="1813">
        <f t="shared" si="3"/>
        <v>1</v>
      </c>
      <c r="AB27" s="1813">
        <f t="shared" si="4"/>
        <v>1</v>
      </c>
      <c r="AC27" s="2675">
        <f t="shared" si="5"/>
        <v>1</v>
      </c>
    </row>
    <row r="28" spans="1:29" s="117" customFormat="1" ht="15">
      <c r="A28" s="431"/>
      <c r="B28" s="631" t="s">
        <v>2680</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97"/>
      <c r="Q28" s="1797" t="str">
        <f t="shared" si="11"/>
        <v>朝向</v>
      </c>
      <c r="R28" s="770" t="s">
        <v>17</v>
      </c>
      <c r="S28" s="771">
        <f>F28</f>
        <v>100</v>
      </c>
      <c r="T28" s="770" t="s">
        <v>17</v>
      </c>
      <c r="U28" s="771">
        <f>H28</f>
        <v>100</v>
      </c>
      <c r="V28" s="770" t="s">
        <v>17</v>
      </c>
      <c r="W28" s="771">
        <f>J28</f>
        <v>100</v>
      </c>
      <c r="X28" s="772"/>
      <c r="Y28" s="3190"/>
      <c r="Z28" s="55" t="str">
        <f>Q28</f>
        <v>朝向</v>
      </c>
      <c r="AA28" s="1813">
        <f>D28/F28</f>
        <v>1</v>
      </c>
      <c r="AB28" s="1813">
        <f>D28/H28</f>
        <v>1</v>
      </c>
      <c r="AC28" s="2675">
        <f>D28/J28</f>
        <v>1</v>
      </c>
    </row>
    <row r="29" spans="1:29" ht="15">
      <c r="A29" s="428"/>
      <c r="B29" s="2679">
        <v>111</v>
      </c>
      <c r="C29" s="2618"/>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97"/>
      <c r="Q29" s="1812">
        <f t="shared" si="11"/>
        <v>111</v>
      </c>
      <c r="R29" s="774" t="s">
        <v>17</v>
      </c>
      <c r="S29" s="775">
        <f t="shared" ref="S29:S47" si="12">F29</f>
        <v>100</v>
      </c>
      <c r="T29" s="774" t="s">
        <v>17</v>
      </c>
      <c r="U29" s="775">
        <f t="shared" ref="U29:U47" si="13">H29</f>
        <v>100</v>
      </c>
      <c r="V29" s="774" t="s">
        <v>17</v>
      </c>
      <c r="W29" s="775">
        <f t="shared" ref="W29:W47" si="14">J29</f>
        <v>100</v>
      </c>
      <c r="X29" s="1815"/>
      <c r="Y29" s="3190"/>
      <c r="Z29" s="1816">
        <f t="shared" ref="Z29:Z47" si="15">Q29</f>
        <v>111</v>
      </c>
      <c r="AA29" s="1813">
        <f t="shared" si="3"/>
        <v>1</v>
      </c>
      <c r="AB29" s="1813">
        <f t="shared" si="4"/>
        <v>1</v>
      </c>
      <c r="AC29" s="2675">
        <f t="shared" si="5"/>
        <v>1</v>
      </c>
    </row>
    <row r="30" spans="1:29" ht="15">
      <c r="A30" s="428"/>
      <c r="B30" s="2679">
        <v>111</v>
      </c>
      <c r="C30" s="2618"/>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97"/>
      <c r="Q30" s="1812">
        <f t="shared" si="11"/>
        <v>111</v>
      </c>
      <c r="R30" s="774" t="s">
        <v>17</v>
      </c>
      <c r="S30" s="775">
        <f t="shared" si="12"/>
        <v>100</v>
      </c>
      <c r="T30" s="774" t="s">
        <v>17</v>
      </c>
      <c r="U30" s="775">
        <f t="shared" si="13"/>
        <v>100</v>
      </c>
      <c r="V30" s="774" t="s">
        <v>17</v>
      </c>
      <c r="W30" s="775">
        <f t="shared" si="14"/>
        <v>100</v>
      </c>
      <c r="X30" s="1815"/>
      <c r="Y30" s="3190"/>
      <c r="Z30" s="1816">
        <f t="shared" si="15"/>
        <v>111</v>
      </c>
      <c r="AA30" s="1813">
        <f t="shared" si="3"/>
        <v>1</v>
      </c>
      <c r="AB30" s="1813">
        <f t="shared" si="4"/>
        <v>1</v>
      </c>
      <c r="AC30" s="2675">
        <f t="shared" si="5"/>
        <v>1</v>
      </c>
    </row>
    <row r="31" spans="1:29" ht="15">
      <c r="A31" s="428"/>
      <c r="B31" s="2679">
        <v>111</v>
      </c>
      <c r="C31" s="2618"/>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97"/>
      <c r="Q31" s="1812">
        <f t="shared" si="11"/>
        <v>111</v>
      </c>
      <c r="R31" s="774" t="s">
        <v>17</v>
      </c>
      <c r="S31" s="775">
        <f t="shared" si="12"/>
        <v>100</v>
      </c>
      <c r="T31" s="774" t="s">
        <v>17</v>
      </c>
      <c r="U31" s="775">
        <f t="shared" si="13"/>
        <v>100</v>
      </c>
      <c r="V31" s="774" t="s">
        <v>17</v>
      </c>
      <c r="W31" s="775">
        <f t="shared" si="14"/>
        <v>100</v>
      </c>
      <c r="X31" s="1815"/>
      <c r="Y31" s="3190"/>
      <c r="Z31" s="1816">
        <f t="shared" si="15"/>
        <v>111</v>
      </c>
      <c r="AA31" s="1813">
        <f t="shared" si="3"/>
        <v>1</v>
      </c>
      <c r="AB31" s="1813">
        <f t="shared" si="4"/>
        <v>1</v>
      </c>
      <c r="AC31" s="2675">
        <f t="shared" si="5"/>
        <v>1</v>
      </c>
    </row>
    <row r="32" spans="1:29" ht="15.75" thickBot="1">
      <c r="A32" s="436"/>
      <c r="B32" s="635">
        <v>111</v>
      </c>
      <c r="C32" s="2619"/>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97"/>
      <c r="Q32" s="1812">
        <f t="shared" si="11"/>
        <v>111</v>
      </c>
      <c r="R32" s="774" t="s">
        <v>17</v>
      </c>
      <c r="S32" s="775">
        <f t="shared" si="12"/>
        <v>100</v>
      </c>
      <c r="T32" s="774" t="s">
        <v>17</v>
      </c>
      <c r="U32" s="775">
        <f t="shared" si="13"/>
        <v>100</v>
      </c>
      <c r="V32" s="774" t="s">
        <v>17</v>
      </c>
      <c r="W32" s="775">
        <f t="shared" si="14"/>
        <v>100</v>
      </c>
      <c r="X32" s="1815"/>
      <c r="Y32" s="3190"/>
      <c r="Z32" s="1816">
        <f t="shared" si="15"/>
        <v>111</v>
      </c>
      <c r="AA32" s="1813">
        <f t="shared" si="3"/>
        <v>1</v>
      </c>
      <c r="AB32" s="1813">
        <f t="shared" si="4"/>
        <v>1</v>
      </c>
      <c r="AC32" s="2675">
        <f t="shared" si="5"/>
        <v>1</v>
      </c>
    </row>
    <row r="33" spans="1:29" ht="15">
      <c r="A33" s="440" t="s">
        <v>2551</v>
      </c>
      <c r="B33" s="71" t="s">
        <v>2681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191" t="s">
        <v>2553</v>
      </c>
      <c r="Q33" s="1812" t="str">
        <f t="shared" si="11"/>
        <v>建筑类型</v>
      </c>
      <c r="R33" s="774" t="s">
        <v>17</v>
      </c>
      <c r="S33" s="775">
        <f t="shared" si="12"/>
        <v>100</v>
      </c>
      <c r="T33" s="774" t="s">
        <v>17</v>
      </c>
      <c r="U33" s="775">
        <f t="shared" si="13"/>
        <v>100</v>
      </c>
      <c r="V33" s="774" t="s">
        <v>17</v>
      </c>
      <c r="W33" s="775">
        <f t="shared" si="14"/>
        <v>100</v>
      </c>
      <c r="X33" s="1815"/>
      <c r="Y33" s="3194" t="s">
        <v>2553</v>
      </c>
      <c r="Z33" s="1816" t="str">
        <f t="shared" si="15"/>
        <v>建筑类型</v>
      </c>
      <c r="AA33" s="1813">
        <f t="shared" si="3"/>
        <v>1</v>
      </c>
      <c r="AB33" s="1813">
        <f t="shared" si="4"/>
        <v>1</v>
      </c>
      <c r="AC33" s="2675">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2"/>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13" t="e">
        <f t="shared" si="3"/>
        <v>#N/A</v>
      </c>
      <c r="AB34" s="1813" t="e">
        <f t="shared" si="4"/>
        <v>#N/A</v>
      </c>
      <c r="AC34" s="2675"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2"/>
      <c r="Q35" s="1812" t="str">
        <f t="shared" si="11"/>
        <v>建筑结构</v>
      </c>
      <c r="R35" s="774" t="s">
        <v>17</v>
      </c>
      <c r="S35" s="775">
        <f t="shared" si="12"/>
        <v>100</v>
      </c>
      <c r="T35" s="774" t="s">
        <v>17</v>
      </c>
      <c r="U35" s="775">
        <f t="shared" si="13"/>
        <v>100</v>
      </c>
      <c r="V35" s="774" t="s">
        <v>17</v>
      </c>
      <c r="W35" s="775">
        <f t="shared" si="14"/>
        <v>100</v>
      </c>
      <c r="X35" s="1815"/>
      <c r="Y35" s="3194"/>
      <c r="Z35" s="1816" t="str">
        <f t="shared" si="15"/>
        <v>建筑结构</v>
      </c>
      <c r="AA35" s="1813">
        <f t="shared" si="3"/>
        <v>1</v>
      </c>
      <c r="AB35" s="1813">
        <f t="shared" si="4"/>
        <v>1</v>
      </c>
      <c r="AC35" s="2675">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2"/>
      <c r="Q36" s="1812" t="str">
        <f t="shared" si="11"/>
        <v>公共部分装修</v>
      </c>
      <c r="R36" s="774" t="s">
        <v>17</v>
      </c>
      <c r="S36" s="775">
        <f t="shared" si="12"/>
        <v>100</v>
      </c>
      <c r="T36" s="774" t="s">
        <v>17</v>
      </c>
      <c r="U36" s="775">
        <f t="shared" si="13"/>
        <v>100</v>
      </c>
      <c r="V36" s="774" t="s">
        <v>17</v>
      </c>
      <c r="W36" s="775">
        <f t="shared" si="14"/>
        <v>100</v>
      </c>
      <c r="X36" s="1815"/>
      <c r="Y36" s="3194"/>
      <c r="Z36" s="1816" t="str">
        <f t="shared" si="15"/>
        <v>公共部分装修</v>
      </c>
      <c r="AA36" s="1813">
        <f t="shared" si="3"/>
        <v>1</v>
      </c>
      <c r="AB36" s="1813">
        <f t="shared" si="4"/>
        <v>1</v>
      </c>
      <c r="AC36" s="2675">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2"/>
      <c r="Q37" s="1812" t="str">
        <f t="shared" si="11"/>
        <v>成新度</v>
      </c>
      <c r="R37" s="774" t="s">
        <v>17</v>
      </c>
      <c r="S37" s="775" t="e">
        <f t="shared" si="12"/>
        <v>#N/A</v>
      </c>
      <c r="T37" s="774" t="s">
        <v>17</v>
      </c>
      <c r="U37" s="775" t="e">
        <f t="shared" si="13"/>
        <v>#N/A</v>
      </c>
      <c r="V37" s="774" t="s">
        <v>17</v>
      </c>
      <c r="W37" s="775" t="e">
        <f t="shared" si="14"/>
        <v>#N/A</v>
      </c>
      <c r="X37" s="1815"/>
      <c r="Y37" s="3194"/>
      <c r="Z37" s="1816" t="str">
        <f t="shared" si="15"/>
        <v>成新度</v>
      </c>
      <c r="AA37" s="1813" t="e">
        <f t="shared" si="3"/>
        <v>#N/A</v>
      </c>
      <c r="AB37" s="1813" t="e">
        <f t="shared" si="4"/>
        <v>#N/A</v>
      </c>
      <c r="AC37" s="2675"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2"/>
      <c r="Q38" s="1797"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72">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2" t="s">
        <v>2553</v>
      </c>
      <c r="Q39" s="1812" t="str">
        <f t="shared" si="11"/>
        <v>物业管理</v>
      </c>
      <c r="R39" s="774" t="s">
        <v>17</v>
      </c>
      <c r="S39" s="775">
        <f t="shared" si="12"/>
        <v>100</v>
      </c>
      <c r="T39" s="774" t="s">
        <v>17</v>
      </c>
      <c r="U39" s="775">
        <f t="shared" si="13"/>
        <v>100</v>
      </c>
      <c r="V39" s="774" t="s">
        <v>17</v>
      </c>
      <c r="W39" s="775">
        <f t="shared" si="14"/>
        <v>100</v>
      </c>
      <c r="X39" s="1815"/>
      <c r="Y39" s="3194" t="s">
        <v>2553</v>
      </c>
      <c r="Z39" s="1816" t="str">
        <f t="shared" si="15"/>
        <v>物业管理</v>
      </c>
      <c r="AA39" s="1813">
        <f t="shared" si="3"/>
        <v>1</v>
      </c>
      <c r="AB39" s="1813">
        <f t="shared" si="4"/>
        <v>1</v>
      </c>
      <c r="AC39" s="2675">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2"/>
      <c r="Q40" s="1812" t="str">
        <f t="shared" si="11"/>
        <v>市政基础设施</v>
      </c>
      <c r="R40" s="774" t="s">
        <v>17</v>
      </c>
      <c r="S40" s="775">
        <f t="shared" si="12"/>
        <v>100</v>
      </c>
      <c r="T40" s="774" t="s">
        <v>17</v>
      </c>
      <c r="U40" s="775">
        <f t="shared" si="13"/>
        <v>100</v>
      </c>
      <c r="V40" s="774" t="s">
        <v>17</v>
      </c>
      <c r="W40" s="775">
        <f t="shared" si="14"/>
        <v>100</v>
      </c>
      <c r="X40" s="1815"/>
      <c r="Y40" s="3194"/>
      <c r="Z40" s="1816" t="str">
        <f t="shared" si="15"/>
        <v>市政基础设施</v>
      </c>
      <c r="AA40" s="1813">
        <f t="shared" si="3"/>
        <v>1</v>
      </c>
      <c r="AB40" s="1813">
        <f t="shared" si="4"/>
        <v>1</v>
      </c>
      <c r="AC40" s="2675">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2"/>
      <c r="Q41" s="1812" t="str">
        <f t="shared" si="11"/>
        <v>层高</v>
      </c>
      <c r="R41" s="774" t="s">
        <v>17</v>
      </c>
      <c r="S41" s="775">
        <f t="shared" si="12"/>
        <v>100</v>
      </c>
      <c r="T41" s="774" t="s">
        <v>17</v>
      </c>
      <c r="U41" s="775">
        <f t="shared" si="13"/>
        <v>100</v>
      </c>
      <c r="V41" s="774" t="s">
        <v>17</v>
      </c>
      <c r="W41" s="775">
        <f t="shared" si="14"/>
        <v>100</v>
      </c>
      <c r="X41" s="1815"/>
      <c r="Y41" s="3194"/>
      <c r="Z41" s="1816" t="str">
        <f t="shared" si="15"/>
        <v>层高</v>
      </c>
      <c r="AA41" s="1813">
        <f t="shared" si="3"/>
        <v>1</v>
      </c>
      <c r="AB41" s="1813">
        <f t="shared" si="4"/>
        <v>1</v>
      </c>
      <c r="AC41" s="2675">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2"/>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13">
        <f t="shared" si="3"/>
        <v>1</v>
      </c>
      <c r="AB42" s="1813">
        <f t="shared" si="4"/>
        <v>1</v>
      </c>
      <c r="AC42" s="2675">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2"/>
      <c r="Q43" s="1812" t="str">
        <f t="shared" si="11"/>
        <v>内部装修</v>
      </c>
      <c r="R43" s="774" t="s">
        <v>17</v>
      </c>
      <c r="S43" s="775">
        <f t="shared" si="12"/>
        <v>100</v>
      </c>
      <c r="T43" s="774" t="s">
        <v>17</v>
      </c>
      <c r="U43" s="775">
        <f t="shared" si="13"/>
        <v>100</v>
      </c>
      <c r="V43" s="774" t="s">
        <v>17</v>
      </c>
      <c r="W43" s="775">
        <f t="shared" si="14"/>
        <v>100</v>
      </c>
      <c r="X43" s="1815"/>
      <c r="Y43" s="3194"/>
      <c r="Z43" s="1816" t="str">
        <f t="shared" si="15"/>
        <v>内部装修</v>
      </c>
      <c r="AA43" s="1813">
        <f t="shared" si="3"/>
        <v>1</v>
      </c>
      <c r="AB43" s="1813">
        <f t="shared" si="4"/>
        <v>1</v>
      </c>
      <c r="AC43" s="2675">
        <f t="shared" si="5"/>
        <v>1</v>
      </c>
    </row>
    <row r="44" spans="1:29" ht="15">
      <c r="A44" s="472"/>
      <c r="B44" s="422" t="s">
        <v>2564</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92"/>
      <c r="Q44" s="1812" t="str">
        <f t="shared" si="11"/>
        <v>内部装修维护情况</v>
      </c>
      <c r="R44" s="774" t="s">
        <v>17</v>
      </c>
      <c r="S44" s="775">
        <f t="shared" si="12"/>
        <v>100</v>
      </c>
      <c r="T44" s="774" t="s">
        <v>17</v>
      </c>
      <c r="U44" s="775">
        <f t="shared" si="13"/>
        <v>100</v>
      </c>
      <c r="V44" s="774" t="s">
        <v>17</v>
      </c>
      <c r="W44" s="775">
        <f t="shared" si="14"/>
        <v>100</v>
      </c>
      <c r="X44" s="1815"/>
      <c r="Y44" s="3194"/>
      <c r="Z44" s="1816" t="str">
        <f t="shared" si="15"/>
        <v>内部装修维护情况</v>
      </c>
      <c r="AA44" s="1813">
        <f t="shared" si="3"/>
        <v>1</v>
      </c>
      <c r="AB44" s="1813">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2"/>
      <c r="Q45" s="1797">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2"/>
      <c r="Q46" s="1812">
        <f t="shared" si="11"/>
        <v>111</v>
      </c>
      <c r="R46" s="774" t="s">
        <v>17</v>
      </c>
      <c r="S46" s="775">
        <f t="shared" si="12"/>
        <v>100</v>
      </c>
      <c r="T46" s="774" t="s">
        <v>17</v>
      </c>
      <c r="U46" s="775">
        <f t="shared" si="13"/>
        <v>100</v>
      </c>
      <c r="V46" s="774" t="s">
        <v>17</v>
      </c>
      <c r="W46" s="775">
        <f t="shared" si="14"/>
        <v>100</v>
      </c>
      <c r="X46" s="1815"/>
      <c r="Y46" s="3194"/>
      <c r="Z46" s="1816">
        <f t="shared" si="15"/>
        <v>111</v>
      </c>
      <c r="AA46" s="1813">
        <f t="shared" si="3"/>
        <v>1</v>
      </c>
      <c r="AB46" s="1813">
        <f t="shared" si="4"/>
        <v>1</v>
      </c>
      <c r="AC46" s="2675">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3"/>
      <c r="Q47" s="1812">
        <f t="shared" si="11"/>
        <v>111</v>
      </c>
      <c r="R47" s="774" t="s">
        <v>17</v>
      </c>
      <c r="S47" s="775">
        <f t="shared" si="12"/>
        <v>100</v>
      </c>
      <c r="T47" s="774" t="s">
        <v>17</v>
      </c>
      <c r="U47" s="775">
        <f t="shared" si="13"/>
        <v>100</v>
      </c>
      <c r="V47" s="774" t="s">
        <v>17</v>
      </c>
      <c r="W47" s="775">
        <f t="shared" si="14"/>
        <v>100</v>
      </c>
      <c r="X47" s="1815"/>
      <c r="Y47" s="3195"/>
      <c r="Z47" s="1816">
        <f t="shared" si="15"/>
        <v>111</v>
      </c>
      <c r="AA47" s="1813">
        <f t="shared" si="3"/>
        <v>1</v>
      </c>
      <c r="AB47" s="1813">
        <f t="shared" si="4"/>
        <v>1</v>
      </c>
      <c r="AC47" s="2675">
        <f t="shared" si="5"/>
        <v>1</v>
      </c>
    </row>
    <row r="48" spans="1:29" ht="15">
      <c r="A48" s="479" t="s">
        <v>2565</v>
      </c>
      <c r="B48" s="480"/>
      <c r="C48" s="1410" t="s">
        <v>1</v>
      </c>
      <c r="D48" s="1411"/>
      <c r="E48" s="1412"/>
      <c r="F48" s="1413"/>
      <c r="G48" s="1414"/>
      <c r="H48" s="1415"/>
      <c r="I48" s="1412"/>
      <c r="J48" s="485"/>
      <c r="K48" s="783"/>
      <c r="L48" s="1146"/>
      <c r="M48" s="1134"/>
      <c r="N48" s="1134"/>
      <c r="O48" s="1134"/>
      <c r="P48" s="3169" t="str">
        <f>A48</f>
        <v>成交单价（元/平方米）</v>
      </c>
      <c r="Q48" s="3187"/>
      <c r="R48" s="3188">
        <f>E48</f>
        <v>0</v>
      </c>
      <c r="S48" s="3188"/>
      <c r="T48" s="3188">
        <f>G48</f>
        <v>0</v>
      </c>
      <c r="U48" s="3188"/>
      <c r="V48" s="3188">
        <f>I48</f>
        <v>0</v>
      </c>
      <c r="W48" s="3188"/>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69"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35" t="str">
        <f>A50</f>
        <v>估价对象XX用房的比较价值（楼面单价，元/平方米）</v>
      </c>
      <c r="Q50" s="3236"/>
      <c r="R50" s="3237" t="e">
        <f>IF(F1="售价",ROUND(AVERAGE(R49:V49),0),ROUND(AVERAGE(R49:V49),1))</f>
        <v>#DIV/0!</v>
      </c>
      <c r="S50" s="3237"/>
      <c r="T50" s="3237"/>
      <c r="U50" s="3237"/>
      <c r="V50" s="3237"/>
      <c r="W50" s="3237"/>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82"/>
      <c r="Q58" s="504"/>
    </row>
    <row r="59" spans="1:29" s="508" customFormat="1" ht="15">
      <c r="A59" s="505" t="s">
        <v>2536</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2573</v>
      </c>
      <c r="B61" s="516"/>
      <c r="C61" s="517"/>
      <c r="D61" s="518"/>
      <c r="E61" s="518"/>
      <c r="F61" s="518"/>
      <c r="G61" s="518"/>
      <c r="H61" s="518"/>
      <c r="I61" s="518"/>
      <c r="J61" s="518"/>
      <c r="K61" s="518"/>
      <c r="L61" s="518"/>
      <c r="M61" s="519"/>
      <c r="N61" s="518"/>
      <c r="O61" s="519"/>
      <c r="P61" s="2683"/>
      <c r="Q61" s="504"/>
    </row>
    <row r="62" spans="1:29" s="117" customFormat="1" ht="15">
      <c r="A62" s="521" t="s">
        <v>2538</v>
      </c>
      <c r="B62" s="510"/>
      <c r="C62" s="522" t="s">
        <v>2640</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2576</v>
      </c>
      <c r="B64" s="528" t="s">
        <v>2542</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2687</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2551</v>
      </c>
      <c r="B101" s="528" t="s">
        <v>2600</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2602</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2604</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2605</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2606</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2689</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2608</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0" t="s">
        <v>2690</v>
      </c>
      <c r="C1" s="1623" t="s">
        <v>2518</v>
      </c>
      <c r="D1" s="1624"/>
      <c r="E1" s="1633"/>
      <c r="F1" s="2588"/>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90"/>
      <c r="D2" s="1127" t="e">
        <f ca="1">SUMIF(INDIRECT("'"&amp;F2&amp;"'"&amp;"!A:A"),"承租人权益价值",INDIRECT("'"&amp;F2&amp;"'"&amp;"!c:c"))</f>
        <v>#REF!</v>
      </c>
      <c r="E2" s="2591" t="s">
        <v>2316</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124.73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70" t="s">
        <v>2634</v>
      </c>
      <c r="D4" s="3171"/>
      <c r="E4" s="3172" t="s">
        <v>2635</v>
      </c>
      <c r="F4" s="3173"/>
      <c r="G4" s="3170" t="s">
        <v>2636</v>
      </c>
      <c r="H4" s="3171"/>
      <c r="I4" s="3170" t="s">
        <v>2637</v>
      </c>
      <c r="J4" s="3171"/>
      <c r="K4" s="610" t="s">
        <v>2638</v>
      </c>
      <c r="L4" s="1133"/>
      <c r="M4" s="1134"/>
      <c r="N4" s="1134"/>
      <c r="O4" s="1134"/>
      <c r="P4" s="3174" t="s">
        <v>2639</v>
      </c>
      <c r="Q4" s="3175"/>
      <c r="R4" s="3159" t="s">
        <v>2635</v>
      </c>
      <c r="S4" s="3160"/>
      <c r="T4" s="3159" t="s">
        <v>2636</v>
      </c>
      <c r="U4" s="3160"/>
      <c r="V4" s="3182" t="s">
        <v>2637</v>
      </c>
      <c r="W4" s="3182"/>
      <c r="X4" s="1815"/>
      <c r="Y4" s="3159" t="s">
        <v>2639</v>
      </c>
      <c r="Z4" s="3160"/>
      <c r="AA4" s="3154" t="s">
        <v>2635</v>
      </c>
      <c r="AB4" s="3155" t="s">
        <v>2636</v>
      </c>
      <c r="AC4" s="3154" t="s">
        <v>2637</v>
      </c>
    </row>
    <row r="5" spans="1:29" ht="15">
      <c r="A5" s="404"/>
      <c r="B5" s="405"/>
      <c r="C5" s="3222" t="s">
        <v>2530</v>
      </c>
      <c r="D5" s="3164"/>
      <c r="E5" s="3220" t="s">
        <v>2531</v>
      </c>
      <c r="F5" s="3221"/>
      <c r="G5" s="3222" t="s">
        <v>2532</v>
      </c>
      <c r="H5" s="3164"/>
      <c r="I5" s="3222" t="s">
        <v>2533</v>
      </c>
      <c r="J5" s="3164"/>
      <c r="K5" s="610"/>
      <c r="L5" s="1133"/>
      <c r="M5" s="1134"/>
      <c r="N5" s="1134"/>
      <c r="O5" s="1134"/>
      <c r="P5" s="3176"/>
      <c r="Q5" s="3177"/>
      <c r="R5" s="3161"/>
      <c r="S5" s="3162"/>
      <c r="T5" s="3161"/>
      <c r="U5" s="3162"/>
      <c r="V5" s="3182"/>
      <c r="W5" s="3182"/>
      <c r="X5" s="1815"/>
      <c r="Y5" s="3161"/>
      <c r="Z5" s="3162"/>
      <c r="AA5" s="3155"/>
      <c r="AB5" s="3155"/>
      <c r="AC5" s="3155"/>
    </row>
    <row r="6" spans="1:29" ht="15.75" thickBot="1">
      <c r="A6" s="406"/>
      <c r="B6" s="407"/>
      <c r="C6" s="3165" t="s">
        <v>2534</v>
      </c>
      <c r="D6" s="3166"/>
      <c r="E6" s="3167" t="s">
        <v>2534</v>
      </c>
      <c r="F6" s="3168"/>
      <c r="G6" s="3165" t="s">
        <v>2534</v>
      </c>
      <c r="H6" s="3166"/>
      <c r="I6" s="3165" t="s">
        <v>2534</v>
      </c>
      <c r="J6" s="3166"/>
      <c r="K6" s="610" t="s">
        <v>2535</v>
      </c>
      <c r="L6" s="1133"/>
      <c r="M6" s="1134"/>
      <c r="N6" s="1134"/>
      <c r="O6" s="1134"/>
      <c r="P6" s="3178"/>
      <c r="Q6" s="3179"/>
      <c r="R6" s="3161"/>
      <c r="S6" s="3162"/>
      <c r="T6" s="3180"/>
      <c r="U6" s="3181"/>
      <c r="V6" s="3182"/>
      <c r="W6" s="3182"/>
      <c r="X6" s="1815"/>
      <c r="Y6" s="3180"/>
      <c r="Z6" s="3181"/>
      <c r="AA6" s="3156"/>
      <c r="AB6" s="3156"/>
      <c r="AC6" s="3156"/>
    </row>
    <row r="7" spans="1:29" s="117" customFormat="1" ht="15.75" thickBot="1">
      <c r="A7" s="408" t="s">
        <v>2536</v>
      </c>
      <c r="B7" s="409"/>
      <c r="C7" s="410">
        <f>'数据-取费表'!B2</f>
        <v>43217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7" t="s">
        <v>2537</v>
      </c>
      <c r="Q7" s="3183"/>
      <c r="R7" s="770" t="s">
        <v>17</v>
      </c>
      <c r="S7" s="771">
        <f t="shared" ref="S7:S15" si="0">F7</f>
        <v>0</v>
      </c>
      <c r="T7" s="770" t="s">
        <v>17</v>
      </c>
      <c r="U7" s="771">
        <f t="shared" ref="U7:U15" si="1">H7</f>
        <v>0</v>
      </c>
      <c r="V7" s="770" t="s">
        <v>17</v>
      </c>
      <c r="W7" s="771">
        <f t="shared" ref="W7:W15" si="2">J7</f>
        <v>0</v>
      </c>
      <c r="X7" s="772"/>
      <c r="Y7" s="3157" t="s">
        <v>2537</v>
      </c>
      <c r="Z7" s="3158"/>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7" t="s">
        <v>2540</v>
      </c>
      <c r="Q8" s="3158"/>
      <c r="R8" s="770" t="s">
        <v>17</v>
      </c>
      <c r="S8" s="771">
        <f t="shared" si="0"/>
        <v>0</v>
      </c>
      <c r="T8" s="770" t="s">
        <v>17</v>
      </c>
      <c r="U8" s="771">
        <f t="shared" si="1"/>
        <v>0</v>
      </c>
      <c r="V8" s="770" t="s">
        <v>17</v>
      </c>
      <c r="W8" s="771">
        <f t="shared" si="2"/>
        <v>0</v>
      </c>
      <c r="X8" s="772"/>
      <c r="Y8" s="3157" t="s">
        <v>2540</v>
      </c>
      <c r="Z8" s="3158"/>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7" t="s">
        <v>2543</v>
      </c>
      <c r="Q9" s="1797" t="str">
        <f t="shared" ref="Q9:Q15" si="6">B9</f>
        <v>用途</v>
      </c>
      <c r="R9" s="770" t="s">
        <v>17</v>
      </c>
      <c r="S9" s="771">
        <f t="shared" si="0"/>
        <v>100</v>
      </c>
      <c r="T9" s="770" t="s">
        <v>17</v>
      </c>
      <c r="U9" s="771">
        <f t="shared" si="1"/>
        <v>100</v>
      </c>
      <c r="V9" s="770" t="s">
        <v>17</v>
      </c>
      <c r="W9" s="771">
        <f t="shared" si="2"/>
        <v>100</v>
      </c>
      <c r="X9" s="772"/>
      <c r="Y9" s="302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7"/>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7"/>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7"/>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7"/>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7"/>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15">
      <c r="A15" s="440" t="s">
        <v>2547</v>
      </c>
      <c r="B15" s="69" t="s">
        <v>2691</v>
      </c>
      <c r="C15" s="2694">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9" t="s">
        <v>2548</v>
      </c>
      <c r="Q15" s="1812" t="str">
        <f t="shared" si="6"/>
        <v>产业集聚程度</v>
      </c>
      <c r="R15" s="774" t="s">
        <v>17</v>
      </c>
      <c r="S15" s="775">
        <f t="shared" si="0"/>
        <v>100</v>
      </c>
      <c r="T15" s="774" t="s">
        <v>17</v>
      </c>
      <c r="U15" s="775">
        <f t="shared" si="1"/>
        <v>100</v>
      </c>
      <c r="V15" s="774" t="s">
        <v>17</v>
      </c>
      <c r="W15" s="775">
        <f t="shared" si="2"/>
        <v>100</v>
      </c>
      <c r="X15" s="1815"/>
      <c r="Y15" s="3189" t="s">
        <v>2548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0"/>
      <c r="Q16" s="1812"/>
      <c r="R16" s="774"/>
      <c r="S16" s="775"/>
      <c r="T16" s="774"/>
      <c r="U16" s="775"/>
      <c r="V16" s="774"/>
      <c r="W16" s="775"/>
      <c r="X16" s="1815"/>
      <c r="Y16" s="3190"/>
      <c r="Z16" s="1816"/>
      <c r="AA16" s="1813">
        <v>1</v>
      </c>
      <c r="AB16" s="1813">
        <v>1</v>
      </c>
      <c r="AC16" s="1813">
        <v>1</v>
      </c>
    </row>
    <row r="17" spans="1:29" ht="15">
      <c r="A17" s="428"/>
      <c r="B17" s="451" t="s">
        <v>2087</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0"/>
      <c r="Q17" s="1812" t="str">
        <f>B17</f>
        <v>交通便捷度</v>
      </c>
      <c r="R17" s="774" t="s">
        <v>17</v>
      </c>
      <c r="S17" s="775">
        <f>F17</f>
        <v>100</v>
      </c>
      <c r="T17" s="774" t="s">
        <v>17</v>
      </c>
      <c r="U17" s="775">
        <f>H17</f>
        <v>100</v>
      </c>
      <c r="V17" s="774" t="s">
        <v>17</v>
      </c>
      <c r="W17" s="775">
        <f>J17</f>
        <v>100</v>
      </c>
      <c r="X17" s="1815"/>
      <c r="Y17" s="3190"/>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3"/>
      <c r="M18" s="1134"/>
      <c r="N18" s="1134"/>
      <c r="O18" s="1142"/>
      <c r="P18" s="3190"/>
      <c r="Q18" s="1812"/>
      <c r="R18" s="774"/>
      <c r="S18" s="775"/>
      <c r="T18" s="774"/>
      <c r="U18" s="775"/>
      <c r="V18" s="774"/>
      <c r="W18" s="775"/>
      <c r="X18" s="1815"/>
      <c r="Y18" s="3190"/>
      <c r="Z18" s="1816"/>
      <c r="AA18" s="1813">
        <v>1</v>
      </c>
      <c r="AB18" s="1813">
        <v>1</v>
      </c>
      <c r="AC18" s="1813">
        <v>1</v>
      </c>
    </row>
    <row r="19" spans="1:29" ht="15">
      <c r="A19" s="428"/>
      <c r="B19" s="451" t="s">
        <v>2676</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0"/>
      <c r="Q19" s="1812" t="str">
        <f>B19</f>
        <v>公共配套设施</v>
      </c>
      <c r="R19" s="774" t="s">
        <v>17</v>
      </c>
      <c r="S19" s="775">
        <f>F19</f>
        <v>100</v>
      </c>
      <c r="T19" s="774" t="s">
        <v>17</v>
      </c>
      <c r="U19" s="775">
        <f>H19</f>
        <v>100</v>
      </c>
      <c r="V19" s="774" t="s">
        <v>17</v>
      </c>
      <c r="W19" s="775">
        <f>J19</f>
        <v>100</v>
      </c>
      <c r="X19" s="1815"/>
      <c r="Y19" s="3190"/>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3"/>
      <c r="M20" s="1134"/>
      <c r="N20" s="1134"/>
      <c r="O20" s="1142"/>
      <c r="P20" s="3190"/>
      <c r="Q20" s="1812"/>
      <c r="R20" s="774"/>
      <c r="S20" s="775"/>
      <c r="T20" s="774"/>
      <c r="U20" s="775"/>
      <c r="V20" s="774"/>
      <c r="W20" s="775"/>
      <c r="X20" s="1815"/>
      <c r="Y20" s="3190"/>
      <c r="Z20" s="1816"/>
      <c r="AA20" s="1813">
        <v>1</v>
      </c>
      <c r="AB20" s="1813">
        <v>1</v>
      </c>
      <c r="AC20" s="1813">
        <v>1</v>
      </c>
    </row>
    <row r="21" spans="1:29" ht="15">
      <c r="A21" s="428"/>
      <c r="B21" s="1387" t="s">
        <v>2677</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0"/>
      <c r="Q21" s="1812" t="str">
        <f>B21</f>
        <v>基础设施水平</v>
      </c>
      <c r="R21" s="774" t="s">
        <v>17</v>
      </c>
      <c r="S21" s="775">
        <f>F21</f>
        <v>100</v>
      </c>
      <c r="T21" s="774" t="s">
        <v>17</v>
      </c>
      <c r="U21" s="775">
        <f>H21</f>
        <v>100</v>
      </c>
      <c r="V21" s="774" t="s">
        <v>17</v>
      </c>
      <c r="W21" s="775">
        <f>J21</f>
        <v>100</v>
      </c>
      <c r="X21" s="1815"/>
      <c r="Y21" s="3190"/>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9"/>
      <c r="G22" s="447"/>
      <c r="H22" s="448"/>
      <c r="I22" s="447"/>
      <c r="J22" s="448"/>
      <c r="K22" s="1386"/>
      <c r="L22" s="1143"/>
      <c r="M22" s="1134"/>
      <c r="N22" s="1134"/>
      <c r="O22" s="1142"/>
      <c r="P22" s="3190"/>
      <c r="Q22" s="1812"/>
      <c r="R22" s="774"/>
      <c r="S22" s="775"/>
      <c r="T22" s="774"/>
      <c r="U22" s="775"/>
      <c r="V22" s="774"/>
      <c r="W22" s="775"/>
      <c r="X22" s="1815"/>
      <c r="Y22" s="3190"/>
      <c r="Z22" s="1816"/>
      <c r="AA22" s="1813">
        <v>1</v>
      </c>
      <c r="AB22" s="1813">
        <v>1</v>
      </c>
      <c r="AC22" s="1813">
        <v>1</v>
      </c>
    </row>
    <row r="23" spans="1:29" ht="15">
      <c r="A23" s="428"/>
      <c r="B23" s="451" t="s">
        <v>2678</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0"/>
      <c r="Q23" s="1812" t="str">
        <f>B23</f>
        <v>环境质量</v>
      </c>
      <c r="R23" s="774" t="s">
        <v>17</v>
      </c>
      <c r="S23" s="775">
        <f>F23</f>
        <v>100</v>
      </c>
      <c r="T23" s="774" t="s">
        <v>17</v>
      </c>
      <c r="U23" s="775">
        <f>H23</f>
        <v>100</v>
      </c>
      <c r="V23" s="774" t="s">
        <v>17</v>
      </c>
      <c r="W23" s="775">
        <f>J23</f>
        <v>100</v>
      </c>
      <c r="X23" s="1815"/>
      <c r="Y23" s="3190"/>
      <c r="Z23" s="1816" t="str">
        <f>Q23</f>
        <v>环境质量</v>
      </c>
      <c r="AA23" s="1813">
        <f t="shared" si="3"/>
        <v>1</v>
      </c>
      <c r="AB23" s="1813">
        <f t="shared" si="4"/>
        <v>1</v>
      </c>
      <c r="AC23" s="1813">
        <f t="shared" si="5"/>
        <v>1</v>
      </c>
    </row>
    <row r="24" spans="1:29" ht="15">
      <c r="A24" s="428"/>
      <c r="B24" s="1387"/>
      <c r="C24" s="447"/>
      <c r="D24" s="448"/>
      <c r="E24" s="2608"/>
      <c r="F24" s="449"/>
      <c r="G24" s="2607"/>
      <c r="H24" s="448"/>
      <c r="I24" s="2608"/>
      <c r="J24" s="448"/>
      <c r="K24" s="615"/>
      <c r="L24" s="1143"/>
      <c r="M24" s="1134"/>
      <c r="N24" s="1134"/>
      <c r="O24" s="1142"/>
      <c r="P24" s="3190"/>
      <c r="Q24" s="1812"/>
      <c r="R24" s="774"/>
      <c r="S24" s="775"/>
      <c r="T24" s="774"/>
      <c r="U24" s="775"/>
      <c r="V24" s="774"/>
      <c r="W24" s="775"/>
      <c r="X24" s="1815"/>
      <c r="Y24" s="3190"/>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0"/>
      <c r="Q25" s="1812">
        <f>B25</f>
        <v>111</v>
      </c>
      <c r="R25" s="774" t="s">
        <v>17</v>
      </c>
      <c r="S25" s="775">
        <f>F25</f>
        <v>100</v>
      </c>
      <c r="T25" s="774" t="s">
        <v>17</v>
      </c>
      <c r="U25" s="775">
        <f>H25</f>
        <v>100</v>
      </c>
      <c r="V25" s="774" t="s">
        <v>17</v>
      </c>
      <c r="W25" s="775">
        <f>J25</f>
        <v>100</v>
      </c>
      <c r="X25" s="1815"/>
      <c r="Y25" s="3190"/>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0"/>
      <c r="Q26" s="1812">
        <f t="shared" ref="Q26:Q40" si="11">B26</f>
        <v>111</v>
      </c>
      <c r="R26" s="774" t="s">
        <v>17</v>
      </c>
      <c r="S26" s="775">
        <f>F26</f>
        <v>100</v>
      </c>
      <c r="T26" s="774" t="s">
        <v>17</v>
      </c>
      <c r="U26" s="775">
        <f>H26</f>
        <v>100</v>
      </c>
      <c r="V26" s="774" t="s">
        <v>17</v>
      </c>
      <c r="W26" s="775">
        <f>J26</f>
        <v>100</v>
      </c>
      <c r="X26" s="1815"/>
      <c r="Y26" s="3190"/>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0"/>
      <c r="Q27" s="1797">
        <f t="shared" si="11"/>
        <v>111</v>
      </c>
      <c r="R27" s="770" t="s">
        <v>17</v>
      </c>
      <c r="S27" s="771">
        <f>F27</f>
        <v>100</v>
      </c>
      <c r="T27" s="770" t="s">
        <v>17</v>
      </c>
      <c r="U27" s="771">
        <f>H27</f>
        <v>100</v>
      </c>
      <c r="V27" s="770" t="s">
        <v>17</v>
      </c>
      <c r="W27" s="771">
        <f>J27</f>
        <v>100</v>
      </c>
      <c r="X27" s="772"/>
      <c r="Y27" s="3190"/>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0"/>
      <c r="Q28" s="1812">
        <f t="shared" si="11"/>
        <v>111</v>
      </c>
      <c r="R28" s="774" t="s">
        <v>17</v>
      </c>
      <c r="S28" s="775">
        <f t="shared" ref="S28:S40" si="12">F28</f>
        <v>100</v>
      </c>
      <c r="T28" s="774" t="s">
        <v>17</v>
      </c>
      <c r="U28" s="775">
        <f t="shared" ref="U28:U40" si="13">H28</f>
        <v>100</v>
      </c>
      <c r="V28" s="774" t="s">
        <v>17</v>
      </c>
      <c r="W28" s="775">
        <f t="shared" ref="W28:W40" si="14">J28</f>
        <v>100</v>
      </c>
      <c r="X28" s="1815"/>
      <c r="Y28" s="3190"/>
      <c r="Z28" s="1816">
        <f t="shared" ref="Z28:Z40" si="15">Q28</f>
        <v>111</v>
      </c>
      <c r="AA28" s="1813">
        <f t="shared" si="3"/>
        <v>1</v>
      </c>
      <c r="AB28" s="1813">
        <f t="shared" si="4"/>
        <v>1</v>
      </c>
      <c r="AC28" s="1813">
        <f t="shared" si="5"/>
        <v>1</v>
      </c>
    </row>
    <row r="29" spans="1:29" ht="15">
      <c r="A29" s="466" t="s">
        <v>2551</v>
      </c>
      <c r="B29" s="71" t="s">
        <v>2681</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38" t="s">
        <v>2553</v>
      </c>
      <c r="Q29" s="1812" t="str">
        <f t="shared" si="11"/>
        <v>建筑类型</v>
      </c>
      <c r="R29" s="774" t="s">
        <v>17</v>
      </c>
      <c r="S29" s="775">
        <f t="shared" si="12"/>
        <v>100</v>
      </c>
      <c r="T29" s="774" t="s">
        <v>17</v>
      </c>
      <c r="U29" s="775">
        <f t="shared" si="13"/>
        <v>100</v>
      </c>
      <c r="V29" s="774" t="s">
        <v>17</v>
      </c>
      <c r="W29" s="775">
        <f t="shared" si="14"/>
        <v>100</v>
      </c>
      <c r="X29" s="1815"/>
      <c r="Y29" s="3194" t="s">
        <v>2553</v>
      </c>
      <c r="Z29" s="1816" t="str">
        <f t="shared" si="15"/>
        <v>建筑类型</v>
      </c>
      <c r="AA29" s="1813">
        <f t="shared" si="3"/>
        <v>1</v>
      </c>
      <c r="AB29" s="1813">
        <f t="shared" si="4"/>
        <v>1</v>
      </c>
      <c r="AC29" s="1813">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4"/>
      <c r="Q30" s="776" t="str">
        <f t="shared" si="11"/>
        <v>项目建筑规模</v>
      </c>
      <c r="R30" s="777" t="s">
        <v>17</v>
      </c>
      <c r="S30" s="778" t="e">
        <f t="shared" si="12"/>
        <v>#N/A</v>
      </c>
      <c r="T30" s="777" t="s">
        <v>17</v>
      </c>
      <c r="U30" s="778" t="e">
        <f t="shared" si="13"/>
        <v>#N/A</v>
      </c>
      <c r="V30" s="777" t="s">
        <v>17</v>
      </c>
      <c r="W30" s="778" t="e">
        <f t="shared" si="14"/>
        <v>#N/A</v>
      </c>
      <c r="X30" s="779"/>
      <c r="Y30" s="3194"/>
      <c r="Z30" s="780" t="str">
        <f t="shared" si="15"/>
        <v>项目建筑规模</v>
      </c>
      <c r="AA30" s="1813" t="e">
        <f t="shared" si="3"/>
        <v>#N/A</v>
      </c>
      <c r="AB30" s="1813" t="e">
        <f t="shared" si="4"/>
        <v>#N/A</v>
      </c>
      <c r="AC30" s="1813"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4"/>
      <c r="Q31" s="1812" t="str">
        <f t="shared" si="11"/>
        <v>建筑结构</v>
      </c>
      <c r="R31" s="774" t="s">
        <v>17</v>
      </c>
      <c r="S31" s="775">
        <f t="shared" si="12"/>
        <v>100</v>
      </c>
      <c r="T31" s="774" t="s">
        <v>17</v>
      </c>
      <c r="U31" s="775">
        <f t="shared" si="13"/>
        <v>100</v>
      </c>
      <c r="V31" s="774" t="s">
        <v>17</v>
      </c>
      <c r="W31" s="775">
        <f t="shared" si="14"/>
        <v>100</v>
      </c>
      <c r="X31" s="1815"/>
      <c r="Y31" s="3194"/>
      <c r="Z31" s="1816" t="str">
        <f t="shared" si="15"/>
        <v>建筑结构</v>
      </c>
      <c r="AA31" s="1813">
        <f t="shared" si="3"/>
        <v>1</v>
      </c>
      <c r="AB31" s="1813">
        <f t="shared" si="4"/>
        <v>1</v>
      </c>
      <c r="AC31" s="1813">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4"/>
      <c r="Q32" s="1812" t="str">
        <f t="shared" si="11"/>
        <v>公共部分装修</v>
      </c>
      <c r="R32" s="774" t="s">
        <v>17</v>
      </c>
      <c r="S32" s="775">
        <f t="shared" si="12"/>
        <v>100</v>
      </c>
      <c r="T32" s="774" t="s">
        <v>17</v>
      </c>
      <c r="U32" s="775">
        <f t="shared" si="13"/>
        <v>100</v>
      </c>
      <c r="V32" s="774" t="s">
        <v>17</v>
      </c>
      <c r="W32" s="775">
        <f t="shared" si="14"/>
        <v>100</v>
      </c>
      <c r="X32" s="1815"/>
      <c r="Y32" s="3194"/>
      <c r="Z32" s="1816" t="str">
        <f t="shared" si="15"/>
        <v>公共部分装修</v>
      </c>
      <c r="AA32" s="1813">
        <f t="shared" si="3"/>
        <v>1</v>
      </c>
      <c r="AB32" s="1813">
        <f t="shared" si="4"/>
        <v>1</v>
      </c>
      <c r="AC32" s="1813">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4"/>
      <c r="Q33" s="1812" t="str">
        <f t="shared" si="11"/>
        <v>成新度</v>
      </c>
      <c r="R33" s="774" t="s">
        <v>17</v>
      </c>
      <c r="S33" s="775" t="e">
        <f t="shared" si="12"/>
        <v>#N/A</v>
      </c>
      <c r="T33" s="774" t="s">
        <v>17</v>
      </c>
      <c r="U33" s="775" t="e">
        <f t="shared" si="13"/>
        <v>#N/A</v>
      </c>
      <c r="V33" s="774" t="s">
        <v>17</v>
      </c>
      <c r="W33" s="775" t="e">
        <f t="shared" si="14"/>
        <v>#N/A</v>
      </c>
      <c r="X33" s="1815"/>
      <c r="Y33" s="3194"/>
      <c r="Z33" s="1816" t="str">
        <f t="shared" si="15"/>
        <v>成新度</v>
      </c>
      <c r="AA33" s="1813" t="e">
        <f t="shared" si="3"/>
        <v>#N/A</v>
      </c>
      <c r="AB33" s="1813" t="e">
        <f t="shared" si="4"/>
        <v>#N/A</v>
      </c>
      <c r="AC33" s="1813"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4"/>
      <c r="Q34" s="1797"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4" t="s">
        <v>2553</v>
      </c>
      <c r="Q35" s="1812" t="str">
        <f t="shared" si="11"/>
        <v>市政基础设施</v>
      </c>
      <c r="R35" s="774" t="s">
        <v>17</v>
      </c>
      <c r="S35" s="775">
        <f t="shared" si="12"/>
        <v>100</v>
      </c>
      <c r="T35" s="774" t="s">
        <v>17</v>
      </c>
      <c r="U35" s="775">
        <f t="shared" si="13"/>
        <v>100</v>
      </c>
      <c r="V35" s="774" t="s">
        <v>17</v>
      </c>
      <c r="W35" s="775">
        <f t="shared" si="14"/>
        <v>100</v>
      </c>
      <c r="X35" s="1815"/>
      <c r="Y35" s="3194" t="s">
        <v>2553</v>
      </c>
      <c r="Z35" s="1816" t="str">
        <f t="shared" si="15"/>
        <v>市政基础设施</v>
      </c>
      <c r="AA35" s="1813">
        <f t="shared" si="3"/>
        <v>1</v>
      </c>
      <c r="AB35" s="1813">
        <f t="shared" si="4"/>
        <v>1</v>
      </c>
      <c r="AC35" s="1813">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4"/>
      <c r="Q36" s="1812" t="str">
        <f t="shared" si="11"/>
        <v>内部装修</v>
      </c>
      <c r="R36" s="774" t="s">
        <v>17</v>
      </c>
      <c r="S36" s="775">
        <f t="shared" si="12"/>
        <v>100</v>
      </c>
      <c r="T36" s="774" t="s">
        <v>17</v>
      </c>
      <c r="U36" s="775">
        <f t="shared" si="13"/>
        <v>100</v>
      </c>
      <c r="V36" s="774" t="s">
        <v>17</v>
      </c>
      <c r="W36" s="775">
        <f t="shared" si="14"/>
        <v>100</v>
      </c>
      <c r="X36" s="1815"/>
      <c r="Y36" s="3194"/>
      <c r="Z36" s="1816" t="str">
        <f t="shared" si="15"/>
        <v>内部装修</v>
      </c>
      <c r="AA36" s="1813">
        <f t="shared" si="3"/>
        <v>1</v>
      </c>
      <c r="AB36" s="1813">
        <f t="shared" si="4"/>
        <v>1</v>
      </c>
      <c r="AC36" s="1813">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4"/>
      <c r="Q37" s="1812" t="str">
        <f t="shared" si="11"/>
        <v>内部装修状况</v>
      </c>
      <c r="R37" s="774" t="s">
        <v>17</v>
      </c>
      <c r="S37" s="775">
        <f t="shared" si="12"/>
        <v>100</v>
      </c>
      <c r="T37" s="774" t="s">
        <v>17</v>
      </c>
      <c r="U37" s="775">
        <f t="shared" si="13"/>
        <v>100</v>
      </c>
      <c r="V37" s="774" t="s">
        <v>17</v>
      </c>
      <c r="W37" s="775">
        <f t="shared" si="14"/>
        <v>100</v>
      </c>
      <c r="X37" s="1815"/>
      <c r="Y37" s="3194"/>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4"/>
      <c r="Q39" s="1812">
        <f t="shared" si="11"/>
        <v>111</v>
      </c>
      <c r="R39" s="774" t="s">
        <v>17</v>
      </c>
      <c r="S39" s="775">
        <f t="shared" si="12"/>
        <v>100</v>
      </c>
      <c r="T39" s="774" t="s">
        <v>17</v>
      </c>
      <c r="U39" s="775">
        <f t="shared" si="13"/>
        <v>100</v>
      </c>
      <c r="V39" s="774" t="s">
        <v>17</v>
      </c>
      <c r="W39" s="775">
        <f t="shared" si="14"/>
        <v>100</v>
      </c>
      <c r="X39" s="1815"/>
      <c r="Y39" s="3194"/>
      <c r="Z39" s="1816">
        <f t="shared" si="15"/>
        <v>111</v>
      </c>
      <c r="AA39" s="1813">
        <f t="shared" si="3"/>
        <v>1</v>
      </c>
      <c r="AB39" s="1813">
        <f t="shared" si="4"/>
        <v>1</v>
      </c>
      <c r="AC39" s="1813">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5"/>
      <c r="Q40" s="1812">
        <f t="shared" si="11"/>
        <v>111</v>
      </c>
      <c r="R40" s="774" t="s">
        <v>17</v>
      </c>
      <c r="S40" s="775">
        <f t="shared" si="12"/>
        <v>100</v>
      </c>
      <c r="T40" s="774" t="s">
        <v>17</v>
      </c>
      <c r="U40" s="775">
        <f t="shared" si="13"/>
        <v>100</v>
      </c>
      <c r="V40" s="774" t="s">
        <v>17</v>
      </c>
      <c r="W40" s="775">
        <f t="shared" si="14"/>
        <v>100</v>
      </c>
      <c r="X40" s="1815"/>
      <c r="Y40" s="3195"/>
      <c r="Z40" s="1816">
        <f t="shared" si="15"/>
        <v>111</v>
      </c>
      <c r="AA40" s="1813">
        <f t="shared" si="3"/>
        <v>1</v>
      </c>
      <c r="AB40" s="1813">
        <f t="shared" si="4"/>
        <v>1</v>
      </c>
      <c r="AC40" s="1813">
        <f t="shared" si="5"/>
        <v>1</v>
      </c>
    </row>
    <row r="41" spans="1:29" ht="15">
      <c r="A41" s="479" t="s">
        <v>2565</v>
      </c>
      <c r="B41" s="480"/>
      <c r="C41" s="1410" t="s">
        <v>1</v>
      </c>
      <c r="D41" s="1411"/>
      <c r="E41" s="1412"/>
      <c r="F41" s="1413"/>
      <c r="G41" s="1414"/>
      <c r="H41" s="1415"/>
      <c r="I41" s="1412"/>
      <c r="J41" s="1415"/>
      <c r="K41" s="783"/>
      <c r="L41" s="1146"/>
      <c r="M41" s="1147"/>
      <c r="N41" s="1134"/>
      <c r="O41" s="1147"/>
      <c r="P41" s="3187" t="str">
        <f>A41</f>
        <v>成交单价（元/平方米）</v>
      </c>
      <c r="Q41" s="3187"/>
      <c r="R41" s="3188">
        <f>E41</f>
        <v>0</v>
      </c>
      <c r="S41" s="3188"/>
      <c r="T41" s="3188">
        <f>G41</f>
        <v>0</v>
      </c>
      <c r="U41" s="3188"/>
      <c r="V41" s="3188">
        <f>I41</f>
        <v>0</v>
      </c>
      <c r="W41" s="3188"/>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84" t="str">
        <f>A43</f>
        <v>估价对象XX用房的比较价值（楼面单价，元/平方米）</v>
      </c>
      <c r="Q43" s="3185"/>
      <c r="R43" s="3186" t="e">
        <f>IF(F1="售价",ROUND(AVERAGE(R42:V42),0),ROUND(AVERAGE(R42:V42),1))</f>
        <v>#DIV/0!</v>
      </c>
      <c r="S43" s="3186"/>
      <c r="T43" s="3186"/>
      <c r="U43" s="3186"/>
      <c r="V43" s="3186"/>
      <c r="W43" s="318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受贵公司委托，我公司对北京市海淀区枫涟山庄12号楼2层5单元201号房地产抵押价值进行了预评估。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估价对象为北京市海淀区枫涟山庄12号楼2层5单元201号房地产，为所有。根据，估价对象（分摊）出让国有建设用地使用权面积为0平方米。根据《不动产权证书》，估价对象建筑面积为124.73平方米。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枫涟山庄12号楼2层5单元201号房地产,属开发建设的居住项目，该项目尚在开发建设中。根据，估价对象（分摊）出让国有建设用地使用权面积为0平方米。根据《不动产权证书》，估价对象规划建筑面积为124.73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海淀区枫涟山庄12号楼2层5单元201号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2018年4月27日（评估专业人员实地查勘之日）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8"/>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90"/>
      <c r="D2" s="1127" t="e">
        <f ca="1">SUMIF(INDIRECT("'"&amp;F2&amp;"'"&amp;"!A:A"),"承租人权益价值",INDIRECT("'"&amp;F2&amp;"'"&amp;"!c:c"))</f>
        <v>#REF!</v>
      </c>
      <c r="E2" s="2591" t="s">
        <v>2316</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70" t="s">
        <v>2634</v>
      </c>
      <c r="D4" s="3171"/>
      <c r="E4" s="3172" t="s">
        <v>2635</v>
      </c>
      <c r="F4" s="3173"/>
      <c r="G4" s="3170" t="s">
        <v>2636</v>
      </c>
      <c r="H4" s="3171"/>
      <c r="I4" s="3170" t="s">
        <v>2637</v>
      </c>
      <c r="J4" s="3171"/>
      <c r="K4" s="610" t="s">
        <v>2638</v>
      </c>
      <c r="L4" s="1133"/>
      <c r="M4" s="1134"/>
      <c r="N4" s="1134"/>
      <c r="O4" s="1134"/>
      <c r="P4" s="3174" t="s">
        <v>2639</v>
      </c>
      <c r="Q4" s="3175"/>
      <c r="R4" s="3159" t="s">
        <v>2635</v>
      </c>
      <c r="S4" s="3160"/>
      <c r="T4" s="3159" t="s">
        <v>2636</v>
      </c>
      <c r="U4" s="3160"/>
      <c r="V4" s="3182" t="s">
        <v>2637</v>
      </c>
      <c r="W4" s="3182"/>
      <c r="X4" s="1815"/>
      <c r="Y4" s="3159" t="s">
        <v>2639</v>
      </c>
      <c r="Z4" s="3160"/>
      <c r="AA4" s="3154" t="s">
        <v>2635</v>
      </c>
      <c r="AB4" s="3155" t="s">
        <v>2636</v>
      </c>
      <c r="AC4" s="3154" t="s">
        <v>2637</v>
      </c>
    </row>
    <row r="5" spans="1:29" ht="15">
      <c r="A5" s="404"/>
      <c r="B5" s="405"/>
      <c r="C5" s="3222" t="s">
        <v>2530</v>
      </c>
      <c r="D5" s="3164"/>
      <c r="E5" s="3220" t="s">
        <v>2531</v>
      </c>
      <c r="F5" s="3221"/>
      <c r="G5" s="3222" t="s">
        <v>2532</v>
      </c>
      <c r="H5" s="3164"/>
      <c r="I5" s="3222" t="s">
        <v>2533</v>
      </c>
      <c r="J5" s="3164"/>
      <c r="K5" s="610"/>
      <c r="L5" s="1133"/>
      <c r="M5" s="1134"/>
      <c r="N5" s="1134"/>
      <c r="O5" s="1134"/>
      <c r="P5" s="3176"/>
      <c r="Q5" s="3177"/>
      <c r="R5" s="3161"/>
      <c r="S5" s="3162"/>
      <c r="T5" s="3161"/>
      <c r="U5" s="3162"/>
      <c r="V5" s="3182"/>
      <c r="W5" s="3182"/>
      <c r="X5" s="1815"/>
      <c r="Y5" s="3161"/>
      <c r="Z5" s="3162"/>
      <c r="AA5" s="3155"/>
      <c r="AB5" s="3155"/>
      <c r="AC5" s="3155"/>
    </row>
    <row r="6" spans="1:29" ht="15.75" thickBot="1">
      <c r="A6" s="406"/>
      <c r="B6" s="407"/>
      <c r="C6" s="3165" t="s">
        <v>2534</v>
      </c>
      <c r="D6" s="3166"/>
      <c r="E6" s="3167" t="s">
        <v>2534</v>
      </c>
      <c r="F6" s="3168"/>
      <c r="G6" s="3165" t="s">
        <v>2534</v>
      </c>
      <c r="H6" s="3166"/>
      <c r="I6" s="3165" t="s">
        <v>2534</v>
      </c>
      <c r="J6" s="3166"/>
      <c r="K6" s="610" t="s">
        <v>2535</v>
      </c>
      <c r="L6" s="1133"/>
      <c r="M6" s="1134"/>
      <c r="N6" s="1134"/>
      <c r="O6" s="1134"/>
      <c r="P6" s="3178"/>
      <c r="Q6" s="3179"/>
      <c r="R6" s="3161"/>
      <c r="S6" s="3162"/>
      <c r="T6" s="3180"/>
      <c r="U6" s="3181"/>
      <c r="V6" s="3182"/>
      <c r="W6" s="3182"/>
      <c r="X6" s="1815"/>
      <c r="Y6" s="3180"/>
      <c r="Z6" s="3181"/>
      <c r="AA6" s="3156"/>
      <c r="AB6" s="3156"/>
      <c r="AC6" s="3156"/>
    </row>
    <row r="7" spans="1:29" s="117" customFormat="1" ht="15.75" thickBot="1">
      <c r="A7" s="408" t="s">
        <v>2536</v>
      </c>
      <c r="B7" s="409"/>
      <c r="C7" s="410">
        <f>'数据-取费表'!B2</f>
        <v>43217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7" t="s">
        <v>2537</v>
      </c>
      <c r="Q7" s="3183"/>
      <c r="R7" s="770" t="s">
        <v>17</v>
      </c>
      <c r="S7" s="771">
        <f t="shared" ref="S7:S14" si="0">F7</f>
        <v>0</v>
      </c>
      <c r="T7" s="770" t="s">
        <v>17</v>
      </c>
      <c r="U7" s="771">
        <f t="shared" ref="U7:U14" si="1">H7</f>
        <v>0</v>
      </c>
      <c r="V7" s="770" t="s">
        <v>17</v>
      </c>
      <c r="W7" s="771">
        <f t="shared" ref="W7:W14" si="2">J7</f>
        <v>0</v>
      </c>
      <c r="X7" s="772"/>
      <c r="Y7" s="3157" t="s">
        <v>2537</v>
      </c>
      <c r="Z7" s="3158"/>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7" t="s">
        <v>2540</v>
      </c>
      <c r="Q8" s="3158"/>
      <c r="R8" s="770" t="s">
        <v>17</v>
      </c>
      <c r="S8" s="771">
        <f t="shared" si="0"/>
        <v>0</v>
      </c>
      <c r="T8" s="770" t="s">
        <v>17</v>
      </c>
      <c r="U8" s="771">
        <f t="shared" si="1"/>
        <v>0</v>
      </c>
      <c r="V8" s="770" t="s">
        <v>17</v>
      </c>
      <c r="W8" s="771">
        <f t="shared" si="2"/>
        <v>0</v>
      </c>
      <c r="X8" s="772"/>
      <c r="Y8" s="3157" t="s">
        <v>2540</v>
      </c>
      <c r="Z8" s="3158"/>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7" t="s">
        <v>2543</v>
      </c>
      <c r="Q9" s="1797" t="str">
        <f t="shared" ref="Q9:Q14" si="6">B9</f>
        <v>用途</v>
      </c>
      <c r="R9" s="770" t="s">
        <v>17</v>
      </c>
      <c r="S9" s="771">
        <f t="shared" si="0"/>
        <v>100</v>
      </c>
      <c r="T9" s="770" t="s">
        <v>17</v>
      </c>
      <c r="U9" s="771">
        <f t="shared" si="1"/>
        <v>100</v>
      </c>
      <c r="V9" s="770" t="s">
        <v>17</v>
      </c>
      <c r="W9" s="771">
        <f t="shared" si="2"/>
        <v>100</v>
      </c>
      <c r="X9" s="772"/>
      <c r="Y9" s="3026"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7"/>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7"/>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7"/>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7"/>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
      <c r="A14" s="401" t="s">
        <v>2547</v>
      </c>
      <c r="B14" s="629" t="s">
        <v>2697</v>
      </c>
      <c r="C14" s="2694"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9" t="s">
        <v>2548</v>
      </c>
      <c r="Q14" s="1812" t="str">
        <f t="shared" si="6"/>
        <v>交通便捷度</v>
      </c>
      <c r="R14" s="774" t="s">
        <v>17</v>
      </c>
      <c r="S14" s="775">
        <f t="shared" si="0"/>
        <v>100</v>
      </c>
      <c r="T14" s="774" t="s">
        <v>17</v>
      </c>
      <c r="U14" s="775">
        <f t="shared" si="1"/>
        <v>100</v>
      </c>
      <c r="V14" s="774" t="s">
        <v>17</v>
      </c>
      <c r="W14" s="775">
        <f t="shared" si="2"/>
        <v>100</v>
      </c>
      <c r="X14" s="1815"/>
      <c r="Y14" s="3189"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0"/>
      <c r="Q15" s="1812"/>
      <c r="R15" s="774"/>
      <c r="S15" s="775"/>
      <c r="T15" s="774"/>
      <c r="U15" s="775"/>
      <c r="V15" s="774"/>
      <c r="W15" s="775"/>
      <c r="X15" s="1815"/>
      <c r="Y15" s="3190"/>
      <c r="Z15" s="1816"/>
      <c r="AA15" s="1813">
        <v>1</v>
      </c>
      <c r="AB15" s="1813">
        <v>1</v>
      </c>
      <c r="AC15" s="1813">
        <v>1</v>
      </c>
    </row>
    <row r="16" spans="1:29" ht="15">
      <c r="A16" s="404"/>
      <c r="B16" s="631" t="s">
        <v>2676</v>
      </c>
      <c r="C16" s="261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0"/>
      <c r="Q16" s="1812" t="str">
        <f>B16</f>
        <v>公共配套设施</v>
      </c>
      <c r="R16" s="774" t="s">
        <v>17</v>
      </c>
      <c r="S16" s="775">
        <f>F16</f>
        <v>100</v>
      </c>
      <c r="T16" s="774" t="s">
        <v>17</v>
      </c>
      <c r="U16" s="775">
        <f>H16</f>
        <v>100</v>
      </c>
      <c r="V16" s="774" t="s">
        <v>17</v>
      </c>
      <c r="W16" s="775">
        <f>J16</f>
        <v>100</v>
      </c>
      <c r="X16" s="1815"/>
      <c r="Y16" s="3190"/>
      <c r="Z16" s="1816" t="str">
        <f>Q16</f>
        <v>公共配套设施</v>
      </c>
      <c r="AA16" s="1813">
        <f t="shared" si="3"/>
        <v>1</v>
      </c>
      <c r="AB16" s="1813">
        <f t="shared" si="4"/>
        <v>1</v>
      </c>
      <c r="AC16" s="1813">
        <f t="shared" si="5"/>
        <v>1</v>
      </c>
    </row>
    <row r="17" spans="1:29" ht="15">
      <c r="A17" s="404"/>
      <c r="B17" s="632"/>
      <c r="C17" s="2611"/>
      <c r="D17" s="448"/>
      <c r="E17" s="447"/>
      <c r="F17" s="449"/>
      <c r="G17" s="447"/>
      <c r="H17" s="448"/>
      <c r="I17" s="447"/>
      <c r="J17" s="448"/>
      <c r="K17" s="615"/>
      <c r="L17" s="1143"/>
      <c r="M17" s="1134"/>
      <c r="N17" s="1134"/>
      <c r="O17" s="1134"/>
      <c r="P17" s="3190"/>
      <c r="Q17" s="1812"/>
      <c r="R17" s="774"/>
      <c r="S17" s="775"/>
      <c r="T17" s="774"/>
      <c r="U17" s="775"/>
      <c r="V17" s="774"/>
      <c r="W17" s="775"/>
      <c r="X17" s="1815"/>
      <c r="Y17" s="3190"/>
      <c r="Z17" s="1816"/>
      <c r="AA17" s="1813">
        <v>1</v>
      </c>
      <c r="AB17" s="1813">
        <v>1</v>
      </c>
      <c r="AC17" s="1813">
        <v>1</v>
      </c>
    </row>
    <row r="18" spans="1:29" ht="15">
      <c r="A18" s="404"/>
      <c r="B18" s="633" t="s">
        <v>2677</v>
      </c>
      <c r="C18" s="261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0"/>
      <c r="Q18" s="1812" t="str">
        <f>B18</f>
        <v>基础设施水平</v>
      </c>
      <c r="R18" s="774" t="s">
        <v>17</v>
      </c>
      <c r="S18" s="775">
        <f>F18</f>
        <v>100</v>
      </c>
      <c r="T18" s="774" t="s">
        <v>17</v>
      </c>
      <c r="U18" s="775">
        <f>H18</f>
        <v>100</v>
      </c>
      <c r="V18" s="774" t="s">
        <v>17</v>
      </c>
      <c r="W18" s="775">
        <f>J18</f>
        <v>100</v>
      </c>
      <c r="X18" s="1815"/>
      <c r="Y18" s="3190"/>
      <c r="Z18" s="1816" t="str">
        <f>Q18</f>
        <v>基础设施水平</v>
      </c>
      <c r="AA18" s="1813">
        <f t="shared" ref="AA18" si="8">D18/F18</f>
        <v>1</v>
      </c>
      <c r="AB18" s="1813">
        <f t="shared" ref="AB18" si="9">D18/H18</f>
        <v>1</v>
      </c>
      <c r="AC18" s="1813">
        <f t="shared" ref="AC18" si="10">D18/J18</f>
        <v>1</v>
      </c>
    </row>
    <row r="19" spans="1:29" ht="15">
      <c r="A19" s="404"/>
      <c r="B19" s="633"/>
      <c r="C19" s="2611"/>
      <c r="D19" s="450"/>
      <c r="E19" s="2611"/>
      <c r="F19" s="453"/>
      <c r="G19" s="2611"/>
      <c r="H19" s="448"/>
      <c r="I19" s="447"/>
      <c r="J19" s="448"/>
      <c r="K19" s="1386"/>
      <c r="L19" s="1143"/>
      <c r="M19" s="1134"/>
      <c r="N19" s="1134"/>
      <c r="O19" s="1134"/>
      <c r="P19" s="3190"/>
      <c r="Q19" s="1812"/>
      <c r="R19" s="774"/>
      <c r="S19" s="775"/>
      <c r="T19" s="774"/>
      <c r="U19" s="775"/>
      <c r="V19" s="774"/>
      <c r="W19" s="775"/>
      <c r="X19" s="1815"/>
      <c r="Y19" s="3190"/>
      <c r="Z19" s="1816"/>
      <c r="AA19" s="1813">
        <v>1</v>
      </c>
      <c r="AB19" s="1813">
        <v>1</v>
      </c>
      <c r="AC19" s="1813">
        <v>1</v>
      </c>
    </row>
    <row r="20" spans="1:29" ht="15">
      <c r="A20" s="404"/>
      <c r="B20" s="631" t="s">
        <v>2698</v>
      </c>
      <c r="C20" s="261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0"/>
      <c r="Q20" s="1812" t="str">
        <f>B20</f>
        <v>自然及人文环境</v>
      </c>
      <c r="R20" s="774" t="s">
        <v>17</v>
      </c>
      <c r="S20" s="775">
        <f>F20</f>
        <v>100</v>
      </c>
      <c r="T20" s="774" t="s">
        <v>17</v>
      </c>
      <c r="U20" s="775">
        <f>H20</f>
        <v>100</v>
      </c>
      <c r="V20" s="774" t="s">
        <v>17</v>
      </c>
      <c r="W20" s="775">
        <f>J20</f>
        <v>100</v>
      </c>
      <c r="X20" s="1815"/>
      <c r="Y20" s="319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0"/>
      <c r="Q21" s="1812"/>
      <c r="R21" s="774"/>
      <c r="S21" s="775"/>
      <c r="T21" s="774"/>
      <c r="U21" s="775"/>
      <c r="V21" s="774"/>
      <c r="W21" s="775"/>
      <c r="X21" s="1815"/>
      <c r="Y21" s="3190"/>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0"/>
      <c r="Q22" s="1812" t="str">
        <f>B22</f>
        <v>楼层</v>
      </c>
      <c r="R22" s="774" t="s">
        <v>17</v>
      </c>
      <c r="S22" s="775">
        <f>F22</f>
        <v>100</v>
      </c>
      <c r="T22" s="774" t="s">
        <v>17</v>
      </c>
      <c r="U22" s="775">
        <f>H22</f>
        <v>100</v>
      </c>
      <c r="V22" s="774" t="s">
        <v>17</v>
      </c>
      <c r="W22" s="775">
        <f>J22</f>
        <v>100</v>
      </c>
      <c r="X22" s="1815"/>
      <c r="Y22" s="319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0"/>
      <c r="Q23" s="1812">
        <f>B23</f>
        <v>111</v>
      </c>
      <c r="R23" s="774" t="s">
        <v>17</v>
      </c>
      <c r="S23" s="775">
        <f>F23</f>
        <v>100</v>
      </c>
      <c r="T23" s="774" t="s">
        <v>17</v>
      </c>
      <c r="U23" s="775">
        <f>H23</f>
        <v>100</v>
      </c>
      <c r="V23" s="774" t="s">
        <v>17</v>
      </c>
      <c r="W23" s="775">
        <f>J23</f>
        <v>100</v>
      </c>
      <c r="X23" s="1815"/>
      <c r="Y23" s="319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0"/>
      <c r="Q24" s="1812">
        <f t="shared" ref="Q24:Q36" si="11">B24</f>
        <v>111</v>
      </c>
      <c r="R24" s="774" t="s">
        <v>17</v>
      </c>
      <c r="S24" s="775">
        <f>F24</f>
        <v>100</v>
      </c>
      <c r="T24" s="774" t="s">
        <v>17</v>
      </c>
      <c r="U24" s="775">
        <f>H24</f>
        <v>100</v>
      </c>
      <c r="V24" s="774" t="s">
        <v>17</v>
      </c>
      <c r="W24" s="775">
        <f>J24</f>
        <v>100</v>
      </c>
      <c r="X24" s="1815"/>
      <c r="Y24" s="319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0"/>
      <c r="Q25" s="1797">
        <f t="shared" si="11"/>
        <v>111</v>
      </c>
      <c r="R25" s="770" t="s">
        <v>17</v>
      </c>
      <c r="S25" s="771">
        <f>F25</f>
        <v>100</v>
      </c>
      <c r="T25" s="770" t="s">
        <v>17</v>
      </c>
      <c r="U25" s="771">
        <f>H25</f>
        <v>100</v>
      </c>
      <c r="V25" s="770" t="s">
        <v>17</v>
      </c>
      <c r="W25" s="771">
        <f>J25</f>
        <v>100</v>
      </c>
      <c r="X25" s="772"/>
      <c r="Y25" s="3190"/>
      <c r="Z25" s="55">
        <f>Q25</f>
        <v>111</v>
      </c>
      <c r="AA25" s="1813">
        <f>D25/F25</f>
        <v>1</v>
      </c>
      <c r="AB25" s="1813">
        <f>D25/H25</f>
        <v>1</v>
      </c>
      <c r="AC25" s="1813">
        <f>D25/J25</f>
        <v>1</v>
      </c>
    </row>
    <row r="26" spans="1:29" ht="15">
      <c r="A26" s="652" t="s">
        <v>2551</v>
      </c>
      <c r="B26" s="70" t="s">
        <v>2700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8"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4"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4"/>
      <c r="Q28" s="1812" t="str">
        <f t="shared" si="11"/>
        <v>公共部分装修</v>
      </c>
      <c r="R28" s="774" t="s">
        <v>17</v>
      </c>
      <c r="S28" s="775">
        <f t="shared" si="12"/>
        <v>100</v>
      </c>
      <c r="T28" s="774" t="s">
        <v>17</v>
      </c>
      <c r="U28" s="775">
        <f t="shared" si="13"/>
        <v>100</v>
      </c>
      <c r="V28" s="774" t="s">
        <v>17</v>
      </c>
      <c r="W28" s="775">
        <f t="shared" si="14"/>
        <v>100</v>
      </c>
      <c r="X28" s="1815"/>
      <c r="Y28" s="3194"/>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4"/>
      <c r="Q29" s="1812" t="str">
        <f t="shared" si="11"/>
        <v>成新率</v>
      </c>
      <c r="R29" s="774" t="s">
        <v>17</v>
      </c>
      <c r="S29" s="775" t="e">
        <f t="shared" si="12"/>
        <v>#N/A</v>
      </c>
      <c r="T29" s="774" t="s">
        <v>17</v>
      </c>
      <c r="U29" s="775" t="e">
        <f t="shared" si="13"/>
        <v>#N/A</v>
      </c>
      <c r="V29" s="774" t="s">
        <v>17</v>
      </c>
      <c r="W29" s="775" t="e">
        <f t="shared" si="14"/>
        <v>#N/A</v>
      </c>
      <c r="X29" s="1815"/>
      <c r="Y29" s="3194"/>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4"/>
      <c r="Q30" s="1812" t="str">
        <f t="shared" si="11"/>
        <v>物业等级</v>
      </c>
      <c r="R30" s="774" t="s">
        <v>17</v>
      </c>
      <c r="S30" s="775">
        <f t="shared" si="12"/>
        <v>100</v>
      </c>
      <c r="T30" s="774" t="s">
        <v>17</v>
      </c>
      <c r="U30" s="775">
        <f t="shared" si="13"/>
        <v>100</v>
      </c>
      <c r="V30" s="774" t="s">
        <v>17</v>
      </c>
      <c r="W30" s="775">
        <f t="shared" si="14"/>
        <v>100</v>
      </c>
      <c r="X30" s="1815"/>
      <c r="Y30" s="3194"/>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4"/>
      <c r="Q31" s="1797"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4" t="s">
        <v>2553</v>
      </c>
      <c r="Q32" s="1812" t="str">
        <f t="shared" si="11"/>
        <v>车位类型</v>
      </c>
      <c r="R32" s="774" t="s">
        <v>17</v>
      </c>
      <c r="S32" s="775">
        <f t="shared" si="12"/>
        <v>100</v>
      </c>
      <c r="T32" s="774" t="s">
        <v>17</v>
      </c>
      <c r="U32" s="775">
        <f t="shared" si="13"/>
        <v>100</v>
      </c>
      <c r="V32" s="774" t="s">
        <v>17</v>
      </c>
      <c r="W32" s="775">
        <f t="shared" si="14"/>
        <v>100</v>
      </c>
      <c r="X32" s="1815"/>
      <c r="Y32" s="3194"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4"/>
      <c r="Q33" s="1812" t="str">
        <f t="shared" si="11"/>
        <v>是否直接入户</v>
      </c>
      <c r="R33" s="774" t="s">
        <v>17</v>
      </c>
      <c r="S33" s="775">
        <f t="shared" si="12"/>
        <v>100</v>
      </c>
      <c r="T33" s="774" t="s">
        <v>17</v>
      </c>
      <c r="U33" s="775">
        <f t="shared" si="13"/>
        <v>100</v>
      </c>
      <c r="V33" s="774" t="s">
        <v>17</v>
      </c>
      <c r="W33" s="775">
        <f t="shared" si="14"/>
        <v>100</v>
      </c>
      <c r="X33" s="1815"/>
      <c r="Y33" s="319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4"/>
      <c r="Q34" s="1812">
        <f t="shared" si="11"/>
        <v>111</v>
      </c>
      <c r="R34" s="774" t="s">
        <v>17</v>
      </c>
      <c r="S34" s="775">
        <f t="shared" si="12"/>
        <v>100</v>
      </c>
      <c r="T34" s="774" t="s">
        <v>17</v>
      </c>
      <c r="U34" s="775">
        <f t="shared" si="13"/>
        <v>100</v>
      </c>
      <c r="V34" s="774" t="s">
        <v>17</v>
      </c>
      <c r="W34" s="775">
        <f t="shared" si="14"/>
        <v>100</v>
      </c>
      <c r="X34" s="1815"/>
      <c r="Y34" s="319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4"/>
      <c r="Q36" s="1812">
        <f t="shared" si="11"/>
        <v>111</v>
      </c>
      <c r="R36" s="774" t="s">
        <v>17</v>
      </c>
      <c r="S36" s="775">
        <f t="shared" si="12"/>
        <v>100</v>
      </c>
      <c r="T36" s="774" t="s">
        <v>17</v>
      </c>
      <c r="U36" s="775">
        <f t="shared" si="13"/>
        <v>100</v>
      </c>
      <c r="V36" s="774" t="s">
        <v>17</v>
      </c>
      <c r="W36" s="775">
        <f t="shared" si="14"/>
        <v>100</v>
      </c>
      <c r="X36" s="1815"/>
      <c r="Y36" s="3194"/>
      <c r="Z36" s="1816">
        <f t="shared" si="15"/>
        <v>111</v>
      </c>
      <c r="AA36" s="1813">
        <f t="shared" si="3"/>
        <v>1</v>
      </c>
      <c r="AB36" s="1813">
        <f t="shared" si="4"/>
        <v>1</v>
      </c>
      <c r="AC36" s="1813">
        <f t="shared" si="5"/>
        <v>1</v>
      </c>
    </row>
    <row r="37" spans="1:29" ht="15">
      <c r="A37" s="479" t="s">
        <v>2708</v>
      </c>
      <c r="B37" s="2696" t="s">
        <v>2709</v>
      </c>
      <c r="C37" s="1410" t="s">
        <v>1</v>
      </c>
      <c r="D37" s="1411"/>
      <c r="E37" s="1412"/>
      <c r="F37" s="1413"/>
      <c r="G37" s="1414"/>
      <c r="H37" s="1415"/>
      <c r="I37" s="1412"/>
      <c r="J37" s="1415"/>
      <c r="K37" s="619"/>
      <c r="L37" s="1146"/>
      <c r="M37" s="1147"/>
      <c r="N37" s="1134"/>
      <c r="O37" s="1147"/>
      <c r="P37" s="3187" t="str">
        <f>A37</f>
        <v>成交单价</v>
      </c>
      <c r="Q37" s="3187"/>
      <c r="R37" s="3188">
        <f>E37</f>
        <v>0</v>
      </c>
      <c r="S37" s="3188"/>
      <c r="T37" s="3188">
        <f>G37</f>
        <v>0</v>
      </c>
      <c r="U37" s="3188"/>
      <c r="V37" s="3188">
        <f>I37</f>
        <v>0</v>
      </c>
      <c r="W37" s="3188"/>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84" t="str">
        <f>A39</f>
        <v>估价对象XX用房的比较价值（楼面单价，元/平方米）</v>
      </c>
      <c r="Q39" s="3185"/>
      <c r="R39" s="3186" t="e">
        <f>IF(F1="售价",ROUND(AVERAGE(R38:V38),0),ROUND(AVERAGE(R38:V38),1))</f>
        <v>#DIV/0!</v>
      </c>
      <c r="S39" s="3186"/>
      <c r="T39" s="3186"/>
      <c r="U39" s="3186"/>
      <c r="V39" s="3186"/>
      <c r="W39" s="318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8"/>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90"/>
      <c r="D2" s="1127" t="e">
        <f ca="1">SUMIF(INDIRECT("'"&amp;F2&amp;"'"&amp;"!A:A"),"承租人权益价值",INDIRECT("'"&amp;F2&amp;"'"&amp;"!c:c"))</f>
        <v>#REF!</v>
      </c>
      <c r="E2" s="2591" t="s">
        <v>2316</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70" t="s">
        <v>2634</v>
      </c>
      <c r="D4" s="3171"/>
      <c r="E4" s="3172" t="s">
        <v>2635</v>
      </c>
      <c r="F4" s="3173"/>
      <c r="G4" s="3170" t="s">
        <v>2636</v>
      </c>
      <c r="H4" s="3171"/>
      <c r="I4" s="3170" t="s">
        <v>2637</v>
      </c>
      <c r="J4" s="3171"/>
      <c r="K4" s="610" t="s">
        <v>2638</v>
      </c>
      <c r="L4" s="1133"/>
      <c r="M4" s="1134"/>
      <c r="N4" s="1134"/>
      <c r="O4" s="1134"/>
      <c r="P4" s="3174" t="s">
        <v>2639</v>
      </c>
      <c r="Q4" s="3175"/>
      <c r="R4" s="3159" t="s">
        <v>2635</v>
      </c>
      <c r="S4" s="3160"/>
      <c r="T4" s="3159" t="s">
        <v>2636</v>
      </c>
      <c r="U4" s="3160"/>
      <c r="V4" s="3182" t="s">
        <v>2637</v>
      </c>
      <c r="W4" s="3182"/>
      <c r="X4" s="1815"/>
      <c r="Y4" s="3159" t="s">
        <v>2639</v>
      </c>
      <c r="Z4" s="3160"/>
      <c r="AA4" s="3154" t="s">
        <v>2635</v>
      </c>
      <c r="AB4" s="3155" t="s">
        <v>2636</v>
      </c>
      <c r="AC4" s="3154" t="s">
        <v>2637</v>
      </c>
    </row>
    <row r="5" spans="1:29" ht="15">
      <c r="A5" s="404"/>
      <c r="B5" s="405"/>
      <c r="C5" s="3222" t="s">
        <v>2530</v>
      </c>
      <c r="D5" s="3164"/>
      <c r="E5" s="3220" t="s">
        <v>2531</v>
      </c>
      <c r="F5" s="3221"/>
      <c r="G5" s="3222" t="s">
        <v>2532</v>
      </c>
      <c r="H5" s="3164"/>
      <c r="I5" s="3222" t="s">
        <v>2533</v>
      </c>
      <c r="J5" s="3164"/>
      <c r="K5" s="610"/>
      <c r="L5" s="1133"/>
      <c r="M5" s="1134"/>
      <c r="N5" s="1134"/>
      <c r="O5" s="1134"/>
      <c r="P5" s="3176"/>
      <c r="Q5" s="3177"/>
      <c r="R5" s="3161"/>
      <c r="S5" s="3162"/>
      <c r="T5" s="3161"/>
      <c r="U5" s="3162"/>
      <c r="V5" s="3182"/>
      <c r="W5" s="3182"/>
      <c r="X5" s="1815"/>
      <c r="Y5" s="3161"/>
      <c r="Z5" s="3162"/>
      <c r="AA5" s="3155"/>
      <c r="AB5" s="3155"/>
      <c r="AC5" s="3155"/>
    </row>
    <row r="6" spans="1:29" ht="15.75" thickBot="1">
      <c r="A6" s="406"/>
      <c r="B6" s="407"/>
      <c r="C6" s="3165" t="s">
        <v>2534</v>
      </c>
      <c r="D6" s="3166"/>
      <c r="E6" s="3167" t="s">
        <v>2534</v>
      </c>
      <c r="F6" s="3168"/>
      <c r="G6" s="3165" t="s">
        <v>2534</v>
      </c>
      <c r="H6" s="3166"/>
      <c r="I6" s="3165" t="s">
        <v>2534</v>
      </c>
      <c r="J6" s="3166"/>
      <c r="K6" s="610" t="s">
        <v>2535</v>
      </c>
      <c r="L6" s="1133"/>
      <c r="M6" s="1134"/>
      <c r="N6" s="1134"/>
      <c r="O6" s="1134"/>
      <c r="P6" s="3178"/>
      <c r="Q6" s="3179"/>
      <c r="R6" s="3161"/>
      <c r="S6" s="3162"/>
      <c r="T6" s="3180"/>
      <c r="U6" s="3181"/>
      <c r="V6" s="3182"/>
      <c r="W6" s="3182"/>
      <c r="X6" s="1815"/>
      <c r="Y6" s="3180"/>
      <c r="Z6" s="3181"/>
      <c r="AA6" s="3156"/>
      <c r="AB6" s="3156"/>
      <c r="AC6" s="3156"/>
    </row>
    <row r="7" spans="1:29" s="117" customFormat="1" ht="15.75" thickBot="1">
      <c r="A7" s="408" t="s">
        <v>2536</v>
      </c>
      <c r="B7" s="409"/>
      <c r="C7" s="410">
        <f>'数据-取费表'!B2</f>
        <v>43217</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57" t="s">
        <v>2537</v>
      </c>
      <c r="Q7" s="3183"/>
      <c r="R7" s="770" t="s">
        <v>17</v>
      </c>
      <c r="S7" s="771">
        <f t="shared" ref="S7:S14" si="0">F7</f>
        <v>0</v>
      </c>
      <c r="T7" s="770" t="s">
        <v>17</v>
      </c>
      <c r="U7" s="771">
        <f t="shared" ref="U7:U14" si="1">H7</f>
        <v>0</v>
      </c>
      <c r="V7" s="770" t="s">
        <v>17</v>
      </c>
      <c r="W7" s="771">
        <f t="shared" ref="W7:W14" si="2">J7</f>
        <v>0</v>
      </c>
      <c r="X7" s="772"/>
      <c r="Y7" s="3157" t="s">
        <v>2537</v>
      </c>
      <c r="Z7" s="3158"/>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7" t="s">
        <v>2540</v>
      </c>
      <c r="Q8" s="3158"/>
      <c r="R8" s="770" t="s">
        <v>17</v>
      </c>
      <c r="S8" s="771">
        <f t="shared" si="0"/>
        <v>0</v>
      </c>
      <c r="T8" s="770" t="s">
        <v>17</v>
      </c>
      <c r="U8" s="771">
        <f t="shared" si="1"/>
        <v>0</v>
      </c>
      <c r="V8" s="770" t="s">
        <v>17</v>
      </c>
      <c r="W8" s="771">
        <f t="shared" si="2"/>
        <v>0</v>
      </c>
      <c r="X8" s="772"/>
      <c r="Y8" s="3157" t="s">
        <v>2540</v>
      </c>
      <c r="Z8" s="3158"/>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7" t="s">
        <v>2543</v>
      </c>
      <c r="Q9" s="1797" t="str">
        <f t="shared" ref="Q9:Q14" si="6">B9</f>
        <v>用途</v>
      </c>
      <c r="R9" s="770" t="s">
        <v>17</v>
      </c>
      <c r="S9" s="771">
        <f t="shared" si="0"/>
        <v>100</v>
      </c>
      <c r="T9" s="770" t="s">
        <v>17</v>
      </c>
      <c r="U9" s="771">
        <f t="shared" si="1"/>
        <v>100</v>
      </c>
      <c r="V9" s="770" t="s">
        <v>17</v>
      </c>
      <c r="W9" s="771">
        <f t="shared" si="2"/>
        <v>100</v>
      </c>
      <c r="X9" s="772"/>
      <c r="Y9" s="3026"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7"/>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7"/>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7"/>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7"/>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
      <c r="A14" s="440" t="s">
        <v>2547</v>
      </c>
      <c r="B14" s="69" t="s">
        <v>2697</v>
      </c>
      <c r="C14" s="2694"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9" t="s">
        <v>2548</v>
      </c>
      <c r="Q14" s="1812" t="str">
        <f t="shared" si="6"/>
        <v>交通便捷度</v>
      </c>
      <c r="R14" s="774" t="s">
        <v>17</v>
      </c>
      <c r="S14" s="775">
        <f t="shared" si="0"/>
        <v>100</v>
      </c>
      <c r="T14" s="774" t="s">
        <v>17</v>
      </c>
      <c r="U14" s="775">
        <f t="shared" si="1"/>
        <v>100</v>
      </c>
      <c r="V14" s="774" t="s">
        <v>17</v>
      </c>
      <c r="W14" s="775">
        <f t="shared" si="2"/>
        <v>100</v>
      </c>
      <c r="X14" s="1815"/>
      <c r="Y14" s="3189"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0"/>
      <c r="Q15" s="1812"/>
      <c r="R15" s="774"/>
      <c r="S15" s="775"/>
      <c r="T15" s="774"/>
      <c r="U15" s="775"/>
      <c r="V15" s="774"/>
      <c r="W15" s="775"/>
      <c r="X15" s="1815"/>
      <c r="Y15" s="3190"/>
      <c r="Z15" s="1816"/>
      <c r="AA15" s="1813">
        <v>1</v>
      </c>
      <c r="AB15" s="1813">
        <v>1</v>
      </c>
      <c r="AC15" s="1813">
        <v>1</v>
      </c>
    </row>
    <row r="16" spans="1:29" ht="15">
      <c r="A16" s="428"/>
      <c r="B16" s="451" t="s">
        <v>2676</v>
      </c>
      <c r="C16" s="261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0"/>
      <c r="Q16" s="1812" t="str">
        <f>B16</f>
        <v>公共配套设施</v>
      </c>
      <c r="R16" s="774" t="s">
        <v>17</v>
      </c>
      <c r="S16" s="775">
        <f>F16</f>
        <v>100</v>
      </c>
      <c r="T16" s="774" t="s">
        <v>17</v>
      </c>
      <c r="U16" s="775">
        <f>H16</f>
        <v>100</v>
      </c>
      <c r="V16" s="774" t="s">
        <v>17</v>
      </c>
      <c r="W16" s="775">
        <f>J16</f>
        <v>100</v>
      </c>
      <c r="X16" s="1815"/>
      <c r="Y16" s="3190"/>
      <c r="Z16" s="1816" t="str">
        <f>Q16</f>
        <v>公共配套设施</v>
      </c>
      <c r="AA16" s="1813">
        <f t="shared" si="3"/>
        <v>1</v>
      </c>
      <c r="AB16" s="1813">
        <f t="shared" si="4"/>
        <v>1</v>
      </c>
      <c r="AC16" s="1813">
        <f t="shared" si="5"/>
        <v>1</v>
      </c>
    </row>
    <row r="17" spans="1:29" ht="15">
      <c r="A17" s="428"/>
      <c r="B17" s="456"/>
      <c r="C17" s="2611"/>
      <c r="D17" s="448"/>
      <c r="E17" s="447"/>
      <c r="F17" s="449"/>
      <c r="G17" s="447"/>
      <c r="H17" s="448"/>
      <c r="I17" s="447"/>
      <c r="J17" s="448"/>
      <c r="K17" s="615"/>
      <c r="L17" s="1143"/>
      <c r="M17" s="1134"/>
      <c r="N17" s="1134"/>
      <c r="O17" s="1142"/>
      <c r="P17" s="3190"/>
      <c r="Q17" s="1812"/>
      <c r="R17" s="774"/>
      <c r="S17" s="775"/>
      <c r="T17" s="774"/>
      <c r="U17" s="775"/>
      <c r="V17" s="774"/>
      <c r="W17" s="775"/>
      <c r="X17" s="1815"/>
      <c r="Y17" s="3190"/>
      <c r="Z17" s="1816"/>
      <c r="AA17" s="1813">
        <v>1</v>
      </c>
      <c r="AB17" s="1813">
        <v>1</v>
      </c>
      <c r="AC17" s="1813">
        <v>1</v>
      </c>
    </row>
    <row r="18" spans="1:29" ht="15">
      <c r="A18" s="428"/>
      <c r="B18" s="1387" t="s">
        <v>2677</v>
      </c>
      <c r="C18" s="261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0"/>
      <c r="Q18" s="1812" t="str">
        <f>B18</f>
        <v>基础设施水平</v>
      </c>
      <c r="R18" s="774" t="s">
        <v>17</v>
      </c>
      <c r="S18" s="775">
        <f>F18</f>
        <v>100</v>
      </c>
      <c r="T18" s="774" t="s">
        <v>17</v>
      </c>
      <c r="U18" s="775">
        <f>H18</f>
        <v>100</v>
      </c>
      <c r="V18" s="774" t="s">
        <v>17</v>
      </c>
      <c r="W18" s="775">
        <f>J18</f>
        <v>100</v>
      </c>
      <c r="X18" s="1815"/>
      <c r="Y18" s="3190"/>
      <c r="Z18" s="1816" t="str">
        <f>Q18</f>
        <v>基础设施水平</v>
      </c>
      <c r="AA18" s="1813">
        <f t="shared" ref="AA18" si="8">D18/F18</f>
        <v>1</v>
      </c>
      <c r="AB18" s="1813">
        <f t="shared" ref="AB18" si="9">D18/H18</f>
        <v>1</v>
      </c>
      <c r="AC18" s="1813">
        <f t="shared" ref="AC18" si="10">D18/J18</f>
        <v>1</v>
      </c>
    </row>
    <row r="19" spans="1:29" ht="15">
      <c r="A19" s="428"/>
      <c r="B19" s="1387"/>
      <c r="C19" s="2611"/>
      <c r="D19" s="450"/>
      <c r="E19" s="2611"/>
      <c r="F19" s="453"/>
      <c r="G19" s="2611"/>
      <c r="H19" s="448"/>
      <c r="I19" s="447"/>
      <c r="J19" s="448"/>
      <c r="K19" s="1386"/>
      <c r="L19" s="1143"/>
      <c r="M19" s="1134"/>
      <c r="N19" s="1134"/>
      <c r="O19" s="1142"/>
      <c r="P19" s="3190"/>
      <c r="Q19" s="1812"/>
      <c r="R19" s="774"/>
      <c r="S19" s="775"/>
      <c r="T19" s="774"/>
      <c r="U19" s="775"/>
      <c r="V19" s="774"/>
      <c r="W19" s="775"/>
      <c r="X19" s="1815"/>
      <c r="Y19" s="3190"/>
      <c r="Z19" s="1816"/>
      <c r="AA19" s="1813">
        <v>1</v>
      </c>
      <c r="AB19" s="1813">
        <v>1</v>
      </c>
      <c r="AC19" s="1813">
        <v>1</v>
      </c>
    </row>
    <row r="20" spans="1:29" ht="15">
      <c r="A20" s="428"/>
      <c r="B20" s="451" t="s">
        <v>2698</v>
      </c>
      <c r="C20" s="261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0"/>
      <c r="Q20" s="1812" t="str">
        <f>B20</f>
        <v>自然及人文环境</v>
      </c>
      <c r="R20" s="774" t="s">
        <v>17</v>
      </c>
      <c r="S20" s="775">
        <f>F20</f>
        <v>100</v>
      </c>
      <c r="T20" s="774" t="s">
        <v>17</v>
      </c>
      <c r="U20" s="775">
        <f>H20</f>
        <v>100</v>
      </c>
      <c r="V20" s="774" t="s">
        <v>17</v>
      </c>
      <c r="W20" s="775">
        <f>J20</f>
        <v>100</v>
      </c>
      <c r="X20" s="1815"/>
      <c r="Y20" s="319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0"/>
      <c r="Q21" s="1812"/>
      <c r="R21" s="774"/>
      <c r="S21" s="775"/>
      <c r="T21" s="774"/>
      <c r="U21" s="775"/>
      <c r="V21" s="774"/>
      <c r="W21" s="775"/>
      <c r="X21" s="1815"/>
      <c r="Y21" s="3190"/>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0"/>
      <c r="Q22" s="1812" t="str">
        <f>B22</f>
        <v>楼层</v>
      </c>
      <c r="R22" s="774" t="s">
        <v>17</v>
      </c>
      <c r="S22" s="775">
        <f>F22</f>
        <v>100</v>
      </c>
      <c r="T22" s="774" t="s">
        <v>17</v>
      </c>
      <c r="U22" s="775">
        <f>H22</f>
        <v>100</v>
      </c>
      <c r="V22" s="774" t="s">
        <v>17</v>
      </c>
      <c r="W22" s="775">
        <f>J22</f>
        <v>100</v>
      </c>
      <c r="X22" s="1815"/>
      <c r="Y22" s="3190"/>
      <c r="Z22" s="1816" t="str">
        <f>Q22</f>
        <v>楼层</v>
      </c>
      <c r="AA22" s="1813">
        <f t="shared" si="3"/>
        <v>1</v>
      </c>
      <c r="AB22" s="1813">
        <f t="shared" si="4"/>
        <v>1</v>
      </c>
      <c r="AC22" s="1813">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0"/>
      <c r="Q23" s="1812">
        <f>B23</f>
        <v>111</v>
      </c>
      <c r="R23" s="774" t="s">
        <v>17</v>
      </c>
      <c r="S23" s="775">
        <f>F23</f>
        <v>100</v>
      </c>
      <c r="T23" s="774" t="s">
        <v>17</v>
      </c>
      <c r="U23" s="775">
        <f>H23</f>
        <v>100</v>
      </c>
      <c r="V23" s="774" t="s">
        <v>17</v>
      </c>
      <c r="W23" s="775">
        <f>J23</f>
        <v>100</v>
      </c>
      <c r="X23" s="1815"/>
      <c r="Y23" s="3190"/>
      <c r="Z23" s="1816">
        <f>Q23</f>
        <v>111</v>
      </c>
      <c r="AA23" s="1813">
        <f t="shared" si="3"/>
        <v>1</v>
      </c>
      <c r="AB23" s="1813">
        <f t="shared" si="4"/>
        <v>1</v>
      </c>
      <c r="AC23" s="1813">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0"/>
      <c r="Q24" s="1812">
        <f t="shared" ref="Q24:Q34" si="11">B24</f>
        <v>111</v>
      </c>
      <c r="R24" s="774" t="s">
        <v>17</v>
      </c>
      <c r="S24" s="775">
        <f>F24</f>
        <v>100</v>
      </c>
      <c r="T24" s="774" t="s">
        <v>17</v>
      </c>
      <c r="U24" s="775">
        <f>H24</f>
        <v>100</v>
      </c>
      <c r="V24" s="774" t="s">
        <v>17</v>
      </c>
      <c r="W24" s="775">
        <f>J24</f>
        <v>100</v>
      </c>
      <c r="X24" s="1815"/>
      <c r="Y24" s="3190"/>
      <c r="Z24" s="1816">
        <f>Q24</f>
        <v>111</v>
      </c>
      <c r="AA24" s="1813">
        <f t="shared" si="3"/>
        <v>1</v>
      </c>
      <c r="AB24" s="1813">
        <f t="shared" si="4"/>
        <v>1</v>
      </c>
      <c r="AC24" s="1813">
        <f t="shared" si="5"/>
        <v>1</v>
      </c>
    </row>
    <row r="25" spans="1:29" s="117" customFormat="1" ht="15.75" thickBot="1">
      <c r="A25" s="431"/>
      <c r="B25" s="2603">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90"/>
      <c r="Q25" s="1797">
        <f t="shared" si="11"/>
        <v>111</v>
      </c>
      <c r="R25" s="770" t="s">
        <v>17</v>
      </c>
      <c r="S25" s="771">
        <f>F25</f>
        <v>100</v>
      </c>
      <c r="T25" s="770" t="s">
        <v>17</v>
      </c>
      <c r="U25" s="771">
        <f>H25</f>
        <v>100</v>
      </c>
      <c r="V25" s="770" t="s">
        <v>17</v>
      </c>
      <c r="W25" s="771">
        <f>J25</f>
        <v>100</v>
      </c>
      <c r="X25" s="772"/>
      <c r="Y25" s="3190"/>
      <c r="Z25" s="55">
        <f>Q25</f>
        <v>111</v>
      </c>
      <c r="AA25" s="1813">
        <f>D25/F25</f>
        <v>1</v>
      </c>
      <c r="AB25" s="1813">
        <f>D25/H25</f>
        <v>1</v>
      </c>
      <c r="AC25" s="1813">
        <f>D25/J25</f>
        <v>1</v>
      </c>
    </row>
    <row r="26" spans="1:29" ht="15">
      <c r="A26" s="466" t="s">
        <v>2551</v>
      </c>
      <c r="B26" s="71" t="s">
        <v>2702</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38"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4"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4"/>
      <c r="Q28" s="1812" t="str">
        <f t="shared" si="11"/>
        <v>物业等级</v>
      </c>
      <c r="R28" s="774" t="s">
        <v>17</v>
      </c>
      <c r="S28" s="775">
        <f t="shared" si="12"/>
        <v>100</v>
      </c>
      <c r="T28" s="774" t="s">
        <v>17</v>
      </c>
      <c r="U28" s="775">
        <f t="shared" si="13"/>
        <v>100</v>
      </c>
      <c r="V28" s="774" t="s">
        <v>17</v>
      </c>
      <c r="W28" s="775">
        <f t="shared" si="14"/>
        <v>100</v>
      </c>
      <c r="X28" s="1815"/>
      <c r="Y28" s="3194"/>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4"/>
      <c r="Q29" s="1812" t="str">
        <f t="shared" si="11"/>
        <v>有无电梯</v>
      </c>
      <c r="R29" s="774" t="s">
        <v>17</v>
      </c>
      <c r="S29" s="775">
        <f t="shared" si="12"/>
        <v>100</v>
      </c>
      <c r="T29" s="774" t="s">
        <v>17</v>
      </c>
      <c r="U29" s="775">
        <f t="shared" si="13"/>
        <v>100</v>
      </c>
      <c r="V29" s="774" t="s">
        <v>17</v>
      </c>
      <c r="W29" s="775">
        <f t="shared" si="14"/>
        <v>100</v>
      </c>
      <c r="X29" s="1815"/>
      <c r="Y29" s="3194"/>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4"/>
      <c r="Q30" s="1812" t="str">
        <f t="shared" si="11"/>
        <v>建筑面积</v>
      </c>
      <c r="R30" s="774" t="s">
        <v>17</v>
      </c>
      <c r="S30" s="775" t="e">
        <f t="shared" si="12"/>
        <v>#N/A</v>
      </c>
      <c r="T30" s="774" t="s">
        <v>17</v>
      </c>
      <c r="U30" s="775" t="e">
        <f t="shared" si="13"/>
        <v>#N/A</v>
      </c>
      <c r="V30" s="774" t="s">
        <v>17</v>
      </c>
      <c r="W30" s="775" t="e">
        <f t="shared" si="14"/>
        <v>#N/A</v>
      </c>
      <c r="X30" s="1815"/>
      <c r="Y30" s="3194"/>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4"/>
      <c r="Q31" s="1797"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4" t="s">
        <v>2553</v>
      </c>
      <c r="Q32" s="1812">
        <f t="shared" si="11"/>
        <v>111</v>
      </c>
      <c r="R32" s="774" t="s">
        <v>17</v>
      </c>
      <c r="S32" s="775">
        <f t="shared" si="12"/>
        <v>100</v>
      </c>
      <c r="T32" s="774" t="s">
        <v>17</v>
      </c>
      <c r="U32" s="775">
        <f t="shared" si="13"/>
        <v>100</v>
      </c>
      <c r="V32" s="774" t="s">
        <v>17</v>
      </c>
      <c r="W32" s="775">
        <f t="shared" si="14"/>
        <v>100</v>
      </c>
      <c r="X32" s="1815"/>
      <c r="Y32" s="3194" t="s">
        <v>2553</v>
      </c>
      <c r="Z32" s="1816">
        <f t="shared" si="15"/>
        <v>111</v>
      </c>
      <c r="AA32" s="1813">
        <f t="shared" si="3"/>
        <v>1</v>
      </c>
      <c r="AB32" s="1813">
        <f t="shared" si="4"/>
        <v>1</v>
      </c>
      <c r="AC32" s="1813">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4"/>
      <c r="Q33" s="1812">
        <f t="shared" si="11"/>
        <v>111</v>
      </c>
      <c r="R33" s="774" t="s">
        <v>17</v>
      </c>
      <c r="S33" s="775">
        <f t="shared" si="12"/>
        <v>100</v>
      </c>
      <c r="T33" s="774" t="s">
        <v>17</v>
      </c>
      <c r="U33" s="775">
        <f t="shared" si="13"/>
        <v>100</v>
      </c>
      <c r="V33" s="774" t="s">
        <v>17</v>
      </c>
      <c r="W33" s="775">
        <f t="shared" si="14"/>
        <v>100</v>
      </c>
      <c r="X33" s="1815"/>
      <c r="Y33" s="3194"/>
      <c r="Z33" s="1816">
        <f t="shared" si="15"/>
        <v>111</v>
      </c>
      <c r="AA33" s="1813">
        <f t="shared" si="3"/>
        <v>1</v>
      </c>
      <c r="AB33" s="1813">
        <f t="shared" si="4"/>
        <v>1</v>
      </c>
      <c r="AC33" s="1813">
        <f t="shared" si="5"/>
        <v>1</v>
      </c>
    </row>
    <row r="34" spans="1:29" ht="15.75" thickBot="1">
      <c r="A34" s="478"/>
      <c r="B34" s="2605">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4"/>
      <c r="Q34" s="1812">
        <f t="shared" si="11"/>
        <v>111</v>
      </c>
      <c r="R34" s="774" t="s">
        <v>17</v>
      </c>
      <c r="S34" s="775">
        <f t="shared" si="12"/>
        <v>100</v>
      </c>
      <c r="T34" s="774" t="s">
        <v>17</v>
      </c>
      <c r="U34" s="775">
        <f t="shared" si="13"/>
        <v>100</v>
      </c>
      <c r="V34" s="774" t="s">
        <v>17</v>
      </c>
      <c r="W34" s="775">
        <f t="shared" si="14"/>
        <v>100</v>
      </c>
      <c r="X34" s="1815"/>
      <c r="Y34" s="3194"/>
      <c r="Z34" s="1816">
        <f t="shared" si="15"/>
        <v>111</v>
      </c>
      <c r="AA34" s="1813">
        <f t="shared" si="3"/>
        <v>1</v>
      </c>
      <c r="AB34" s="1813">
        <f t="shared" si="4"/>
        <v>1</v>
      </c>
      <c r="AC34" s="1813">
        <f t="shared" si="5"/>
        <v>1</v>
      </c>
    </row>
    <row r="35" spans="1:29" ht="15">
      <c r="A35" s="479" t="s">
        <v>2565</v>
      </c>
      <c r="B35" s="480"/>
      <c r="C35" s="1410" t="s">
        <v>1</v>
      </c>
      <c r="D35" s="1411"/>
      <c r="E35" s="1412"/>
      <c r="F35" s="1413"/>
      <c r="G35" s="1414"/>
      <c r="H35" s="1415"/>
      <c r="I35" s="1412"/>
      <c r="J35" s="1415"/>
      <c r="K35" s="783"/>
      <c r="L35" s="1146"/>
      <c r="M35" s="1147"/>
      <c r="N35" s="1134"/>
      <c r="O35" s="1147"/>
      <c r="P35" s="3187" t="str">
        <f>A35</f>
        <v>成交单价（元/平方米）</v>
      </c>
      <c r="Q35" s="3187"/>
      <c r="R35" s="3188">
        <f>E35</f>
        <v>0</v>
      </c>
      <c r="S35" s="3188"/>
      <c r="T35" s="3188">
        <f>G35</f>
        <v>0</v>
      </c>
      <c r="U35" s="3188"/>
      <c r="V35" s="3188">
        <f>I35</f>
        <v>0</v>
      </c>
      <c r="W35" s="3188"/>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84" t="str">
        <f>A37</f>
        <v>估价对象XX用房的比较价值（楼面单价，元/平方米）</v>
      </c>
      <c r="Q37" s="3185"/>
      <c r="R37" s="3186" t="e">
        <f>IF(F1="售价",ROUND(AVERAGE(R36:V36),0),ROUND(AVERAGE(R36:V36),1))</f>
        <v>#DIV/0!</v>
      </c>
      <c r="S37" s="3186"/>
      <c r="T37" s="3186"/>
      <c r="U37" s="3186"/>
      <c r="V37" s="3186"/>
      <c r="W37" s="318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70" t="s">
        <v>2634</v>
      </c>
      <c r="D4" s="3171"/>
      <c r="E4" s="3172" t="s">
        <v>2635</v>
      </c>
      <c r="F4" s="3173"/>
      <c r="G4" s="3170" t="s">
        <v>2636</v>
      </c>
      <c r="H4" s="3171"/>
      <c r="I4" s="3170" t="s">
        <v>2637</v>
      </c>
      <c r="J4" s="3171"/>
      <c r="K4" s="610" t="s">
        <v>2638</v>
      </c>
      <c r="L4" s="1133"/>
      <c r="M4" s="1134"/>
      <c r="N4" s="1134"/>
      <c r="O4" s="1134"/>
      <c r="P4" s="3174" t="s">
        <v>2639</v>
      </c>
      <c r="Q4" s="3175"/>
      <c r="R4" s="3159" t="s">
        <v>2635</v>
      </c>
      <c r="S4" s="3160"/>
      <c r="T4" s="3159" t="s">
        <v>2636</v>
      </c>
      <c r="U4" s="3160"/>
      <c r="V4" s="3182" t="s">
        <v>2637</v>
      </c>
      <c r="W4" s="3182"/>
      <c r="X4" s="1815"/>
      <c r="Y4" s="3159" t="s">
        <v>2639</v>
      </c>
      <c r="Z4" s="3160"/>
      <c r="AA4" s="3154" t="s">
        <v>2635</v>
      </c>
      <c r="AB4" s="3155" t="s">
        <v>2636</v>
      </c>
      <c r="AC4" s="3154" t="s">
        <v>2637</v>
      </c>
    </row>
    <row r="5" spans="1:30" ht="15">
      <c r="A5" s="404"/>
      <c r="B5" s="405"/>
      <c r="C5" s="3222" t="s">
        <v>2530</v>
      </c>
      <c r="D5" s="3164"/>
      <c r="E5" s="3220" t="s">
        <v>2531</v>
      </c>
      <c r="F5" s="3221"/>
      <c r="G5" s="3222" t="s">
        <v>2532</v>
      </c>
      <c r="H5" s="3164"/>
      <c r="I5" s="3222" t="s">
        <v>2533</v>
      </c>
      <c r="J5" s="3164"/>
      <c r="K5" s="610"/>
      <c r="L5" s="1133"/>
      <c r="M5" s="1134"/>
      <c r="N5" s="1134"/>
      <c r="O5" s="1134"/>
      <c r="P5" s="3176"/>
      <c r="Q5" s="3177"/>
      <c r="R5" s="3161"/>
      <c r="S5" s="3162"/>
      <c r="T5" s="3161"/>
      <c r="U5" s="3162"/>
      <c r="V5" s="3182"/>
      <c r="W5" s="3182"/>
      <c r="X5" s="1815"/>
      <c r="Y5" s="3161"/>
      <c r="Z5" s="3162"/>
      <c r="AA5" s="3155"/>
      <c r="AB5" s="3155"/>
      <c r="AC5" s="3155"/>
    </row>
    <row r="6" spans="1:30" ht="15.75" thickBot="1">
      <c r="A6" s="406"/>
      <c r="B6" s="407"/>
      <c r="C6" s="3165" t="s">
        <v>2534</v>
      </c>
      <c r="D6" s="3166"/>
      <c r="E6" s="3167" t="s">
        <v>2534</v>
      </c>
      <c r="F6" s="3168"/>
      <c r="G6" s="3165" t="s">
        <v>2534</v>
      </c>
      <c r="H6" s="3166"/>
      <c r="I6" s="3165" t="s">
        <v>2534</v>
      </c>
      <c r="J6" s="3166"/>
      <c r="K6" s="610" t="s">
        <v>2535</v>
      </c>
      <c r="L6" s="1133"/>
      <c r="M6" s="1134"/>
      <c r="N6" s="1134"/>
      <c r="O6" s="1134"/>
      <c r="P6" s="3178"/>
      <c r="Q6" s="3179"/>
      <c r="R6" s="3161"/>
      <c r="S6" s="3162"/>
      <c r="T6" s="3180"/>
      <c r="U6" s="3181"/>
      <c r="V6" s="3182"/>
      <c r="W6" s="3182"/>
      <c r="X6" s="1815"/>
      <c r="Y6" s="3180"/>
      <c r="Z6" s="3181"/>
      <c r="AA6" s="3156"/>
      <c r="AB6" s="3156"/>
      <c r="AC6" s="3156"/>
    </row>
    <row r="7" spans="1:30" s="117" customFormat="1" ht="15.75" thickBot="1">
      <c r="A7" s="408" t="s">
        <v>2536</v>
      </c>
      <c r="B7" s="409"/>
      <c r="C7" s="410">
        <f>'数据-取费表'!B2</f>
        <v>43217</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57" t="s">
        <v>2537</v>
      </c>
      <c r="Q7" s="3183"/>
      <c r="R7" s="770" t="s">
        <v>17</v>
      </c>
      <c r="S7" s="771">
        <f t="shared" ref="S7:S15" si="0">F7</f>
        <v>0</v>
      </c>
      <c r="T7" s="770" t="s">
        <v>17</v>
      </c>
      <c r="U7" s="771">
        <f t="shared" ref="U7:U15" si="1">H7</f>
        <v>0</v>
      </c>
      <c r="V7" s="770" t="s">
        <v>17</v>
      </c>
      <c r="W7" s="771">
        <f t="shared" ref="W7:W15" si="2">J7</f>
        <v>0</v>
      </c>
      <c r="X7" s="772"/>
      <c r="Y7" s="3157" t="s">
        <v>2537</v>
      </c>
      <c r="Z7" s="3158"/>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7" t="s">
        <v>2540</v>
      </c>
      <c r="Q8" s="3158"/>
      <c r="R8" s="770" t="s">
        <v>17</v>
      </c>
      <c r="S8" s="771">
        <f t="shared" si="0"/>
        <v>0</v>
      </c>
      <c r="T8" s="770" t="s">
        <v>17</v>
      </c>
      <c r="U8" s="771">
        <f t="shared" si="1"/>
        <v>0</v>
      </c>
      <c r="V8" s="770" t="s">
        <v>17</v>
      </c>
      <c r="W8" s="771">
        <f t="shared" si="2"/>
        <v>0</v>
      </c>
      <c r="X8" s="772"/>
      <c r="Y8" s="3157" t="s">
        <v>2540</v>
      </c>
      <c r="Z8" s="3158"/>
      <c r="AA8" s="773" t="e">
        <f t="shared" ref="AA8:AA45" si="3">D8/F8</f>
        <v>#DIV/0!</v>
      </c>
      <c r="AB8" s="773" t="e">
        <f t="shared" ref="AB8:AB45" si="4">D8/H8</f>
        <v>#DIV/0!</v>
      </c>
      <c r="AC8" s="773" t="e">
        <f t="shared" ref="AC8:AC45" si="5">D8/J8</f>
        <v>#DIV/0!</v>
      </c>
    </row>
    <row r="9" spans="1:30" s="117" customFormat="1">
      <c r="A9" s="415" t="s">
        <v>2541</v>
      </c>
      <c r="B9" s="71" t="s">
        <v>2542</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87" t="s">
        <v>2543</v>
      </c>
      <c r="Q9" s="1797" t="str">
        <f t="shared" ref="Q9:Q15" si="6">B9</f>
        <v>用途</v>
      </c>
      <c r="R9" s="770" t="s">
        <v>17</v>
      </c>
      <c r="S9" s="771">
        <f t="shared" si="0"/>
        <v>100</v>
      </c>
      <c r="T9" s="770" t="s">
        <v>17</v>
      </c>
      <c r="U9" s="771">
        <f t="shared" si="1"/>
        <v>100</v>
      </c>
      <c r="V9" s="770" t="s">
        <v>17</v>
      </c>
      <c r="W9" s="771">
        <f t="shared" si="2"/>
        <v>100</v>
      </c>
      <c r="X9" s="772"/>
      <c r="Y9" s="3026"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t="e">
        <f>ROUND(100/'数据-取费表'!G16,0)</f>
        <v>#DIV/0!</v>
      </c>
      <c r="G10" s="463"/>
      <c r="H10" s="136" t="e">
        <f>ROUND(100/'数据-取费表'!G16,0)</f>
        <v>#DIV/0!</v>
      </c>
      <c r="I10" s="463"/>
      <c r="J10" s="136" t="e">
        <f>ROUND(100/'数据-取费表'!G16,0)</f>
        <v>#DIV/0!</v>
      </c>
      <c r="K10" s="672"/>
      <c r="L10" s="1138"/>
      <c r="M10" s="1139"/>
      <c r="N10" s="1139"/>
      <c r="O10" s="1140"/>
      <c r="P10" s="3187"/>
      <c r="Q10" s="1797" t="str">
        <f t="shared" si="6"/>
        <v>土地使用年限（年）</v>
      </c>
      <c r="R10" s="770" t="s">
        <v>17</v>
      </c>
      <c r="S10" s="771" t="e">
        <f t="shared" si="0"/>
        <v>#DIV/0!</v>
      </c>
      <c r="T10" s="770" t="s">
        <v>17</v>
      </c>
      <c r="U10" s="771" t="e">
        <f t="shared" si="1"/>
        <v>#DIV/0!</v>
      </c>
      <c r="V10" s="770" t="s">
        <v>17</v>
      </c>
      <c r="W10" s="771" t="e">
        <f t="shared" si="2"/>
        <v>#DIV/0!</v>
      </c>
      <c r="X10" s="772"/>
      <c r="Y10" s="3026"/>
      <c r="Z10" s="55" t="str">
        <f t="shared" si="7"/>
        <v>土地使用年限（年）</v>
      </c>
      <c r="AA10" s="773" t="e">
        <f t="shared" si="3"/>
        <v>#DIV/0!</v>
      </c>
      <c r="AB10" s="773" t="e">
        <f t="shared" si="4"/>
        <v>#DIV/0!</v>
      </c>
      <c r="AC10" s="773" t="e">
        <f t="shared" si="5"/>
        <v>#DIV/0!</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7"/>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3"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7"/>
      <c r="Q12" s="1797"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7"/>
      <c r="Q13" s="1797">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7"/>
      <c r="Q14" s="1797">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15">
      <c r="A15" s="440" t="s">
        <v>2547</v>
      </c>
      <c r="B15" s="69" t="s">
        <v>2081</v>
      </c>
      <c r="C15" s="2606"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9" t="s">
        <v>2548</v>
      </c>
      <c r="Q15" s="1812" t="str">
        <f t="shared" si="6"/>
        <v>居住社区成熟度</v>
      </c>
      <c r="R15" s="774" t="s">
        <v>17</v>
      </c>
      <c r="S15" s="775">
        <f t="shared" si="0"/>
        <v>100</v>
      </c>
      <c r="T15" s="774" t="s">
        <v>17</v>
      </c>
      <c r="U15" s="775">
        <f t="shared" si="1"/>
        <v>100</v>
      </c>
      <c r="V15" s="774" t="s">
        <v>17</v>
      </c>
      <c r="W15" s="775">
        <f t="shared" si="2"/>
        <v>100</v>
      </c>
      <c r="X15" s="1815"/>
      <c r="Y15" s="3189" t="s">
        <v>2548</v>
      </c>
      <c r="Z15" s="1816" t="str">
        <f t="shared" si="7"/>
        <v>居住社区成熟度</v>
      </c>
      <c r="AA15" s="1813">
        <f t="shared" si="3"/>
        <v>1</v>
      </c>
      <c r="AB15" s="1813">
        <f t="shared" si="4"/>
        <v>1</v>
      </c>
      <c r="AC15" s="1813">
        <f t="shared" si="5"/>
        <v>1</v>
      </c>
    </row>
    <row r="16" spans="1:30" ht="15">
      <c r="A16" s="428"/>
      <c r="B16" s="446"/>
      <c r="C16" s="447"/>
      <c r="D16" s="448"/>
      <c r="E16" s="2608"/>
      <c r="F16" s="448"/>
      <c r="G16" s="2608"/>
      <c r="H16" s="450"/>
      <c r="I16" s="2607"/>
      <c r="J16" s="448"/>
      <c r="K16" s="672"/>
      <c r="L16" s="1143"/>
      <c r="M16" s="1134"/>
      <c r="N16" s="1134"/>
      <c r="O16" s="1142"/>
      <c r="P16" s="3190"/>
      <c r="Q16" s="1812"/>
      <c r="R16" s="774"/>
      <c r="S16" s="775"/>
      <c r="T16" s="774"/>
      <c r="U16" s="775"/>
      <c r="V16" s="774"/>
      <c r="W16" s="775"/>
      <c r="X16" s="1815"/>
      <c r="Y16" s="3190"/>
      <c r="Z16" s="1816"/>
      <c r="AA16" s="1813">
        <v>1</v>
      </c>
      <c r="AB16" s="1813">
        <v>1</v>
      </c>
      <c r="AC16" s="1813">
        <v>1</v>
      </c>
    </row>
    <row r="17" spans="1:29" ht="15">
      <c r="A17" s="428"/>
      <c r="B17" s="451" t="s">
        <v>2641</v>
      </c>
      <c r="C17" s="266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0"/>
      <c r="Q17" s="1812" t="str">
        <f>B17</f>
        <v>商业繁华度</v>
      </c>
      <c r="R17" s="774" t="s">
        <v>17</v>
      </c>
      <c r="S17" s="775">
        <f>F17</f>
        <v>100</v>
      </c>
      <c r="T17" s="774" t="s">
        <v>17</v>
      </c>
      <c r="U17" s="775">
        <f>H17</f>
        <v>100</v>
      </c>
      <c r="V17" s="774" t="s">
        <v>17</v>
      </c>
      <c r="W17" s="775">
        <f>J17</f>
        <v>100</v>
      </c>
      <c r="X17" s="1815"/>
      <c r="Y17" s="3190"/>
      <c r="Z17" s="1816" t="str">
        <f>Q17</f>
        <v>商业繁华度</v>
      </c>
      <c r="AA17" s="1813">
        <f t="shared" si="3"/>
        <v>1</v>
      </c>
      <c r="AB17" s="1813">
        <f t="shared" si="4"/>
        <v>1</v>
      </c>
      <c r="AC17" s="1813">
        <f t="shared" si="5"/>
        <v>1</v>
      </c>
    </row>
    <row r="18" spans="1:29" ht="15">
      <c r="A18" s="428"/>
      <c r="B18" s="456"/>
      <c r="C18" s="2611"/>
      <c r="D18" s="450"/>
      <c r="E18" s="2613"/>
      <c r="F18" s="450"/>
      <c r="G18" s="2613"/>
      <c r="H18" s="448"/>
      <c r="I18" s="2612"/>
      <c r="J18" s="448"/>
      <c r="K18" s="672"/>
      <c r="L18" s="1143"/>
      <c r="M18" s="1134"/>
      <c r="N18" s="1134"/>
      <c r="O18" s="1142"/>
      <c r="P18" s="3190"/>
      <c r="Q18" s="1812"/>
      <c r="R18" s="774"/>
      <c r="S18" s="775"/>
      <c r="T18" s="774"/>
      <c r="U18" s="775"/>
      <c r="V18" s="774"/>
      <c r="W18" s="775"/>
      <c r="X18" s="1815"/>
      <c r="Y18" s="3190"/>
      <c r="Z18" s="1816"/>
      <c r="AA18" s="1813">
        <v>1</v>
      </c>
      <c r="AB18" s="1813">
        <v>1</v>
      </c>
      <c r="AC18" s="1813">
        <v>1</v>
      </c>
    </row>
    <row r="19" spans="1:29" ht="15">
      <c r="A19" s="428"/>
      <c r="B19" s="451" t="s">
        <v>2675</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0"/>
      <c r="Q19" s="1812" t="str">
        <f>B19</f>
        <v>办公集聚程度</v>
      </c>
      <c r="R19" s="774" t="s">
        <v>17</v>
      </c>
      <c r="S19" s="775">
        <f>F19</f>
        <v>100</v>
      </c>
      <c r="T19" s="774" t="s">
        <v>17</v>
      </c>
      <c r="U19" s="775">
        <f>H19</f>
        <v>100</v>
      </c>
      <c r="V19" s="774" t="s">
        <v>17</v>
      </c>
      <c r="W19" s="775">
        <f>J19</f>
        <v>100</v>
      </c>
      <c r="X19" s="1815"/>
      <c r="Y19" s="3190"/>
      <c r="Z19" s="1816" t="str">
        <f>Q19</f>
        <v>办公集聚程度</v>
      </c>
      <c r="AA19" s="1813">
        <f t="shared" si="3"/>
        <v>1</v>
      </c>
      <c r="AB19" s="1813">
        <f t="shared" si="4"/>
        <v>1</v>
      </c>
      <c r="AC19" s="1813">
        <f t="shared" si="5"/>
        <v>1</v>
      </c>
    </row>
    <row r="20" spans="1:29" ht="15">
      <c r="A20" s="428"/>
      <c r="B20" s="456"/>
      <c r="C20" s="447"/>
      <c r="D20" s="448"/>
      <c r="E20" s="2608"/>
      <c r="F20" s="448"/>
      <c r="G20" s="2608"/>
      <c r="H20" s="448"/>
      <c r="I20" s="2607"/>
      <c r="J20" s="448"/>
      <c r="K20" s="672"/>
      <c r="L20" s="1143"/>
      <c r="M20" s="1134"/>
      <c r="N20" s="1134"/>
      <c r="O20" s="1142"/>
      <c r="P20" s="3190"/>
      <c r="Q20" s="1812"/>
      <c r="R20" s="774"/>
      <c r="S20" s="775"/>
      <c r="T20" s="774"/>
      <c r="U20" s="775"/>
      <c r="V20" s="774"/>
      <c r="W20" s="775"/>
      <c r="X20" s="1815"/>
      <c r="Y20" s="3190"/>
      <c r="Z20" s="1816"/>
      <c r="AA20" s="1813">
        <v>1</v>
      </c>
      <c r="AB20" s="1813">
        <v>1</v>
      </c>
      <c r="AC20" s="1813">
        <v>1</v>
      </c>
    </row>
    <row r="21" spans="1:29" ht="15">
      <c r="A21" s="428"/>
      <c r="B21" s="451" t="s">
        <v>2697</v>
      </c>
      <c r="C21" s="261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0"/>
      <c r="Q21" s="1812" t="str">
        <f>B21</f>
        <v>交通便捷度</v>
      </c>
      <c r="R21" s="774" t="s">
        <v>17</v>
      </c>
      <c r="S21" s="775">
        <f>F21</f>
        <v>100</v>
      </c>
      <c r="T21" s="774" t="s">
        <v>17</v>
      </c>
      <c r="U21" s="775">
        <f>H21</f>
        <v>100</v>
      </c>
      <c r="V21" s="774" t="s">
        <v>17</v>
      </c>
      <c r="W21" s="775">
        <f>J21</f>
        <v>100</v>
      </c>
      <c r="X21" s="1815"/>
      <c r="Y21" s="3190"/>
      <c r="Z21" s="1816" t="str">
        <f>Q21</f>
        <v>交通便捷度</v>
      </c>
      <c r="AA21" s="1813">
        <f t="shared" si="3"/>
        <v>1</v>
      </c>
      <c r="AB21" s="1813">
        <f t="shared" si="4"/>
        <v>1</v>
      </c>
      <c r="AC21" s="1813">
        <f t="shared" si="5"/>
        <v>1</v>
      </c>
    </row>
    <row r="22" spans="1:29" ht="15">
      <c r="A22" s="428"/>
      <c r="B22" s="1387"/>
      <c r="C22" s="447"/>
      <c r="D22" s="450"/>
      <c r="E22" s="2608"/>
      <c r="F22" s="448"/>
      <c r="G22" s="2608"/>
      <c r="H22" s="448"/>
      <c r="I22" s="2607"/>
      <c r="J22" s="448"/>
      <c r="K22" s="672"/>
      <c r="L22" s="1143"/>
      <c r="M22" s="1134"/>
      <c r="N22" s="1134"/>
      <c r="O22" s="1142"/>
      <c r="P22" s="3190"/>
      <c r="Q22" s="1812"/>
      <c r="R22" s="774"/>
      <c r="S22" s="775"/>
      <c r="T22" s="774"/>
      <c r="U22" s="775"/>
      <c r="V22" s="774"/>
      <c r="W22" s="775"/>
      <c r="X22" s="1815"/>
      <c r="Y22" s="3190"/>
      <c r="Z22" s="1816"/>
      <c r="AA22" s="1813">
        <v>1</v>
      </c>
      <c r="AB22" s="1813">
        <v>1</v>
      </c>
      <c r="AC22" s="1813">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0"/>
      <c r="Q23" s="1812" t="str">
        <f t="shared" ref="Q23:Q37" si="8">B23</f>
        <v>区域土地利用方向</v>
      </c>
      <c r="R23" s="774" t="s">
        <v>17</v>
      </c>
      <c r="S23" s="775">
        <f>F23</f>
        <v>100</v>
      </c>
      <c r="T23" s="774" t="s">
        <v>17</v>
      </c>
      <c r="U23" s="775">
        <f>H23</f>
        <v>100</v>
      </c>
      <c r="V23" s="774" t="s">
        <v>17</v>
      </c>
      <c r="W23" s="775">
        <f>J23</f>
        <v>100</v>
      </c>
      <c r="X23" s="1815"/>
      <c r="Y23" s="3190"/>
      <c r="Z23" s="1816" t="str">
        <f>Q23</f>
        <v>区域土地利用方向</v>
      </c>
      <c r="AA23" s="1813">
        <f t="shared" si="3"/>
        <v>1</v>
      </c>
      <c r="AB23" s="1813">
        <f t="shared" si="4"/>
        <v>1</v>
      </c>
      <c r="AC23" s="1813">
        <f t="shared" si="5"/>
        <v>1</v>
      </c>
    </row>
    <row r="24" spans="1:29" ht="15">
      <c r="A24" s="404"/>
      <c r="B24" s="456"/>
      <c r="C24" s="616"/>
      <c r="D24" s="448"/>
      <c r="E24" s="2608"/>
      <c r="F24" s="448"/>
      <c r="G24" s="2607"/>
      <c r="H24" s="448"/>
      <c r="I24" s="2607"/>
      <c r="J24" s="448"/>
      <c r="K24" s="812"/>
      <c r="L24" s="1143"/>
      <c r="M24" s="1134"/>
      <c r="N24" s="1134"/>
      <c r="O24" s="1142"/>
      <c r="P24" s="3190"/>
      <c r="Q24" s="1812"/>
      <c r="R24" s="774"/>
      <c r="S24" s="775"/>
      <c r="T24" s="774"/>
      <c r="U24" s="775"/>
      <c r="V24" s="774"/>
      <c r="W24" s="775"/>
      <c r="X24" s="1815"/>
      <c r="Y24" s="3190"/>
      <c r="Z24" s="1816"/>
      <c r="AA24" s="1813"/>
      <c r="AB24" s="1813"/>
      <c r="AC24" s="1813"/>
    </row>
    <row r="25" spans="1:29" ht="27">
      <c r="A25" s="404"/>
      <c r="B25" s="1387" t="s">
        <v>2737</v>
      </c>
      <c r="C25" s="2665"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0"/>
      <c r="Q25" s="1812" t="str">
        <f t="shared" si="8"/>
        <v>自然及人文环境状况</v>
      </c>
      <c r="R25" s="774" t="s">
        <v>17</v>
      </c>
      <c r="S25" s="775">
        <f>F25</f>
        <v>100</v>
      </c>
      <c r="T25" s="774" t="s">
        <v>17</v>
      </c>
      <c r="U25" s="775">
        <f>H25</f>
        <v>100</v>
      </c>
      <c r="V25" s="774" t="s">
        <v>17</v>
      </c>
      <c r="W25" s="775">
        <f>J25</f>
        <v>100</v>
      </c>
      <c r="X25" s="1815"/>
      <c r="Y25" s="3190"/>
      <c r="Z25" s="1816" t="str">
        <f>Q25</f>
        <v>自然及人文环境状况</v>
      </c>
      <c r="AA25" s="1813">
        <f t="shared" si="3"/>
        <v>1</v>
      </c>
      <c r="AB25" s="1813">
        <f t="shared" si="4"/>
        <v>1</v>
      </c>
      <c r="AC25" s="1813">
        <f t="shared" si="5"/>
        <v>1</v>
      </c>
    </row>
    <row r="26" spans="1:29" ht="15">
      <c r="A26" s="404"/>
      <c r="B26" s="456"/>
      <c r="C26" s="447"/>
      <c r="D26" s="448"/>
      <c r="E26" s="2614"/>
      <c r="F26" s="448"/>
      <c r="G26" s="2614"/>
      <c r="H26" s="448"/>
      <c r="I26" s="447"/>
      <c r="J26" s="448"/>
      <c r="K26" s="672"/>
      <c r="L26" s="1143"/>
      <c r="M26" s="1134"/>
      <c r="N26" s="1134"/>
      <c r="O26" s="1142"/>
      <c r="P26" s="3190"/>
      <c r="Q26" s="1812"/>
      <c r="R26" s="774"/>
      <c r="S26" s="775"/>
      <c r="T26" s="774"/>
      <c r="U26" s="775"/>
      <c r="V26" s="774"/>
      <c r="W26" s="775"/>
      <c r="X26" s="1815"/>
      <c r="Y26" s="3190"/>
      <c r="Z26" s="1816"/>
      <c r="AA26" s="1813">
        <v>1</v>
      </c>
      <c r="AB26" s="1813">
        <v>1</v>
      </c>
      <c r="AC26" s="1813">
        <v>1</v>
      </c>
    </row>
    <row r="27" spans="1:29" s="117" customFormat="1" ht="15">
      <c r="A27" s="649"/>
      <c r="B27" s="1387" t="s">
        <v>2642</v>
      </c>
      <c r="C27" s="261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0"/>
      <c r="Q27" s="1797" t="str">
        <f t="shared" si="8"/>
        <v>公共配套设施</v>
      </c>
      <c r="R27" s="770" t="s">
        <v>17</v>
      </c>
      <c r="S27" s="771">
        <f>F27</f>
        <v>100</v>
      </c>
      <c r="T27" s="770" t="s">
        <v>17</v>
      </c>
      <c r="U27" s="771">
        <f>H27</f>
        <v>100</v>
      </c>
      <c r="V27" s="770" t="s">
        <v>17</v>
      </c>
      <c r="W27" s="771">
        <f>J27</f>
        <v>100</v>
      </c>
      <c r="X27" s="772"/>
      <c r="Y27" s="3190"/>
      <c r="Z27" s="55" t="str">
        <f>Q27</f>
        <v>公共配套设施</v>
      </c>
      <c r="AA27" s="1813">
        <f>D27/F27</f>
        <v>1</v>
      </c>
      <c r="AB27" s="1813">
        <f>D27/H27</f>
        <v>1</v>
      </c>
      <c r="AC27" s="1813">
        <f>D27/J27</f>
        <v>1</v>
      </c>
    </row>
    <row r="28" spans="1:29" s="117" customFormat="1" ht="15">
      <c r="A28" s="649"/>
      <c r="B28" s="456"/>
      <c r="C28" s="2701"/>
      <c r="D28" s="448"/>
      <c r="E28" s="2614"/>
      <c r="F28" s="448"/>
      <c r="G28" s="2614"/>
      <c r="H28" s="448"/>
      <c r="I28" s="447"/>
      <c r="J28" s="448"/>
      <c r="K28" s="672"/>
      <c r="L28" s="1135"/>
      <c r="M28" s="1136"/>
      <c r="N28" s="1136"/>
      <c r="O28" s="1137"/>
      <c r="P28" s="3190"/>
      <c r="Q28" s="1797"/>
      <c r="R28" s="770"/>
      <c r="S28" s="771"/>
      <c r="T28" s="770"/>
      <c r="U28" s="771"/>
      <c r="V28" s="770"/>
      <c r="W28" s="771"/>
      <c r="X28" s="772"/>
      <c r="Y28" s="3190"/>
      <c r="Z28" s="55"/>
      <c r="AA28" s="1813">
        <v>1</v>
      </c>
      <c r="AB28" s="1813">
        <v>1</v>
      </c>
      <c r="AC28" s="1813">
        <v>1</v>
      </c>
    </row>
    <row r="29" spans="1:29" s="117" customFormat="1" ht="15">
      <c r="A29" s="649"/>
      <c r="B29" s="1387" t="s">
        <v>2643</v>
      </c>
      <c r="C29" s="261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0"/>
      <c r="Q29" s="1797" t="str">
        <f t="shared" ref="Q29" si="9">B29</f>
        <v>基础设施水平</v>
      </c>
      <c r="R29" s="770" t="s">
        <v>17</v>
      </c>
      <c r="S29" s="771">
        <f>F29</f>
        <v>100</v>
      </c>
      <c r="T29" s="770" t="s">
        <v>17</v>
      </c>
      <c r="U29" s="771">
        <f>H29</f>
        <v>100</v>
      </c>
      <c r="V29" s="770" t="s">
        <v>17</v>
      </c>
      <c r="W29" s="771">
        <f>J29</f>
        <v>100</v>
      </c>
      <c r="X29" s="772"/>
      <c r="Y29" s="3190"/>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5"/>
      <c r="M30" s="1136"/>
      <c r="N30" s="1136"/>
      <c r="O30" s="1137"/>
      <c r="P30" s="3190"/>
      <c r="Q30" s="1797"/>
      <c r="R30" s="770"/>
      <c r="S30" s="771"/>
      <c r="T30" s="770"/>
      <c r="U30" s="771"/>
      <c r="V30" s="770"/>
      <c r="W30" s="771"/>
      <c r="X30" s="772"/>
      <c r="Y30" s="3190"/>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0"/>
      <c r="Z31" s="1816" t="str">
        <f t="shared" ref="Z31:Z45" si="13">Q31</f>
        <v>临街状况</v>
      </c>
      <c r="AA31" s="1813">
        <f t="shared" si="3"/>
        <v>1</v>
      </c>
      <c r="AB31" s="1813">
        <f t="shared" si="4"/>
        <v>1</v>
      </c>
      <c r="AC31" s="1813">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0"/>
      <c r="Q32" s="1812" t="str">
        <f t="shared" si="8"/>
        <v>毗邻道路的类型与等级</v>
      </c>
      <c r="R32" s="774" t="s">
        <v>17</v>
      </c>
      <c r="S32" s="775">
        <f t="shared" si="10"/>
        <v>100</v>
      </c>
      <c r="T32" s="774" t="s">
        <v>17</v>
      </c>
      <c r="U32" s="775">
        <f t="shared" si="11"/>
        <v>100</v>
      </c>
      <c r="V32" s="774" t="s">
        <v>17</v>
      </c>
      <c r="W32" s="775">
        <f t="shared" si="12"/>
        <v>100</v>
      </c>
      <c r="X32" s="1815"/>
      <c r="Y32" s="3190"/>
      <c r="Z32" s="1816" t="str">
        <f t="shared" si="13"/>
        <v>毗邻道路的类型与等级</v>
      </c>
      <c r="AA32" s="1813">
        <f t="shared" si="3"/>
        <v>1</v>
      </c>
      <c r="AB32" s="1813">
        <f t="shared" si="4"/>
        <v>1</v>
      </c>
      <c r="AC32" s="1813">
        <f t="shared" si="5"/>
        <v>1</v>
      </c>
    </row>
    <row r="33" spans="1:29" ht="15">
      <c r="A33" s="428"/>
      <c r="B33" s="456"/>
      <c r="C33" s="447"/>
      <c r="D33" s="448"/>
      <c r="E33" s="2614"/>
      <c r="F33" s="448"/>
      <c r="G33" s="2614"/>
      <c r="H33" s="448"/>
      <c r="I33" s="447"/>
      <c r="J33" s="448"/>
      <c r="K33" s="613"/>
      <c r="L33" s="1143"/>
      <c r="M33" s="1134"/>
      <c r="N33" s="1134"/>
      <c r="O33" s="1142"/>
      <c r="P33" s="3190"/>
      <c r="Q33" s="1812"/>
      <c r="R33" s="774"/>
      <c r="S33" s="775"/>
      <c r="T33" s="774"/>
      <c r="U33" s="775"/>
      <c r="V33" s="774"/>
      <c r="W33" s="775"/>
      <c r="X33" s="1815"/>
      <c r="Y33" s="3190"/>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0"/>
      <c r="Q34" s="1812" t="str">
        <f t="shared" si="8"/>
        <v>土地级别</v>
      </c>
      <c r="R34" s="774" t="s">
        <v>17</v>
      </c>
      <c r="S34" s="775">
        <f t="shared" si="10"/>
        <v>100</v>
      </c>
      <c r="T34" s="774" t="s">
        <v>17</v>
      </c>
      <c r="U34" s="775">
        <f t="shared" si="11"/>
        <v>100</v>
      </c>
      <c r="V34" s="774" t="s">
        <v>17</v>
      </c>
      <c r="W34" s="775">
        <f t="shared" si="12"/>
        <v>100</v>
      </c>
      <c r="X34" s="1815"/>
      <c r="Y34" s="3190"/>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0"/>
      <c r="Q35" s="1812">
        <f t="shared" si="8"/>
        <v>111</v>
      </c>
      <c r="R35" s="774" t="s">
        <v>17</v>
      </c>
      <c r="S35" s="775">
        <f t="shared" si="10"/>
        <v>100</v>
      </c>
      <c r="T35" s="774" t="s">
        <v>17</v>
      </c>
      <c r="U35" s="775">
        <f t="shared" si="11"/>
        <v>100</v>
      </c>
      <c r="V35" s="774" t="s">
        <v>17</v>
      </c>
      <c r="W35" s="775">
        <f t="shared" si="12"/>
        <v>100</v>
      </c>
      <c r="X35" s="1815"/>
      <c r="Y35" s="3190"/>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8" t="s">
        <v>2553</v>
      </c>
      <c r="Q36" s="1812">
        <f t="shared" si="8"/>
        <v>111</v>
      </c>
      <c r="R36" s="774" t="s">
        <v>17</v>
      </c>
      <c r="S36" s="775">
        <f t="shared" si="10"/>
        <v>100</v>
      </c>
      <c r="T36" s="774" t="s">
        <v>17</v>
      </c>
      <c r="U36" s="775">
        <f t="shared" si="11"/>
        <v>100</v>
      </c>
      <c r="V36" s="774" t="s">
        <v>17</v>
      </c>
      <c r="W36" s="775">
        <f t="shared" si="12"/>
        <v>100</v>
      </c>
      <c r="X36" s="1815"/>
      <c r="Y36" s="3194" t="s">
        <v>2553</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4"/>
      <c r="Q37" s="1812">
        <f t="shared" si="8"/>
        <v>111</v>
      </c>
      <c r="R37" s="777" t="s">
        <v>17</v>
      </c>
      <c r="S37" s="778">
        <f t="shared" si="10"/>
        <v>100</v>
      </c>
      <c r="T37" s="777" t="s">
        <v>17</v>
      </c>
      <c r="U37" s="778">
        <f t="shared" si="11"/>
        <v>100</v>
      </c>
      <c r="V37" s="777" t="s">
        <v>17</v>
      </c>
      <c r="W37" s="778">
        <f t="shared" si="12"/>
        <v>100</v>
      </c>
      <c r="X37" s="779"/>
      <c r="Y37" s="3194"/>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4"/>
      <c r="Q38" s="1812" t="str">
        <f>B38</f>
        <v>宗地面积</v>
      </c>
      <c r="R38" s="774" t="s">
        <v>17</v>
      </c>
      <c r="S38" s="775" t="e">
        <f t="shared" si="10"/>
        <v>#N/A</v>
      </c>
      <c r="T38" s="774" t="s">
        <v>17</v>
      </c>
      <c r="U38" s="775" t="e">
        <f t="shared" si="11"/>
        <v>#N/A</v>
      </c>
      <c r="V38" s="774" t="s">
        <v>17</v>
      </c>
      <c r="W38" s="775" t="e">
        <f t="shared" si="12"/>
        <v>#N/A</v>
      </c>
      <c r="X38" s="1815"/>
      <c r="Y38" s="3194"/>
      <c r="Z38" s="1816" t="str">
        <f t="shared" si="13"/>
        <v>宗地面积</v>
      </c>
      <c r="AA38" s="1813" t="e">
        <f t="shared" si="3"/>
        <v>#N/A</v>
      </c>
      <c r="AB38" s="1813" t="e">
        <f t="shared" si="4"/>
        <v>#N/A</v>
      </c>
      <c r="AC38" s="1813" t="e">
        <f t="shared" si="5"/>
        <v>#N/A</v>
      </c>
    </row>
    <row r="39" spans="1:29" ht="15">
      <c r="A39" s="472"/>
      <c r="B39" s="422" t="s">
        <v>2740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94"/>
      <c r="Q39" s="1812" t="str">
        <f t="shared" ref="Q39:Q45" si="14">B39</f>
        <v>宗地形状</v>
      </c>
      <c r="R39" s="774" t="s">
        <v>17</v>
      </c>
      <c r="S39" s="775">
        <f t="shared" si="10"/>
        <v>100</v>
      </c>
      <c r="T39" s="774" t="s">
        <v>17</v>
      </c>
      <c r="U39" s="775">
        <f t="shared" si="11"/>
        <v>100</v>
      </c>
      <c r="V39" s="774" t="s">
        <v>17</v>
      </c>
      <c r="W39" s="775">
        <f t="shared" si="12"/>
        <v>100</v>
      </c>
      <c r="X39" s="1815"/>
      <c r="Y39" s="3194"/>
      <c r="Z39" s="1816" t="str">
        <f t="shared" si="13"/>
        <v>宗地形状</v>
      </c>
      <c r="AA39" s="1813">
        <f t="shared" si="3"/>
        <v>1</v>
      </c>
      <c r="AB39" s="1813">
        <f t="shared" si="4"/>
        <v>1</v>
      </c>
      <c r="AC39" s="1813">
        <f t="shared" si="5"/>
        <v>1</v>
      </c>
    </row>
    <row r="40" spans="1:29" ht="15">
      <c r="A40" s="472"/>
      <c r="B40" s="422" t="s">
        <v>2741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94"/>
      <c r="Q40" s="1812" t="str">
        <f t="shared" si="14"/>
        <v>临街宽度及深度</v>
      </c>
      <c r="R40" s="774" t="s">
        <v>17</v>
      </c>
      <c r="S40" s="775">
        <f t="shared" si="10"/>
        <v>100</v>
      </c>
      <c r="T40" s="774" t="s">
        <v>17</v>
      </c>
      <c r="U40" s="775">
        <f t="shared" si="11"/>
        <v>100</v>
      </c>
      <c r="V40" s="774" t="s">
        <v>17</v>
      </c>
      <c r="W40" s="775">
        <f t="shared" si="12"/>
        <v>100</v>
      </c>
      <c r="X40" s="1815"/>
      <c r="Y40" s="3194"/>
      <c r="Z40" s="1816" t="str">
        <f t="shared" si="13"/>
        <v>临街宽度及深度</v>
      </c>
      <c r="AA40" s="1813">
        <f t="shared" si="3"/>
        <v>1</v>
      </c>
      <c r="AB40" s="1813">
        <f t="shared" si="4"/>
        <v>1</v>
      </c>
      <c r="AC40" s="1813">
        <f t="shared" si="5"/>
        <v>1</v>
      </c>
    </row>
    <row r="41" spans="1:29" s="117" customFormat="1" ht="15">
      <c r="A41" s="473"/>
      <c r="B41" s="422" t="s">
        <v>2742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94"/>
      <c r="Q41" s="1812"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2743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94" t="s">
        <v>2553</v>
      </c>
      <c r="Q42" s="1812" t="str">
        <f t="shared" si="14"/>
        <v>工程地质条件</v>
      </c>
      <c r="R42" s="774" t="s">
        <v>17</v>
      </c>
      <c r="S42" s="775">
        <f t="shared" si="10"/>
        <v>100</v>
      </c>
      <c r="T42" s="774" t="s">
        <v>17</v>
      </c>
      <c r="U42" s="775">
        <f t="shared" si="11"/>
        <v>100</v>
      </c>
      <c r="V42" s="774" t="s">
        <v>17</v>
      </c>
      <c r="W42" s="775">
        <f t="shared" si="12"/>
        <v>100</v>
      </c>
      <c r="X42" s="1815"/>
      <c r="Y42" s="3194" t="s">
        <v>2553</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4"/>
      <c r="Q43" s="1812">
        <f t="shared" si="14"/>
        <v>111</v>
      </c>
      <c r="R43" s="774" t="s">
        <v>17</v>
      </c>
      <c r="S43" s="775">
        <f t="shared" si="10"/>
        <v>100</v>
      </c>
      <c r="T43" s="774" t="s">
        <v>17</v>
      </c>
      <c r="U43" s="775">
        <f t="shared" si="11"/>
        <v>100</v>
      </c>
      <c r="V43" s="774" t="s">
        <v>17</v>
      </c>
      <c r="W43" s="775">
        <f t="shared" si="12"/>
        <v>100</v>
      </c>
      <c r="X43" s="1815"/>
      <c r="Y43" s="3194"/>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4"/>
      <c r="Q44" s="1812">
        <f t="shared" si="14"/>
        <v>111</v>
      </c>
      <c r="R44" s="774" t="s">
        <v>17</v>
      </c>
      <c r="S44" s="775">
        <f t="shared" si="10"/>
        <v>100</v>
      </c>
      <c r="T44" s="774" t="s">
        <v>17</v>
      </c>
      <c r="U44" s="775">
        <f t="shared" si="11"/>
        <v>100</v>
      </c>
      <c r="V44" s="774" t="s">
        <v>17</v>
      </c>
      <c r="W44" s="775">
        <f t="shared" si="12"/>
        <v>100</v>
      </c>
      <c r="X44" s="1815"/>
      <c r="Y44" s="3194"/>
      <c r="Z44" s="1816">
        <f t="shared" si="13"/>
        <v>111</v>
      </c>
      <c r="AA44" s="1813">
        <f t="shared" si="3"/>
        <v>1</v>
      </c>
      <c r="AB44" s="1813">
        <f t="shared" si="4"/>
        <v>1</v>
      </c>
      <c r="AC44" s="1813">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4"/>
      <c r="Q45" s="1812">
        <f t="shared" si="14"/>
        <v>111</v>
      </c>
      <c r="R45" s="777" t="s">
        <v>17</v>
      </c>
      <c r="S45" s="778">
        <f t="shared" si="10"/>
        <v>100</v>
      </c>
      <c r="T45" s="777" t="s">
        <v>17</v>
      </c>
      <c r="U45" s="778">
        <f t="shared" si="11"/>
        <v>100</v>
      </c>
      <c r="V45" s="777" t="s">
        <v>17</v>
      </c>
      <c r="W45" s="778">
        <f t="shared" si="12"/>
        <v>100</v>
      </c>
      <c r="X45" s="779"/>
      <c r="Y45" s="3194"/>
      <c r="Z45" s="780">
        <f t="shared" si="13"/>
        <v>111</v>
      </c>
      <c r="AA45" s="1813">
        <f t="shared" si="3"/>
        <v>1</v>
      </c>
      <c r="AB45" s="1813">
        <f t="shared" si="4"/>
        <v>1</v>
      </c>
      <c r="AC45" s="1813">
        <f t="shared" si="5"/>
        <v>1</v>
      </c>
    </row>
    <row r="46" spans="1:29" ht="15">
      <c r="A46" s="479" t="s">
        <v>2708</v>
      </c>
      <c r="B46" s="2705" t="s">
        <v>2744</v>
      </c>
      <c r="C46" s="682" t="s">
        <v>1</v>
      </c>
      <c r="D46" s="481"/>
      <c r="E46" s="482"/>
      <c r="F46" s="483"/>
      <c r="G46" s="484"/>
      <c r="H46" s="485"/>
      <c r="I46" s="482"/>
      <c r="J46" s="485"/>
      <c r="K46" s="783"/>
      <c r="L46" s="1146"/>
      <c r="M46" s="1147"/>
      <c r="N46" s="1134"/>
      <c r="O46" s="1147"/>
      <c r="P46" s="3187" t="str">
        <f>A46</f>
        <v>成交单价</v>
      </c>
      <c r="Q46" s="3187"/>
      <c r="R46" s="3182">
        <f>E46</f>
        <v>0</v>
      </c>
      <c r="S46" s="3182"/>
      <c r="T46" s="3182">
        <f>G46</f>
        <v>0</v>
      </c>
      <c r="U46" s="3182"/>
      <c r="V46" s="3182">
        <f>I46</f>
        <v>0</v>
      </c>
      <c r="W46" s="3182"/>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187" t="str">
        <f>A47</f>
        <v>比较价值（元/平方米）</v>
      </c>
      <c r="Q47" s="3187"/>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84" t="str">
        <f>A48</f>
        <v>估价对象XX用房的比较价值（楼面单价，元/平方米）</v>
      </c>
      <c r="Q48" s="3185"/>
      <c r="R48" s="3240" t="e">
        <f>ROUND(AVERAGE(R47:V47),0)</f>
        <v>#DIV/0!</v>
      </c>
      <c r="S48" s="3240"/>
      <c r="T48" s="3240"/>
      <c r="U48" s="3240"/>
      <c r="V48" s="3240"/>
      <c r="W48" s="324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6" t="s">
        <v>2748</v>
      </c>
      <c r="D55" s="2707" t="s">
        <v>2749</v>
      </c>
      <c r="E55" s="686" t="s">
        <v>2750</v>
      </c>
      <c r="F55" s="1110" t="s">
        <v>2751</v>
      </c>
      <c r="G55" s="3170" t="s">
        <v>2752</v>
      </c>
      <c r="H55" s="3241"/>
      <c r="I55" s="144" t="s">
        <v>2753</v>
      </c>
      <c r="J55" s="2708">
        <f>项目基本情况!F35</f>
        <v>0</v>
      </c>
      <c r="K55" s="2709" t="s">
        <v>2754</v>
      </c>
      <c r="L55" s="1109"/>
      <c r="M55" s="1147"/>
      <c r="N55" s="1147"/>
      <c r="O55" s="1147"/>
    </row>
    <row r="56" spans="1:15" s="692" customFormat="1">
      <c r="A56" s="688" t="s">
        <v>2755</v>
      </c>
      <c r="B56" s="689" t="e">
        <f>C48</f>
        <v>#DIV/0!</v>
      </c>
      <c r="C56" s="690">
        <v>1</v>
      </c>
      <c r="D56" s="1166">
        <v>1</v>
      </c>
      <c r="E56" s="690">
        <f>'数据-汇总表'!E8+'数据-汇总表'!E9</f>
        <v>124.73</v>
      </c>
      <c r="F56" s="1106" t="e">
        <f t="shared" ref="F56:F65" si="15">ROUND(B56*E56/10000,0)</f>
        <v>#DIV/0!</v>
      </c>
      <c r="G56" s="3169"/>
      <c r="H56" s="3187"/>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42"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42"/>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42"/>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42"/>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10"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10"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11"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124.73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12"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70" t="s">
        <v>2634</v>
      </c>
      <c r="D4" s="3171"/>
      <c r="E4" s="3172" t="s">
        <v>2635</v>
      </c>
      <c r="F4" s="3173"/>
      <c r="G4" s="3170" t="s">
        <v>2636</v>
      </c>
      <c r="H4" s="3171"/>
      <c r="I4" s="3170" t="s">
        <v>2637</v>
      </c>
      <c r="J4" s="3171"/>
      <c r="K4" s="610" t="s">
        <v>2638</v>
      </c>
      <c r="L4" s="1133"/>
      <c r="M4" s="1134"/>
      <c r="N4" s="1134"/>
      <c r="O4" s="1134"/>
      <c r="P4" s="3174" t="s">
        <v>2639</v>
      </c>
      <c r="Q4" s="3175"/>
      <c r="R4" s="3159" t="s">
        <v>2635</v>
      </c>
      <c r="S4" s="3160"/>
      <c r="T4" s="3159" t="s">
        <v>2636</v>
      </c>
      <c r="U4" s="3160"/>
      <c r="V4" s="3182" t="s">
        <v>2637</v>
      </c>
      <c r="W4" s="3182"/>
      <c r="X4" s="1815"/>
      <c r="Y4" s="3159" t="s">
        <v>2639</v>
      </c>
      <c r="Z4" s="3160"/>
      <c r="AA4" s="3154" t="s">
        <v>2635</v>
      </c>
      <c r="AB4" s="3155" t="s">
        <v>2636</v>
      </c>
      <c r="AC4" s="3154" t="s">
        <v>2637</v>
      </c>
    </row>
    <row r="5" spans="1:29" ht="15">
      <c r="A5" s="404"/>
      <c r="B5" s="405"/>
      <c r="C5" s="3222" t="s">
        <v>2530</v>
      </c>
      <c r="D5" s="3164"/>
      <c r="E5" s="3220" t="s">
        <v>2531</v>
      </c>
      <c r="F5" s="3221"/>
      <c r="G5" s="3222" t="s">
        <v>2532</v>
      </c>
      <c r="H5" s="3164"/>
      <c r="I5" s="3222" t="s">
        <v>2533</v>
      </c>
      <c r="J5" s="3164"/>
      <c r="K5" s="610"/>
      <c r="L5" s="1133"/>
      <c r="M5" s="1134"/>
      <c r="N5" s="1134"/>
      <c r="O5" s="1134"/>
      <c r="P5" s="3176"/>
      <c r="Q5" s="3177"/>
      <c r="R5" s="3161"/>
      <c r="S5" s="3162"/>
      <c r="T5" s="3161"/>
      <c r="U5" s="3162"/>
      <c r="V5" s="3182"/>
      <c r="W5" s="3182"/>
      <c r="X5" s="1815"/>
      <c r="Y5" s="3161"/>
      <c r="Z5" s="3162"/>
      <c r="AA5" s="3155"/>
      <c r="AB5" s="3155"/>
      <c r="AC5" s="3155"/>
    </row>
    <row r="6" spans="1:29" ht="15.75" thickBot="1">
      <c r="A6" s="406"/>
      <c r="B6" s="407"/>
      <c r="C6" s="3243" t="s">
        <v>2785</v>
      </c>
      <c r="D6" s="3244"/>
      <c r="E6" s="3245" t="s">
        <v>2785</v>
      </c>
      <c r="F6" s="3246"/>
      <c r="G6" s="3243" t="s">
        <v>2785</v>
      </c>
      <c r="H6" s="3244"/>
      <c r="I6" s="3243" t="s">
        <v>2785</v>
      </c>
      <c r="J6" s="3244"/>
      <c r="K6" s="610" t="s">
        <v>2535</v>
      </c>
      <c r="L6" s="1133"/>
      <c r="M6" s="1134"/>
      <c r="N6" s="1134"/>
      <c r="O6" s="1134"/>
      <c r="P6" s="3178"/>
      <c r="Q6" s="3179"/>
      <c r="R6" s="3161"/>
      <c r="S6" s="3162"/>
      <c r="T6" s="3180"/>
      <c r="U6" s="3181"/>
      <c r="V6" s="3182"/>
      <c r="W6" s="3182"/>
      <c r="X6" s="1815"/>
      <c r="Y6" s="3180"/>
      <c r="Z6" s="3181"/>
      <c r="AA6" s="3156"/>
      <c r="AB6" s="3156"/>
      <c r="AC6" s="3156"/>
    </row>
    <row r="7" spans="1:29" s="117" customFormat="1" ht="15.75" thickBot="1">
      <c r="A7" s="408" t="s">
        <v>2536</v>
      </c>
      <c r="B7" s="409"/>
      <c r="C7" s="410">
        <f>'数据-取费表'!B2</f>
        <v>43217</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57" t="s">
        <v>2537</v>
      </c>
      <c r="Q7" s="3183"/>
      <c r="R7" s="770" t="s">
        <v>17</v>
      </c>
      <c r="S7" s="771">
        <f t="shared" ref="S7:S15" si="0">F7</f>
        <v>0</v>
      </c>
      <c r="T7" s="770" t="s">
        <v>17</v>
      </c>
      <c r="U7" s="771">
        <f t="shared" ref="U7:U15" si="1">H7</f>
        <v>0</v>
      </c>
      <c r="V7" s="770" t="s">
        <v>17</v>
      </c>
      <c r="W7" s="771">
        <f t="shared" ref="W7:W15" si="2">J7</f>
        <v>0</v>
      </c>
      <c r="X7" s="772"/>
      <c r="Y7" s="3157" t="s">
        <v>2537</v>
      </c>
      <c r="Z7" s="3158"/>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7" t="s">
        <v>2540</v>
      </c>
      <c r="Q8" s="3158"/>
      <c r="R8" s="770" t="s">
        <v>17</v>
      </c>
      <c r="S8" s="771">
        <f t="shared" si="0"/>
        <v>0</v>
      </c>
      <c r="T8" s="770" t="s">
        <v>17</v>
      </c>
      <c r="U8" s="771">
        <f t="shared" si="1"/>
        <v>0</v>
      </c>
      <c r="V8" s="770" t="s">
        <v>17</v>
      </c>
      <c r="W8" s="771">
        <f t="shared" si="2"/>
        <v>0</v>
      </c>
      <c r="X8" s="772"/>
      <c r="Y8" s="3157" t="s">
        <v>2540</v>
      </c>
      <c r="Z8" s="3158"/>
      <c r="AA8" s="773" t="e">
        <f t="shared" ref="AA8:AA40" si="3">D8/F8</f>
        <v>#DIV/0!</v>
      </c>
      <c r="AB8" s="773" t="e">
        <f t="shared" ref="AB8:AB40" si="4">D8/H8</f>
        <v>#DIV/0!</v>
      </c>
      <c r="AC8" s="773" t="e">
        <f t="shared" ref="AC8:AC40" si="5">D8/J8</f>
        <v>#DIV/0!</v>
      </c>
    </row>
    <row r="9" spans="1:29" s="117" customFormat="1">
      <c r="A9" s="415" t="s">
        <v>2541</v>
      </c>
      <c r="B9" s="71" t="s">
        <v>2542</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7" t="s">
        <v>2543</v>
      </c>
      <c r="Q9" s="1797" t="str">
        <f t="shared" ref="Q9:Q15" si="6">B9</f>
        <v>用途</v>
      </c>
      <c r="R9" s="770" t="s">
        <v>17</v>
      </c>
      <c r="S9" s="771">
        <f t="shared" si="0"/>
        <v>100</v>
      </c>
      <c r="T9" s="770" t="s">
        <v>17</v>
      </c>
      <c r="U9" s="771">
        <f t="shared" si="1"/>
        <v>100</v>
      </c>
      <c r="V9" s="770" t="s">
        <v>17</v>
      </c>
      <c r="W9" s="771">
        <f t="shared" si="2"/>
        <v>100</v>
      </c>
      <c r="X9" s="772"/>
      <c r="Y9" s="3026"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t="e">
        <f>ROUND(100/'数据-取费表'!G16,0)</f>
        <v>#DIV/0!</v>
      </c>
      <c r="G10" s="432"/>
      <c r="H10" s="136" t="e">
        <f>ROUND(100/'数据-取费表'!G16,0)</f>
        <v>#DIV/0!</v>
      </c>
      <c r="I10" s="432"/>
      <c r="J10" s="136" t="e">
        <f>ROUND(100/'数据-取费表'!G16,0)</f>
        <v>#DIV/0!</v>
      </c>
      <c r="K10" s="672"/>
      <c r="L10" s="1138"/>
      <c r="M10" s="1139"/>
      <c r="N10" s="1139"/>
      <c r="O10" s="1140"/>
      <c r="P10" s="3187"/>
      <c r="Q10" s="1797" t="str">
        <f t="shared" si="6"/>
        <v>土地使用年限（年）</v>
      </c>
      <c r="R10" s="770" t="s">
        <v>17</v>
      </c>
      <c r="S10" s="771" t="e">
        <f t="shared" si="0"/>
        <v>#DIV/0!</v>
      </c>
      <c r="T10" s="770" t="s">
        <v>17</v>
      </c>
      <c r="U10" s="771" t="e">
        <f t="shared" si="1"/>
        <v>#DIV/0!</v>
      </c>
      <c r="V10" s="770" t="s">
        <v>17</v>
      </c>
      <c r="W10" s="771" t="e">
        <f t="shared" si="2"/>
        <v>#DIV/0!</v>
      </c>
      <c r="X10" s="772"/>
      <c r="Y10" s="3026"/>
      <c r="Z10" s="55" t="str">
        <f t="shared" si="7"/>
        <v>土地使用年限（年）</v>
      </c>
      <c r="AA10" s="773" t="e">
        <f t="shared" si="3"/>
        <v>#DIV/0!</v>
      </c>
      <c r="AB10" s="773" t="e">
        <f t="shared" si="4"/>
        <v>#DIV/0!</v>
      </c>
      <c r="AC10" s="773" t="e">
        <f t="shared" si="5"/>
        <v>#DIV/0!</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7"/>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7"/>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7"/>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7"/>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15">
      <c r="A15" s="440" t="s">
        <v>2547</v>
      </c>
      <c r="B15" s="629" t="s">
        <v>2786</v>
      </c>
      <c r="C15" s="2694">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9" t="s">
        <v>2548</v>
      </c>
      <c r="Q15" s="1812" t="str">
        <f t="shared" si="6"/>
        <v>产业集聚程度</v>
      </c>
      <c r="R15" s="774" t="s">
        <v>17</v>
      </c>
      <c r="S15" s="775">
        <f t="shared" si="0"/>
        <v>100</v>
      </c>
      <c r="T15" s="774" t="s">
        <v>17</v>
      </c>
      <c r="U15" s="775">
        <f t="shared" si="1"/>
        <v>100</v>
      </c>
      <c r="V15" s="774" t="s">
        <v>17</v>
      </c>
      <c r="W15" s="775">
        <f t="shared" si="2"/>
        <v>100</v>
      </c>
      <c r="X15" s="1815"/>
      <c r="Y15" s="3189" t="s">
        <v>2548</v>
      </c>
      <c r="Z15" s="1816" t="str">
        <f t="shared" si="7"/>
        <v>产业集聚程度</v>
      </c>
      <c r="AA15" s="1813">
        <f t="shared" si="3"/>
        <v>1</v>
      </c>
      <c r="AB15" s="1813">
        <f t="shared" si="4"/>
        <v>1</v>
      </c>
      <c r="AC15" s="1813">
        <f t="shared" si="5"/>
        <v>1</v>
      </c>
    </row>
    <row r="16" spans="1:29" ht="15">
      <c r="A16" s="428"/>
      <c r="B16" s="630"/>
      <c r="C16" s="447"/>
      <c r="D16" s="448"/>
      <c r="E16" s="2614"/>
      <c r="F16" s="448"/>
      <c r="G16" s="2614"/>
      <c r="H16" s="450"/>
      <c r="I16" s="2614"/>
      <c r="J16" s="448"/>
      <c r="K16" s="672"/>
      <c r="L16" s="1143"/>
      <c r="M16" s="1134"/>
      <c r="N16" s="1134"/>
      <c r="O16" s="1142"/>
      <c r="P16" s="3190"/>
      <c r="Q16" s="1812"/>
      <c r="R16" s="774"/>
      <c r="S16" s="775"/>
      <c r="T16" s="774"/>
      <c r="U16" s="775"/>
      <c r="V16" s="774"/>
      <c r="W16" s="775"/>
      <c r="X16" s="1815"/>
      <c r="Y16" s="3190"/>
      <c r="Z16" s="1816"/>
      <c r="AA16" s="1813">
        <v>1</v>
      </c>
      <c r="AB16" s="1813">
        <v>1</v>
      </c>
      <c r="AC16" s="1813">
        <v>1</v>
      </c>
    </row>
    <row r="17" spans="1:29" ht="15">
      <c r="A17" s="428"/>
      <c r="B17" s="631" t="s">
        <v>2697</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0"/>
      <c r="Q17" s="1812" t="str">
        <f>B17</f>
        <v>交通便捷度</v>
      </c>
      <c r="R17" s="774" t="s">
        <v>17</v>
      </c>
      <c r="S17" s="775">
        <f>F17</f>
        <v>100</v>
      </c>
      <c r="T17" s="774" t="s">
        <v>17</v>
      </c>
      <c r="U17" s="775">
        <f>H17</f>
        <v>100</v>
      </c>
      <c r="V17" s="774" t="s">
        <v>17</v>
      </c>
      <c r="W17" s="775">
        <f>J17</f>
        <v>100</v>
      </c>
      <c r="X17" s="1815"/>
      <c r="Y17" s="3190"/>
      <c r="Z17" s="1816" t="str">
        <f>Q17</f>
        <v>交通便捷度</v>
      </c>
      <c r="AA17" s="1813">
        <f t="shared" si="3"/>
        <v>1</v>
      </c>
      <c r="AB17" s="1813">
        <f t="shared" si="4"/>
        <v>1</v>
      </c>
      <c r="AC17" s="1813">
        <f t="shared" si="5"/>
        <v>1</v>
      </c>
    </row>
    <row r="18" spans="1:29" ht="15">
      <c r="A18" s="428"/>
      <c r="B18" s="632"/>
      <c r="C18" s="447"/>
      <c r="D18" s="448"/>
      <c r="E18" s="2608"/>
      <c r="F18" s="448"/>
      <c r="G18" s="2608"/>
      <c r="H18" s="448"/>
      <c r="I18" s="2607"/>
      <c r="J18" s="448"/>
      <c r="K18" s="672"/>
      <c r="L18" s="1143"/>
      <c r="M18" s="1134"/>
      <c r="N18" s="1134"/>
      <c r="O18" s="1142"/>
      <c r="P18" s="3190"/>
      <c r="Q18" s="1812"/>
      <c r="R18" s="774"/>
      <c r="S18" s="775"/>
      <c r="T18" s="774"/>
      <c r="U18" s="775"/>
      <c r="V18" s="774"/>
      <c r="W18" s="775"/>
      <c r="X18" s="1815"/>
      <c r="Y18" s="3190"/>
      <c r="Z18" s="1816"/>
      <c r="AA18" s="1813">
        <v>1</v>
      </c>
      <c r="AB18" s="1813">
        <v>1</v>
      </c>
      <c r="AC18" s="1813">
        <v>1</v>
      </c>
    </row>
    <row r="19" spans="1:29" ht="15">
      <c r="A19" s="428"/>
      <c r="B19" s="631" t="s">
        <v>2736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0"/>
      <c r="Q19" s="1812" t="str">
        <f t="shared" ref="Q19:Q33" si="8">B19</f>
        <v>区域土地利用方向</v>
      </c>
      <c r="R19" s="774" t="s">
        <v>17</v>
      </c>
      <c r="S19" s="775">
        <f>F19</f>
        <v>100</v>
      </c>
      <c r="T19" s="774" t="s">
        <v>17</v>
      </c>
      <c r="U19" s="775">
        <f>H19</f>
        <v>100</v>
      </c>
      <c r="V19" s="774" t="s">
        <v>17</v>
      </c>
      <c r="W19" s="775">
        <f>J19</f>
        <v>100</v>
      </c>
      <c r="X19" s="1815"/>
      <c r="Y19" s="3190"/>
      <c r="Z19" s="1816" t="str">
        <f>Q19</f>
        <v>区域土地利用方向</v>
      </c>
      <c r="AA19" s="1813">
        <f t="shared" si="3"/>
        <v>1</v>
      </c>
      <c r="AB19" s="1813">
        <f t="shared" si="4"/>
        <v>1</v>
      </c>
      <c r="AC19" s="1813">
        <f t="shared" si="5"/>
        <v>1</v>
      </c>
    </row>
    <row r="20" spans="1:29" ht="15">
      <c r="A20" s="404"/>
      <c r="B20" s="632"/>
      <c r="C20" s="447"/>
      <c r="D20" s="448"/>
      <c r="E20" s="2608"/>
      <c r="F20" s="448"/>
      <c r="G20" s="2608"/>
      <c r="H20" s="448"/>
      <c r="I20" s="2608"/>
      <c r="J20" s="448"/>
      <c r="K20" s="812"/>
      <c r="L20" s="1143"/>
      <c r="M20" s="1134"/>
      <c r="N20" s="1134"/>
      <c r="O20" s="1142"/>
      <c r="P20" s="3190"/>
      <c r="Q20" s="1812"/>
      <c r="R20" s="774"/>
      <c r="S20" s="775"/>
      <c r="T20" s="774"/>
      <c r="U20" s="775"/>
      <c r="V20" s="774"/>
      <c r="W20" s="775"/>
      <c r="X20" s="1815"/>
      <c r="Y20" s="3190"/>
      <c r="Z20" s="1816"/>
      <c r="AA20" s="1813"/>
      <c r="AB20" s="1813"/>
      <c r="AC20" s="1813"/>
    </row>
    <row r="21" spans="1:29" ht="15">
      <c r="A21" s="404"/>
      <c r="B21" s="631" t="s">
        <v>2787</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0"/>
      <c r="Q21" s="1812" t="str">
        <f t="shared" si="8"/>
        <v>环境状况</v>
      </c>
      <c r="R21" s="774" t="s">
        <v>17</v>
      </c>
      <c r="S21" s="775">
        <f>F21</f>
        <v>100</v>
      </c>
      <c r="T21" s="774" t="s">
        <v>17</v>
      </c>
      <c r="U21" s="775">
        <f>H21</f>
        <v>100</v>
      </c>
      <c r="V21" s="774" t="s">
        <v>17</v>
      </c>
      <c r="W21" s="775">
        <f>J21</f>
        <v>100</v>
      </c>
      <c r="X21" s="1815"/>
      <c r="Y21" s="3190"/>
      <c r="Z21" s="1816" t="str">
        <f>Q21</f>
        <v>环境状况</v>
      </c>
      <c r="AA21" s="1813">
        <f t="shared" si="3"/>
        <v>1</v>
      </c>
      <c r="AB21" s="1813">
        <f t="shared" si="4"/>
        <v>1</v>
      </c>
      <c r="AC21" s="1813">
        <f t="shared" si="5"/>
        <v>1</v>
      </c>
    </row>
    <row r="22" spans="1:29" ht="15">
      <c r="A22" s="404"/>
      <c r="B22" s="632"/>
      <c r="C22" s="447"/>
      <c r="D22" s="448"/>
      <c r="E22" s="2614"/>
      <c r="F22" s="448"/>
      <c r="G22" s="2614"/>
      <c r="H22" s="448"/>
      <c r="I22" s="447"/>
      <c r="J22" s="448"/>
      <c r="K22" s="672"/>
      <c r="L22" s="1143"/>
      <c r="M22" s="1134"/>
      <c r="N22" s="1134"/>
      <c r="O22" s="1142"/>
      <c r="P22" s="3190"/>
      <c r="Q22" s="1812"/>
      <c r="R22" s="774"/>
      <c r="S22" s="775"/>
      <c r="T22" s="774"/>
      <c r="U22" s="775"/>
      <c r="V22" s="774"/>
      <c r="W22" s="775"/>
      <c r="X22" s="1815"/>
      <c r="Y22" s="3190"/>
      <c r="Z22" s="1816"/>
      <c r="AA22" s="1813">
        <v>1</v>
      </c>
      <c r="AB22" s="1813">
        <v>1</v>
      </c>
      <c r="AC22" s="1813">
        <v>1</v>
      </c>
    </row>
    <row r="23" spans="1:29" s="117" customFormat="1" ht="15">
      <c r="A23" s="649"/>
      <c r="B23" s="633" t="s">
        <v>2642</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0"/>
      <c r="Q23" s="1797" t="str">
        <f t="shared" si="8"/>
        <v>公共配套设施</v>
      </c>
      <c r="R23" s="770" t="s">
        <v>17</v>
      </c>
      <c r="S23" s="771">
        <f>F23</f>
        <v>100</v>
      </c>
      <c r="T23" s="770" t="s">
        <v>17</v>
      </c>
      <c r="U23" s="771">
        <f>H23</f>
        <v>100</v>
      </c>
      <c r="V23" s="770" t="s">
        <v>17</v>
      </c>
      <c r="W23" s="771">
        <f>J23</f>
        <v>100</v>
      </c>
      <c r="X23" s="772"/>
      <c r="Y23" s="3190"/>
      <c r="Z23" s="55" t="str">
        <f>Q23</f>
        <v>公共配套设施</v>
      </c>
      <c r="AA23" s="1813">
        <f>D23/F23</f>
        <v>1</v>
      </c>
      <c r="AB23" s="1813">
        <f>D23/H23</f>
        <v>1</v>
      </c>
      <c r="AC23" s="1813">
        <f>D23/J23</f>
        <v>1</v>
      </c>
    </row>
    <row r="24" spans="1:29" s="117" customFormat="1" ht="15">
      <c r="A24" s="649"/>
      <c r="B24" s="632"/>
      <c r="C24" s="2701"/>
      <c r="D24" s="448"/>
      <c r="E24" s="2614"/>
      <c r="F24" s="448"/>
      <c r="G24" s="2614"/>
      <c r="H24" s="448"/>
      <c r="I24" s="447"/>
      <c r="J24" s="448"/>
      <c r="K24" s="672"/>
      <c r="L24" s="1135"/>
      <c r="M24" s="1136"/>
      <c r="N24" s="1136"/>
      <c r="O24" s="1137"/>
      <c r="P24" s="3190"/>
      <c r="Q24" s="1797"/>
      <c r="R24" s="770"/>
      <c r="S24" s="771"/>
      <c r="T24" s="770"/>
      <c r="U24" s="771"/>
      <c r="V24" s="770"/>
      <c r="W24" s="771"/>
      <c r="X24" s="772"/>
      <c r="Y24" s="3190"/>
      <c r="Z24" s="55"/>
      <c r="AA24" s="773">
        <v>1</v>
      </c>
      <c r="AB24" s="773">
        <v>1</v>
      </c>
      <c r="AC24" s="773">
        <v>1</v>
      </c>
    </row>
    <row r="25" spans="1:29" s="117" customFormat="1" ht="15">
      <c r="A25" s="649"/>
      <c r="B25" s="633" t="s">
        <v>2643</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0"/>
      <c r="Q25" s="1797" t="str">
        <f t="shared" ref="Q25" si="9">B25</f>
        <v>基础设施水平</v>
      </c>
      <c r="R25" s="770" t="s">
        <v>17</v>
      </c>
      <c r="S25" s="771">
        <f>F25</f>
        <v>100</v>
      </c>
      <c r="T25" s="770" t="s">
        <v>17</v>
      </c>
      <c r="U25" s="771">
        <f>H25</f>
        <v>100</v>
      </c>
      <c r="V25" s="770" t="s">
        <v>17</v>
      </c>
      <c r="W25" s="771">
        <f>J25</f>
        <v>100</v>
      </c>
      <c r="X25" s="772"/>
      <c r="Y25" s="3190"/>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190"/>
      <c r="Q26" s="1797"/>
      <c r="R26" s="770"/>
      <c r="S26" s="771"/>
      <c r="T26" s="770"/>
      <c r="U26" s="771"/>
      <c r="V26" s="770"/>
      <c r="W26" s="771"/>
      <c r="X26" s="772"/>
      <c r="Y26" s="3190"/>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0"/>
      <c r="Z27" s="1816" t="str">
        <f t="shared" ref="Z27:Z40" si="13">Q27</f>
        <v>临街状况</v>
      </c>
      <c r="AA27" s="1813">
        <f t="shared" si="3"/>
        <v>1</v>
      </c>
      <c r="AB27" s="1813">
        <f t="shared" si="4"/>
        <v>1</v>
      </c>
      <c r="AC27" s="1813">
        <f t="shared" si="5"/>
        <v>1</v>
      </c>
    </row>
    <row r="28" spans="1:29" ht="27">
      <c r="A28" s="428"/>
      <c r="B28" s="633" t="s">
        <v>2679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0"/>
      <c r="Q28" s="1812" t="str">
        <f t="shared" si="8"/>
        <v>毗邻道路的类型与等级</v>
      </c>
      <c r="R28" s="774" t="s">
        <v>17</v>
      </c>
      <c r="S28" s="775">
        <f t="shared" si="10"/>
        <v>100</v>
      </c>
      <c r="T28" s="774" t="s">
        <v>17</v>
      </c>
      <c r="U28" s="775">
        <f t="shared" si="11"/>
        <v>100</v>
      </c>
      <c r="V28" s="774" t="s">
        <v>17</v>
      </c>
      <c r="W28" s="775">
        <f t="shared" si="12"/>
        <v>100</v>
      </c>
      <c r="X28" s="1815"/>
      <c r="Y28" s="3190"/>
      <c r="Z28" s="1816" t="str">
        <f t="shared" si="13"/>
        <v>毗邻道路的类型与等级</v>
      </c>
      <c r="AA28" s="1813">
        <f t="shared" si="3"/>
        <v>1</v>
      </c>
      <c r="AB28" s="1813">
        <f t="shared" si="4"/>
        <v>1</v>
      </c>
      <c r="AC28" s="1813">
        <f t="shared" si="5"/>
        <v>1</v>
      </c>
    </row>
    <row r="29" spans="1:29" ht="15">
      <c r="A29" s="428"/>
      <c r="B29" s="632"/>
      <c r="C29" s="447"/>
      <c r="D29" s="448"/>
      <c r="E29" s="2614"/>
      <c r="F29" s="448"/>
      <c r="G29" s="2614"/>
      <c r="H29" s="448"/>
      <c r="I29" s="2614"/>
      <c r="J29" s="448"/>
      <c r="K29" s="613"/>
      <c r="L29" s="1143"/>
      <c r="M29" s="1134"/>
      <c r="N29" s="1134"/>
      <c r="O29" s="1142"/>
      <c r="P29" s="3190"/>
      <c r="Q29" s="1812"/>
      <c r="R29" s="774"/>
      <c r="S29" s="775"/>
      <c r="T29" s="774"/>
      <c r="U29" s="775"/>
      <c r="V29" s="774"/>
      <c r="W29" s="775"/>
      <c r="X29" s="1815"/>
      <c r="Y29" s="3190"/>
      <c r="Z29" s="1816"/>
      <c r="AA29" s="1813">
        <v>1</v>
      </c>
      <c r="AB29" s="1813">
        <v>1</v>
      </c>
      <c r="AC29" s="1813">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0"/>
      <c r="Q30" s="1812" t="str">
        <f t="shared" si="8"/>
        <v>土地级别</v>
      </c>
      <c r="R30" s="774" t="s">
        <v>17</v>
      </c>
      <c r="S30" s="775">
        <f t="shared" si="10"/>
        <v>100</v>
      </c>
      <c r="T30" s="774" t="s">
        <v>17</v>
      </c>
      <c r="U30" s="775">
        <f t="shared" si="11"/>
        <v>100</v>
      </c>
      <c r="V30" s="774" t="s">
        <v>17</v>
      </c>
      <c r="W30" s="775">
        <f t="shared" si="12"/>
        <v>100</v>
      </c>
      <c r="X30" s="1815"/>
      <c r="Y30" s="3190"/>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0"/>
      <c r="Q31" s="1812">
        <f t="shared" si="8"/>
        <v>111</v>
      </c>
      <c r="R31" s="774" t="s">
        <v>17</v>
      </c>
      <c r="S31" s="775">
        <f t="shared" si="10"/>
        <v>100</v>
      </c>
      <c r="T31" s="774" t="s">
        <v>17</v>
      </c>
      <c r="U31" s="775">
        <f t="shared" si="11"/>
        <v>100</v>
      </c>
      <c r="V31" s="774" t="s">
        <v>17</v>
      </c>
      <c r="W31" s="775">
        <f t="shared" si="12"/>
        <v>100</v>
      </c>
      <c r="X31" s="1815"/>
      <c r="Y31" s="3190"/>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8" t="s">
        <v>2553</v>
      </c>
      <c r="Q32" s="1812">
        <f t="shared" si="8"/>
        <v>111</v>
      </c>
      <c r="R32" s="774" t="s">
        <v>17</v>
      </c>
      <c r="S32" s="775">
        <f t="shared" si="10"/>
        <v>100</v>
      </c>
      <c r="T32" s="774" t="s">
        <v>17</v>
      </c>
      <c r="U32" s="775">
        <f t="shared" si="11"/>
        <v>100</v>
      </c>
      <c r="V32" s="774" t="s">
        <v>17</v>
      </c>
      <c r="W32" s="775">
        <f t="shared" si="12"/>
        <v>100</v>
      </c>
      <c r="X32" s="1815"/>
      <c r="Y32" s="3194" t="s">
        <v>2553</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4"/>
      <c r="Q33" s="1812">
        <f t="shared" si="8"/>
        <v>111</v>
      </c>
      <c r="R33" s="777" t="s">
        <v>17</v>
      </c>
      <c r="S33" s="778">
        <f t="shared" si="10"/>
        <v>100</v>
      </c>
      <c r="T33" s="777" t="s">
        <v>17</v>
      </c>
      <c r="U33" s="778">
        <f t="shared" si="11"/>
        <v>100</v>
      </c>
      <c r="V33" s="777" t="s">
        <v>17</v>
      </c>
      <c r="W33" s="778">
        <f t="shared" si="12"/>
        <v>100</v>
      </c>
      <c r="X33" s="779"/>
      <c r="Y33" s="3194"/>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4"/>
      <c r="Q34" s="1812" t="str">
        <f>B34</f>
        <v>宗地面积</v>
      </c>
      <c r="R34" s="774" t="s">
        <v>17</v>
      </c>
      <c r="S34" s="775" t="e">
        <f t="shared" si="10"/>
        <v>#N/A</v>
      </c>
      <c r="T34" s="774" t="s">
        <v>17</v>
      </c>
      <c r="U34" s="775" t="e">
        <f t="shared" si="11"/>
        <v>#N/A</v>
      </c>
      <c r="V34" s="774" t="s">
        <v>17</v>
      </c>
      <c r="W34" s="775" t="e">
        <f t="shared" si="12"/>
        <v>#N/A</v>
      </c>
      <c r="X34" s="1815"/>
      <c r="Y34" s="3194"/>
      <c r="Z34" s="1816" t="str">
        <f t="shared" si="13"/>
        <v>宗地面积</v>
      </c>
      <c r="AA34" s="1813" t="e">
        <f t="shared" si="3"/>
        <v>#N/A</v>
      </c>
      <c r="AB34" s="1813" t="e">
        <f t="shared" si="4"/>
        <v>#N/A</v>
      </c>
      <c r="AC34" s="1813" t="e">
        <f t="shared" si="5"/>
        <v>#N/A</v>
      </c>
    </row>
    <row r="35" spans="1:29" ht="15">
      <c r="A35" s="472"/>
      <c r="B35" s="422" t="s">
        <v>2740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94"/>
      <c r="Q35" s="1812" t="str">
        <f t="shared" ref="Q35:Q40" si="14">B35</f>
        <v>宗地形状</v>
      </c>
      <c r="R35" s="774" t="s">
        <v>17</v>
      </c>
      <c r="S35" s="775">
        <f t="shared" si="10"/>
        <v>100</v>
      </c>
      <c r="T35" s="774" t="s">
        <v>17</v>
      </c>
      <c r="U35" s="775">
        <f t="shared" si="11"/>
        <v>100</v>
      </c>
      <c r="V35" s="774" t="s">
        <v>17</v>
      </c>
      <c r="W35" s="775">
        <f t="shared" si="12"/>
        <v>100</v>
      </c>
      <c r="X35" s="1815"/>
      <c r="Y35" s="3194"/>
      <c r="Z35" s="1816" t="str">
        <f t="shared" si="13"/>
        <v>宗地形状</v>
      </c>
      <c r="AA35" s="1813">
        <f t="shared" si="3"/>
        <v>1</v>
      </c>
      <c r="AB35" s="1813">
        <f t="shared" si="4"/>
        <v>1</v>
      </c>
      <c r="AC35" s="1813">
        <f t="shared" si="5"/>
        <v>1</v>
      </c>
    </row>
    <row r="36" spans="1:29" s="117" customFormat="1" ht="15">
      <c r="A36" s="473"/>
      <c r="B36" s="422" t="s">
        <v>2742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4"/>
      <c r="Q36" s="1812"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2743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94" t="s">
        <v>2553</v>
      </c>
      <c r="Q37" s="1812" t="str">
        <f t="shared" si="14"/>
        <v>工程地质条件</v>
      </c>
      <c r="R37" s="774" t="s">
        <v>17</v>
      </c>
      <c r="S37" s="775">
        <f t="shared" si="10"/>
        <v>100</v>
      </c>
      <c r="T37" s="774" t="s">
        <v>17</v>
      </c>
      <c r="U37" s="775">
        <f t="shared" si="11"/>
        <v>100</v>
      </c>
      <c r="V37" s="774" t="s">
        <v>17</v>
      </c>
      <c r="W37" s="775">
        <f t="shared" si="12"/>
        <v>100</v>
      </c>
      <c r="X37" s="1815"/>
      <c r="Y37" s="3194" t="s">
        <v>2553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4"/>
      <c r="Q38" s="1812">
        <f t="shared" si="14"/>
        <v>111</v>
      </c>
      <c r="R38" s="774" t="s">
        <v>17</v>
      </c>
      <c r="S38" s="775">
        <f t="shared" si="10"/>
        <v>100</v>
      </c>
      <c r="T38" s="774" t="s">
        <v>17</v>
      </c>
      <c r="U38" s="775">
        <f t="shared" si="11"/>
        <v>100</v>
      </c>
      <c r="V38" s="774" t="s">
        <v>17</v>
      </c>
      <c r="W38" s="775">
        <f t="shared" si="12"/>
        <v>100</v>
      </c>
      <c r="X38" s="1815"/>
      <c r="Y38" s="3194"/>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4"/>
      <c r="Q39" s="1812">
        <f t="shared" si="14"/>
        <v>111</v>
      </c>
      <c r="R39" s="774" t="s">
        <v>17</v>
      </c>
      <c r="S39" s="775">
        <f t="shared" si="10"/>
        <v>100</v>
      </c>
      <c r="T39" s="774" t="s">
        <v>17</v>
      </c>
      <c r="U39" s="775">
        <f t="shared" si="11"/>
        <v>100</v>
      </c>
      <c r="V39" s="774" t="s">
        <v>17</v>
      </c>
      <c r="W39" s="775">
        <f t="shared" si="12"/>
        <v>100</v>
      </c>
      <c r="X39" s="1815"/>
      <c r="Y39" s="3194"/>
      <c r="Z39" s="1816">
        <f t="shared" si="13"/>
        <v>111</v>
      </c>
      <c r="AA39" s="1813">
        <f t="shared" si="3"/>
        <v>1</v>
      </c>
      <c r="AB39" s="1813">
        <f t="shared" si="4"/>
        <v>1</v>
      </c>
      <c r="AC39" s="1813">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4"/>
      <c r="Q40" s="1812">
        <f t="shared" si="14"/>
        <v>111</v>
      </c>
      <c r="R40" s="777" t="s">
        <v>17</v>
      </c>
      <c r="S40" s="778">
        <f t="shared" si="10"/>
        <v>100</v>
      </c>
      <c r="T40" s="777" t="s">
        <v>17</v>
      </c>
      <c r="U40" s="778">
        <f t="shared" si="11"/>
        <v>100</v>
      </c>
      <c r="V40" s="777" t="s">
        <v>17</v>
      </c>
      <c r="W40" s="778">
        <f t="shared" si="12"/>
        <v>100</v>
      </c>
      <c r="X40" s="779"/>
      <c r="Y40" s="3194"/>
      <c r="Z40" s="780">
        <f t="shared" si="13"/>
        <v>111</v>
      </c>
      <c r="AA40" s="1813">
        <f t="shared" si="3"/>
        <v>1</v>
      </c>
      <c r="AB40" s="1813">
        <f t="shared" si="4"/>
        <v>1</v>
      </c>
      <c r="AC40" s="1813">
        <f t="shared" si="5"/>
        <v>1</v>
      </c>
    </row>
    <row r="41" spans="1:29" ht="15">
      <c r="A41" s="479" t="s">
        <v>2708</v>
      </c>
      <c r="B41" s="2705" t="s">
        <v>2788</v>
      </c>
      <c r="C41" s="682" t="s">
        <v>1</v>
      </c>
      <c r="D41" s="481"/>
      <c r="E41" s="482"/>
      <c r="F41" s="483"/>
      <c r="G41" s="484"/>
      <c r="H41" s="485"/>
      <c r="I41" s="482"/>
      <c r="J41" s="485"/>
      <c r="K41" s="783"/>
      <c r="L41" s="1146"/>
      <c r="M41" s="1134"/>
      <c r="N41" s="1134"/>
      <c r="O41" s="1147"/>
      <c r="P41" s="3187" t="str">
        <f>A41</f>
        <v>成交单价</v>
      </c>
      <c r="Q41" s="3187"/>
      <c r="R41" s="3182">
        <f>E41</f>
        <v>0</v>
      </c>
      <c r="S41" s="3182"/>
      <c r="T41" s="3182">
        <f>G41</f>
        <v>0</v>
      </c>
      <c r="U41" s="3182"/>
      <c r="V41" s="3182">
        <f>I41</f>
        <v>0</v>
      </c>
      <c r="W41" s="3182"/>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187" t="str">
        <f>A42</f>
        <v>比较价值（元/平方米）</v>
      </c>
      <c r="Q42" s="3187"/>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184" t="str">
        <f>A43</f>
        <v>估价对象XX用房的比较价值（楼面单价，元/平方米）</v>
      </c>
      <c r="Q43" s="3185"/>
      <c r="R43" s="3240" t="e">
        <f>ROUND(AVERAGE(R42:V42),0)</f>
        <v>#DIV/0!</v>
      </c>
      <c r="S43" s="3240"/>
      <c r="T43" s="3240"/>
      <c r="U43" s="3240"/>
      <c r="V43" s="3240"/>
      <c r="W43" s="324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6" t="s">
        <v>2748</v>
      </c>
      <c r="D50" s="2707" t="s">
        <v>2749</v>
      </c>
      <c r="E50" s="686" t="s">
        <v>2750</v>
      </c>
      <c r="F50" s="687" t="s">
        <v>2751</v>
      </c>
      <c r="G50" s="3170" t="s">
        <v>2752</v>
      </c>
      <c r="H50" s="3241"/>
      <c r="I50" s="1816" t="s">
        <v>2789</v>
      </c>
      <c r="J50" s="1816">
        <f>项目基本情况!F35</f>
        <v>0</v>
      </c>
      <c r="K50" s="2709" t="s">
        <v>2754</v>
      </c>
      <c r="L50" s="1109"/>
      <c r="M50" s="1147"/>
      <c r="N50" s="1147"/>
      <c r="O50" s="1147"/>
    </row>
    <row r="51" spans="1:17" s="692" customFormat="1">
      <c r="A51" s="688" t="s">
        <v>2755</v>
      </c>
      <c r="B51" s="689" t="e">
        <f>C43</f>
        <v>#DIV/0!</v>
      </c>
      <c r="C51" s="690">
        <v>1</v>
      </c>
      <c r="D51" s="1166">
        <v>1</v>
      </c>
      <c r="E51" s="690">
        <f>'数据-汇总表'!E8+'数据-汇总表'!E9</f>
        <v>124.73</v>
      </c>
      <c r="F51" s="691" t="e">
        <f t="shared" ref="F51:F60" si="15">ROUND(B51*E51/10000,0)</f>
        <v>#DIV/0!</v>
      </c>
      <c r="G51" s="3169"/>
      <c r="H51" s="3187"/>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42"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42"/>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42"/>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42"/>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10"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10"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11"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12"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2792</v>
      </c>
      <c r="B1" s="241"/>
      <c r="C1" s="245" t="s">
        <v>2793</v>
      </c>
      <c r="D1" s="388">
        <f>SUM(D29:D30,D33:D39)</f>
        <v>0</v>
      </c>
      <c r="E1" s="2718"/>
      <c r="F1" s="2718"/>
      <c r="G1" s="2718"/>
      <c r="H1" s="2718"/>
      <c r="I1" s="2718"/>
      <c r="J1" s="2718"/>
      <c r="K1" s="1373"/>
      <c r="L1" s="2719" t="s">
        <v>2794</v>
      </c>
      <c r="M1" s="1083">
        <f>SUMPRODUCT((区片价!B5:B9=I2)*(区片价!C3:F3=E2)*(区片价!C5:F9))</f>
        <v>0</v>
      </c>
      <c r="N1" s="1086">
        <f>SUMPRODUCT((因素修正幅度!B5:B9=I2)*(因素修正幅度!C3:F3=E2)*(因素修正幅度!C5:F9))</f>
        <v>0</v>
      </c>
      <c r="O1" s="2720"/>
      <c r="P1" s="2720"/>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t="e">
        <f>C26</f>
        <v>#DIV/0!</v>
      </c>
      <c r="C2" s="2722" t="s">
        <v>2801</v>
      </c>
      <c r="D2" s="2723" t="s">
        <v>2802</v>
      </c>
      <c r="E2" s="2724"/>
      <c r="F2" s="2723" t="s">
        <v>2803</v>
      </c>
      <c r="G2" s="2725">
        <f>IF(E2="商业",项目基本情况!B37,IF(E2="办公",项目基本情况!C37,IF(E2="住宅",项目基本情况!D37,项目基本情况!E37)))</f>
        <v>0</v>
      </c>
      <c r="H2" s="2723" t="s">
        <v>2804</v>
      </c>
      <c r="I2" s="2725">
        <f>IF(E2="商业",项目基本情况!B38,IF(E2="办公",项目基本情况!C38,IF(E2="住宅",项目基本情况!D38,项目基本情况!E38)))</f>
        <v>0</v>
      </c>
      <c r="J2" s="2726"/>
      <c r="K2" s="1373"/>
      <c r="L2" s="2727" t="s">
        <v>2805</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2806</v>
      </c>
      <c r="B3" s="248" t="e">
        <f>ROUND(B2*10000/D1,0)</f>
        <v>#DIV/0!</v>
      </c>
      <c r="C3" s="2722" t="s">
        <v>2807</v>
      </c>
      <c r="D3" s="2723" t="s">
        <v>2808</v>
      </c>
      <c r="E3" s="2728"/>
      <c r="F3" s="2729" t="s">
        <v>2809</v>
      </c>
      <c r="G3" s="916" t="e">
        <f>IF(F3="宗地容积率",'数据-汇总表'!I4,IF(F3="估价对象容积率",'数据-汇总表'!I6,'数据-汇总表'!I7))</f>
        <v>#DIV/0!</v>
      </c>
      <c r="H3" s="198" t="s">
        <v>2810</v>
      </c>
      <c r="I3" s="947"/>
      <c r="J3" s="2726" t="s">
        <v>2811</v>
      </c>
      <c r="K3" s="1373"/>
      <c r="L3" s="2727" t="s">
        <v>2812</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1"/>
      <c r="B4" s="3262"/>
      <c r="C4" s="3262"/>
      <c r="D4" s="3263"/>
      <c r="E4" s="3263"/>
      <c r="F4" s="3263"/>
      <c r="G4" s="3263"/>
      <c r="H4" s="3263"/>
      <c r="I4" s="3263"/>
      <c r="J4" s="3264"/>
      <c r="K4" s="1373"/>
      <c r="L4" s="2727" t="s">
        <v>2813</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2814</v>
      </c>
      <c r="C5" s="917" t="e">
        <f>ROUND(IF(E2="商业",IF(F16="增加",C6*C7+C16,C6*C7-C16),IF(E2="住宅",IF(F16="增加",C6*C12+C16,C6*C12-C16),IF(F16="增加",C6+C16,C6-C16))),0)</f>
        <v>#DIV/0!</v>
      </c>
      <c r="D5" s="1789">
        <f>ROUND(IF(E2="商业",IF(F16="增加",C6+C16,C6-C16)),0)</f>
        <v>0</v>
      </c>
      <c r="E5" s="2732"/>
      <c r="F5" s="2732"/>
      <c r="G5" s="2733"/>
      <c r="H5" s="2733"/>
      <c r="I5" s="2733"/>
      <c r="J5" s="2734"/>
      <c r="K5" s="2735"/>
      <c r="L5" s="2727" t="s">
        <v>2815</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2816</v>
      </c>
      <c r="B6" s="2741" t="s">
        <v>2817</v>
      </c>
      <c r="C6" s="918">
        <f>SUMIF(L1:L12,G2,M1:M12)</f>
        <v>0</v>
      </c>
      <c r="D6" s="2742" t="s">
        <v>2818</v>
      </c>
      <c r="E6" s="2743"/>
      <c r="F6" s="2743"/>
      <c r="G6" s="2744"/>
      <c r="H6" s="2744"/>
      <c r="I6" s="2744"/>
      <c r="J6" s="2745"/>
      <c r="K6" s="1844"/>
      <c r="L6" s="2727" t="s">
        <v>2819</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47" t="str">
        <f>IF(E2="商业",IF(C8="不临58条商业街","",2),"")</f>
        <v/>
      </c>
      <c r="B7" s="2746" t="s">
        <v>2820</v>
      </c>
      <c r="C7" s="919" t="e">
        <f>IF(C8="不临58条商业街",1,ROUND(1+(1.6*E8+1.2*E9+0.8*E10+0.4*E11)*C9,4))</f>
        <v>#DIV/0!</v>
      </c>
      <c r="D7" s="2747" t="s">
        <v>2821</v>
      </c>
      <c r="E7" s="948"/>
      <c r="F7" s="2748"/>
      <c r="G7" s="2749"/>
      <c r="H7" s="2749"/>
      <c r="I7" s="2749"/>
      <c r="J7" s="2750"/>
      <c r="K7" s="1844"/>
      <c r="L7" s="2727" t="s">
        <v>2822</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2823</v>
      </c>
      <c r="X7" s="1607">
        <f>G2</f>
        <v>0</v>
      </c>
      <c r="Y7" s="1607" t="s">
        <v>2824</v>
      </c>
      <c r="Z7" s="1608" t="e">
        <f>G3</f>
        <v>#DIV/0!</v>
      </c>
      <c r="AA7" s="1609"/>
      <c r="AB7" s="1609"/>
      <c r="AC7" s="1610"/>
      <c r="AD7" s="1611"/>
      <c r="AE7" s="1611"/>
      <c r="AF7" s="1611"/>
      <c r="AG7" s="1611"/>
      <c r="AH7" s="1611"/>
      <c r="AI7" s="1611"/>
      <c r="AJ7" s="1612"/>
    </row>
    <row r="8" spans="1:36" ht="15">
      <c r="A8" s="3248"/>
      <c r="B8" s="198" t="s">
        <v>2825</v>
      </c>
      <c r="C8" s="2751"/>
      <c r="D8" s="920" t="s">
        <v>139</v>
      </c>
      <c r="E8" s="921" t="e">
        <f>ROUND(C11/E7,4)</f>
        <v>#DIV/0!</v>
      </c>
      <c r="F8" s="2752" t="s">
        <v>2826</v>
      </c>
      <c r="G8" s="2753"/>
      <c r="H8" s="2753"/>
      <c r="I8" s="2753"/>
      <c r="J8" s="2754"/>
      <c r="K8" s="1373"/>
      <c r="L8" s="2727"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8" t="s">
        <v>2828</v>
      </c>
      <c r="X8" s="3259"/>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248"/>
      <c r="B9" s="198" t="s">
        <v>2841</v>
      </c>
      <c r="C9" s="922">
        <f>SUMIF(修正!C59:C119,C8,修正!E59:E119)</f>
        <v>0</v>
      </c>
      <c r="D9" s="200" t="s">
        <v>140</v>
      </c>
      <c r="E9" s="200" t="e">
        <f>ROUND(C11/E7,4)</f>
        <v>#DIV/0!</v>
      </c>
      <c r="F9" s="2752" t="s">
        <v>2842</v>
      </c>
      <c r="G9" s="2753"/>
      <c r="H9" s="2753"/>
      <c r="I9" s="2753"/>
      <c r="J9" s="2754"/>
      <c r="K9" s="1373"/>
      <c r="L9" s="2727"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0" t="s">
        <v>2844</v>
      </c>
      <c r="X9" s="1614" t="s">
        <v>2845</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8"/>
      <c r="B10" s="198" t="s">
        <v>2846</v>
      </c>
      <c r="C10" s="200">
        <f>SUMIF(修正!C59:C119,C8,修正!F59:F119)</f>
        <v>0</v>
      </c>
      <c r="D10" s="200" t="s">
        <v>141</v>
      </c>
      <c r="E10" s="200" t="e">
        <f>ROUND(C11/E7,4)</f>
        <v>#DIV/0!</v>
      </c>
      <c r="F10" s="2752" t="s">
        <v>2847</v>
      </c>
      <c r="G10" s="2753"/>
      <c r="H10" s="2753"/>
      <c r="I10" s="2753"/>
      <c r="J10" s="2754"/>
      <c r="K10" s="1373"/>
      <c r="L10" s="2727"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8"/>
      <c r="B11" s="2755" t="s">
        <v>2849</v>
      </c>
      <c r="C11" s="923">
        <f>C10/4</f>
        <v>0</v>
      </c>
      <c r="D11" s="923" t="s">
        <v>142</v>
      </c>
      <c r="E11" s="923" t="e">
        <f>ROUND(C11/E7,4)</f>
        <v>#DIV/0!</v>
      </c>
      <c r="F11" s="2756" t="s">
        <v>2850</v>
      </c>
      <c r="G11" s="2757"/>
      <c r="H11" s="2757"/>
      <c r="I11" s="2757"/>
      <c r="J11" s="2758"/>
      <c r="K11" s="1373"/>
      <c r="L11" s="2727"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0" t="s">
        <v>2852</v>
      </c>
      <c r="X11" s="1617" t="s">
        <v>2853</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47" t="s">
        <v>2854</v>
      </c>
      <c r="B12" s="2759" t="s">
        <v>2855</v>
      </c>
      <c r="C12" s="919">
        <f>ROUND(C15*D15*E15*F15*G15*H15*I15*J15,4)</f>
        <v>1</v>
      </c>
      <c r="D12" s="2760" t="s">
        <v>2856</v>
      </c>
      <c r="E12" s="2761"/>
      <c r="F12" s="2761"/>
      <c r="G12" s="2762"/>
      <c r="H12" s="2762"/>
      <c r="I12" s="2762"/>
      <c r="J12" s="2763"/>
      <c r="K12" s="1373"/>
      <c r="L12" s="2764"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0"/>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5"/>
      <c r="B13" s="2765" t="s">
        <v>2859</v>
      </c>
      <c r="C13" s="2766" t="s">
        <v>2860</v>
      </c>
      <c r="D13" s="1810" t="s">
        <v>2861</v>
      </c>
      <c r="E13" s="1810" t="s">
        <v>2862</v>
      </c>
      <c r="F13" s="30" t="s">
        <v>2863</v>
      </c>
      <c r="G13" s="2767" t="s">
        <v>2864</v>
      </c>
      <c r="H13" s="2767" t="s">
        <v>2864</v>
      </c>
      <c r="I13" s="2767" t="s">
        <v>2864</v>
      </c>
      <c r="J13" s="2768" t="s">
        <v>2864</v>
      </c>
      <c r="K13" s="1373"/>
      <c r="L13" s="1373"/>
      <c r="M13" s="1373"/>
      <c r="N13" s="1373"/>
      <c r="O13" s="1373"/>
      <c r="P13" s="1373"/>
      <c r="Q13" s="1373"/>
      <c r="R13" s="1605">
        <v>12</v>
      </c>
      <c r="S13" s="1606"/>
      <c r="T13" s="1605" t="e">
        <f t="shared" si="0"/>
        <v>#DIV/0!</v>
      </c>
      <c r="U13" s="1606"/>
      <c r="V13" s="1605" t="e">
        <f t="shared" si="1"/>
        <v>#DIV/0!</v>
      </c>
      <c r="W13" s="3260"/>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5"/>
      <c r="B14" s="2769"/>
      <c r="C14" s="2770"/>
      <c r="D14" s="2771"/>
      <c r="E14" s="2771"/>
      <c r="F14" s="2772"/>
      <c r="G14" s="2773" t="s">
        <v>2865</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6"/>
      <c r="B15" s="2777" t="s">
        <v>2866</v>
      </c>
      <c r="C15" s="229">
        <f>IF(C14="有",1.1,1)</f>
        <v>1</v>
      </c>
      <c r="D15" s="229">
        <f>IF(D14="有",1.1,1)</f>
        <v>1</v>
      </c>
      <c r="E15" s="229">
        <f>IF(E14="有",1.1,1)</f>
        <v>1</v>
      </c>
      <c r="F15" s="229">
        <f>IF(F14="500米范围内",1.2,IF(F14="500-1000米",1.1,1))</f>
        <v>1</v>
      </c>
      <c r="G15" s="949">
        <v>1</v>
      </c>
      <c r="H15" s="949">
        <v>1</v>
      </c>
      <c r="I15" s="949">
        <v>1</v>
      </c>
      <c r="J15" s="950">
        <v>1</v>
      </c>
      <c r="K15" s="1373"/>
      <c r="L15" s="2778" t="s">
        <v>2802</v>
      </c>
      <c r="M15" s="920" t="s">
        <v>2867</v>
      </c>
      <c r="N15" s="920" t="s">
        <v>2868</v>
      </c>
      <c r="O15" s="920" t="s">
        <v>2869</v>
      </c>
      <c r="P15" s="2779" t="s">
        <v>2870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7" t="s">
        <v>2871</v>
      </c>
      <c r="B16" s="2746" t="s">
        <v>2872</v>
      </c>
      <c r="C16" s="1803" t="e">
        <f>ROUND(SUM(G17:J17)/C17,0)</f>
        <v>#DIV/0!</v>
      </c>
      <c r="D16" s="2780" t="s">
        <v>2873</v>
      </c>
      <c r="E16" s="2781"/>
      <c r="F16" s="2782"/>
      <c r="G16" s="2783"/>
      <c r="H16" s="2783"/>
      <c r="I16" s="2783"/>
      <c r="J16" s="2784"/>
      <c r="K16" s="1373"/>
      <c r="L16" s="2785" t="s">
        <v>2874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8"/>
      <c r="B17" s="2786" t="s">
        <v>2875</v>
      </c>
      <c r="C17" s="924">
        <f>SUMPRODUCT((修正!A2:A5=E2)*(修正!B1:M1=G2)*(修正!B2:M5))</f>
        <v>0</v>
      </c>
      <c r="D17" s="2787"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2879</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2880</v>
      </c>
      <c r="C19" s="927" t="e">
        <f>ROUND(IF(H19="按公示增长率计算",SUMPRODUCT((地价!A3:A22=YEAR(G19)&amp;"-"&amp;ROUNDUP(MONTH(G19)/3,0))*(地价!X2:AB2=E2)*(地价!X3:AB22)),IF(H19="地价指数",M20/M19,(1+I19)^O19)),4)</f>
        <v>#DIV/0!</v>
      </c>
      <c r="D19" s="2798" t="s">
        <v>2881</v>
      </c>
      <c r="E19" s="928">
        <v>41640</v>
      </c>
      <c r="F19" s="2798" t="s">
        <v>2882</v>
      </c>
      <c r="G19" s="929">
        <f>'数据-取费表'!B2</f>
        <v>43217</v>
      </c>
      <c r="H19" s="2799" t="s">
        <v>2883</v>
      </c>
      <c r="I19" s="930" t="str">
        <f>IF(H19="季度增幅（自定义）",SUMIF(N21:N24,E2,O21:O24),"")</f>
        <v/>
      </c>
      <c r="J19" s="2796"/>
      <c r="K19" s="1380"/>
      <c r="L19" s="2800" t="s">
        <v>2884</v>
      </c>
      <c r="M19" s="1737">
        <f>ROUND(SUMIF(地价!B2:F2,E2,地价!B22:F22),0)</f>
        <v>0</v>
      </c>
      <c r="N19" s="2801"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2886</v>
      </c>
      <c r="C20" s="932" t="e">
        <f>ROUND(POWER(1+G20,J20-I20)*(POWER(1+G20,I20)-1)/(POWER(1+G20,J20)-1),4)</f>
        <v>#DIV/0!</v>
      </c>
      <c r="D20" s="2807" t="s">
        <v>2887</v>
      </c>
      <c r="E20" s="1771">
        <f ca="1">存贷款利率!D4/100</f>
        <v>4.3499999999999997E-2</v>
      </c>
      <c r="F20" s="2807" t="s">
        <v>2878</v>
      </c>
      <c r="G20" s="937">
        <f>SUMIF(M15:P15,E2,M17:P17)</f>
        <v>0</v>
      </c>
      <c r="H20" s="2807" t="s">
        <v>2888</v>
      </c>
      <c r="I20" s="938" t="e">
        <f>SUMIF('数据-取费表'!C6:C15,E2,'数据-取费表'!F6:F15)/COUNTIF('数据-取费表'!C6:C15,E2)</f>
        <v>#DIV/0!</v>
      </c>
      <c r="J20" s="939">
        <f>IF(E2="住宅",70,IF(E2="商业",40,50))</f>
        <v>50</v>
      </c>
      <c r="K20" s="1380"/>
      <c r="L20" s="2808" t="s">
        <v>2889</v>
      </c>
      <c r="M20" s="1738">
        <f>ROUND(SUMPRODUCT((地价!A4:A22=YEAR(G19)&amp;"-"&amp;ROUNDUP(MONTH(G19)/3,0))*(地价!B2:F2=E2)*(地价!B4:F22)),0)</f>
        <v>0</v>
      </c>
      <c r="N20" s="2809" t="s">
        <v>2890</v>
      </c>
      <c r="O20" s="2810" t="s">
        <v>2891</v>
      </c>
      <c r="P20" s="2811" t="s">
        <v>2892</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2893</v>
      </c>
      <c r="C21" s="940" t="e">
        <f>IF(B21="容积率修正",IF(G3&lt;=10,D22,J22),C23)</f>
        <v>#DIV/0!</v>
      </c>
      <c r="D21" s="2814"/>
      <c r="E21" s="2814"/>
      <c r="F21" s="2814"/>
      <c r="G21" s="2814"/>
      <c r="H21" s="2814"/>
      <c r="I21" s="2814"/>
      <c r="J21" s="2815"/>
      <c r="K21" s="1380"/>
      <c r="N21" s="2816" t="s">
        <v>2894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9" customFormat="1" ht="14.25">
      <c r="A22" s="2665" t="s">
        <v>2895</v>
      </c>
      <c r="B22" s="2817" t="s">
        <v>2896</v>
      </c>
      <c r="C22" s="1812" t="s">
        <v>2897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6" t="s">
        <v>2898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5" t="s">
        <v>2899</v>
      </c>
      <c r="B23" s="2818" t="s">
        <v>2900</v>
      </c>
      <c r="C23" s="1016" t="e">
        <f>ROUND(IF(G3&gt;1,IF(I3&lt;7,SUMPRODUCT((B93:B98=I3)*(C92:N92=G2)*(C93:N98)),SUMIF(C92:N92,G2,C100:N100)),IF(I3&lt;7,SUMPRODUCT((B102:B107=I3)*(C92:N92=G2)*(C102:N107)),SUMIF(C92:N92,G2,C109:N109))),4)</f>
        <v>#DIV/0!</v>
      </c>
      <c r="D23" s="2774"/>
      <c r="E23" s="2774"/>
      <c r="F23" s="2819"/>
      <c r="G23" s="2820"/>
      <c r="H23" s="2821"/>
      <c r="I23" s="2822"/>
      <c r="J23" s="2823"/>
      <c r="K23" s="1373"/>
      <c r="N23" s="2816" t="s">
        <v>2901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2902</v>
      </c>
      <c r="C24" s="927">
        <f>SUMIF(A45:A88,E2,B45:B88)</f>
        <v>0</v>
      </c>
      <c r="D24" s="2794"/>
      <c r="E24" s="2824"/>
      <c r="F24" s="2824"/>
      <c r="G24" s="2824"/>
      <c r="H24" s="2824"/>
      <c r="I24" s="2824"/>
      <c r="J24" s="2825"/>
      <c r="K24" s="1380"/>
      <c r="N24" s="2826" t="s">
        <v>2903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2904</v>
      </c>
      <c r="C25" s="933"/>
      <c r="D25" s="2749"/>
      <c r="E25" s="2749"/>
      <c r="F25" s="2828"/>
      <c r="G25" s="2749"/>
      <c r="H25" s="2749"/>
      <c r="I25" s="2749"/>
      <c r="J25" s="2750"/>
      <c r="K25" s="1373"/>
      <c r="N25" s="2829" t="s">
        <v>2905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0"/>
      <c r="B26" s="2817" t="s">
        <v>2906</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2907</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2908</v>
      </c>
      <c r="C28" s="2841" t="s">
        <v>2909</v>
      </c>
      <c r="D28" s="2841" t="s">
        <v>2910</v>
      </c>
      <c r="E28" s="2842" t="s">
        <v>2911</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2912</v>
      </c>
      <c r="C29" s="206" t="e">
        <f>ROUND(C5*C18*C19*C20*C21*C24,0)</f>
        <v>#DIV/0!</v>
      </c>
      <c r="D29" s="2846"/>
      <c r="E29" s="945" t="e">
        <f>ROUND(C29*D29/10000,0)</f>
        <v>#DIV/0!</v>
      </c>
      <c r="F29" s="2847" t="s">
        <v>2913</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2914</v>
      </c>
      <c r="C30" s="229" t="e">
        <f>ROUND(IF(E2="工业",C29*M39,C29*M38),0)</f>
        <v>#DIV/0!</v>
      </c>
      <c r="D30" s="2852"/>
      <c r="E30" s="945" t="e">
        <f>ROUND(C30*D30/10000,0)</f>
        <v>#DIV/0!</v>
      </c>
      <c r="F30" s="2853" t="s">
        <v>2915</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2916</v>
      </c>
      <c r="C31" s="2858" t="s">
        <v>2917</v>
      </c>
      <c r="D31" s="2762"/>
      <c r="E31" s="2858"/>
      <c r="F31" s="2858"/>
      <c r="G31" s="2760" t="s">
        <v>2918</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2909</v>
      </c>
      <c r="D32" s="498" t="s">
        <v>2910</v>
      </c>
      <c r="E32" s="498" t="s">
        <v>2911</v>
      </c>
      <c r="F32" s="388" t="s">
        <v>2919</v>
      </c>
      <c r="G32" s="2861" t="s">
        <v>2909</v>
      </c>
      <c r="H32" s="2861" t="s">
        <v>2910</v>
      </c>
      <c r="I32" s="2861"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55" t="s">
        <v>2920</v>
      </c>
      <c r="B33" s="2862" t="s">
        <v>2921</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66" t="s">
        <v>2922</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66" t="s">
        <v>2923</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57"/>
      <c r="B36" s="2766" t="s">
        <v>2924</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2925</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3"/>
      <c r="L37" s="2865" t="s">
        <v>2926</v>
      </c>
      <c r="M37" s="2866"/>
      <c r="N37" s="1373"/>
      <c r="O37" s="1373"/>
      <c r="P37" s="1373"/>
      <c r="Q37" s="1373"/>
      <c r="R37" s="1373"/>
      <c r="S37" s="1373"/>
      <c r="T37" s="1373"/>
      <c r="U37" s="1373"/>
      <c r="V37" s="1373"/>
      <c r="W37" s="1373"/>
      <c r="X37" s="1373"/>
      <c r="Y37" s="1373"/>
      <c r="Z37" s="1374"/>
    </row>
    <row r="38" spans="1:37">
      <c r="A38" s="2864"/>
      <c r="B38" s="2766" t="s">
        <v>2927</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3"/>
      <c r="L38" s="1889" t="s">
        <v>2928</v>
      </c>
      <c r="M38" s="2867">
        <v>0.25</v>
      </c>
      <c r="N38" s="1373"/>
      <c r="O38" s="1373"/>
      <c r="P38" s="1373"/>
      <c r="Q38" s="1373"/>
      <c r="R38" s="1373"/>
      <c r="S38" s="1373"/>
      <c r="T38" s="1373"/>
      <c r="U38" s="1373"/>
      <c r="V38" s="1373"/>
      <c r="W38" s="1373"/>
      <c r="X38" s="1373"/>
      <c r="Y38" s="1373"/>
      <c r="Z38" s="1374"/>
    </row>
    <row r="39" spans="1:37" ht="13.5" thickBot="1">
      <c r="A39" s="2850"/>
      <c r="B39" s="2868" t="s">
        <v>2929</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3"/>
      <c r="L39" s="2870" t="s">
        <v>2870</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2930</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2931</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2932</v>
      </c>
      <c r="B47" s="1811" t="s">
        <v>2933</v>
      </c>
      <c r="C47" s="1811" t="s">
        <v>2934</v>
      </c>
      <c r="D47" s="1811" t="s">
        <v>2935</v>
      </c>
      <c r="E47" s="819" t="s">
        <v>2936</v>
      </c>
      <c r="F47" s="2880" t="s">
        <v>2937</v>
      </c>
      <c r="G47" s="1811" t="s">
        <v>754</v>
      </c>
      <c r="H47" s="2881" t="s">
        <v>2938</v>
      </c>
      <c r="I47" s="1811" t="s">
        <v>2939</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79" t="s">
        <v>2940</v>
      </c>
      <c r="B48" s="2882">
        <f>估价对象房地状况!C4</f>
        <v>0</v>
      </c>
      <c r="C48" s="2771"/>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9" t="s">
        <v>2941</v>
      </c>
      <c r="B49" s="2883" t="str">
        <f>估价对象房地状况!C18</f>
        <v>较好</v>
      </c>
      <c r="C49" s="2771"/>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2942</v>
      </c>
      <c r="B50" s="2883">
        <f>估价对象房地状况!C19</f>
        <v>0</v>
      </c>
      <c r="C50" s="2771"/>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2943</v>
      </c>
      <c r="B51" s="2884" t="s">
        <v>2944</v>
      </c>
      <c r="C51" s="2771"/>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2945</v>
      </c>
      <c r="B52" s="2883">
        <f>估价对象房地状况!C24</f>
        <v>0</v>
      </c>
      <c r="C52" s="2771"/>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2946</v>
      </c>
      <c r="B53" s="2885" t="s">
        <v>2947</v>
      </c>
      <c r="C53" s="2771"/>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6" t="s">
        <v>2948</v>
      </c>
      <c r="B54" s="1728" t="str">
        <f>估价对象房地状况!C21</f>
        <v>较好</v>
      </c>
      <c r="C54" s="2771"/>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6" t="s">
        <v>2949</v>
      </c>
      <c r="B55" s="2883" t="str">
        <f>估价对象房地状况!C22</f>
        <v>七通</v>
      </c>
      <c r="C55" s="2771"/>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7" t="s">
        <v>2950</v>
      </c>
      <c r="B56" s="2888" t="str">
        <f>估价对象房地状况!C20</f>
        <v>较好</v>
      </c>
      <c r="C56" s="2771"/>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2951</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2932</v>
      </c>
      <c r="B58" s="1811"/>
      <c r="C58" s="1811" t="s">
        <v>2934</v>
      </c>
      <c r="D58" s="1811" t="s">
        <v>2935</v>
      </c>
      <c r="E58" s="819" t="s">
        <v>2936</v>
      </c>
      <c r="F58" s="2880" t="s">
        <v>2952</v>
      </c>
      <c r="G58" s="1811" t="s">
        <v>754</v>
      </c>
      <c r="H58" s="2881" t="s">
        <v>2938</v>
      </c>
      <c r="I58" s="1811" t="s">
        <v>2939</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79" t="s">
        <v>2953</v>
      </c>
      <c r="B59" s="2882">
        <f>估价对象房地状况!C17</f>
        <v>0</v>
      </c>
      <c r="C59" s="2771"/>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9" t="s">
        <v>2941</v>
      </c>
      <c r="B60" s="2883" t="str">
        <f>估价对象房地状况!C18</f>
        <v>较好</v>
      </c>
      <c r="C60" s="2771"/>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2942</v>
      </c>
      <c r="B61" s="2883">
        <f>估价对象房地状况!C19</f>
        <v>0</v>
      </c>
      <c r="C61" s="2771"/>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2943</v>
      </c>
      <c r="B62" s="2884" t="s">
        <v>2944</v>
      </c>
      <c r="C62" s="2771"/>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2945</v>
      </c>
      <c r="B63" s="2883">
        <f>估价对象房地状况!C24</f>
        <v>0</v>
      </c>
      <c r="C63" s="2771"/>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2946</v>
      </c>
      <c r="B64" s="2885" t="s">
        <v>2947</v>
      </c>
      <c r="C64" s="2771"/>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9" t="s">
        <v>2948</v>
      </c>
      <c r="B65" s="1728" t="str">
        <f>估价对象房地状况!C21</f>
        <v>较好</v>
      </c>
      <c r="C65" s="2771"/>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9" t="s">
        <v>2949</v>
      </c>
      <c r="B66" s="1728" t="str">
        <f>估价对象房地状况!C22</f>
        <v>七通</v>
      </c>
      <c r="C66" s="2771"/>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7" t="s">
        <v>2950</v>
      </c>
      <c r="B67" s="2889" t="str">
        <f>估价对象房地状况!C20</f>
        <v>较好</v>
      </c>
      <c r="C67" s="2771"/>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2954</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2932</v>
      </c>
      <c r="B69" s="1811"/>
      <c r="C69" s="1811" t="s">
        <v>2934</v>
      </c>
      <c r="D69" s="1811" t="s">
        <v>2935</v>
      </c>
      <c r="E69" s="819" t="s">
        <v>2936</v>
      </c>
      <c r="F69" s="2880" t="s">
        <v>2952</v>
      </c>
      <c r="G69" s="1811" t="s">
        <v>754</v>
      </c>
      <c r="H69" s="2881" t="s">
        <v>2938</v>
      </c>
      <c r="I69" s="1811" t="s">
        <v>2939</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79" t="s">
        <v>2955</v>
      </c>
      <c r="B70" s="2882" t="str">
        <f>估价对象房地状况!C15</f>
        <v>较好</v>
      </c>
      <c r="C70" s="2771"/>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9" t="s">
        <v>2941</v>
      </c>
      <c r="B71" s="2883" t="str">
        <f>估价对象房地状况!C18</f>
        <v>较好</v>
      </c>
      <c r="C71" s="2771"/>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2942</v>
      </c>
      <c r="B72" s="2883">
        <f>估价对象房地状况!C19</f>
        <v>0</v>
      </c>
      <c r="C72" s="2771"/>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2956</v>
      </c>
      <c r="B73" s="2883">
        <f>估价对象房地状况!C24</f>
        <v>0</v>
      </c>
      <c r="C73" s="2771"/>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9" t="s">
        <v>2948</v>
      </c>
      <c r="B74" s="1728" t="str">
        <f>估价对象房地状况!C21</f>
        <v>较好</v>
      </c>
      <c r="C74" s="2771"/>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9" t="s">
        <v>2949</v>
      </c>
      <c r="B75" s="1728" t="str">
        <f>估价对象房地状况!C22</f>
        <v>七通</v>
      </c>
      <c r="C75" s="2771"/>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2946</v>
      </c>
      <c r="B76" s="2885" t="s">
        <v>2947</v>
      </c>
      <c r="C76" s="2771"/>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24">
      <c r="A77" s="2879" t="s">
        <v>2950</v>
      </c>
      <c r="B77" s="2882" t="str">
        <f>估价对象房地状况!C20</f>
        <v>较好</v>
      </c>
      <c r="C77" s="2771"/>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2957</v>
      </c>
      <c r="B78" s="2891"/>
      <c r="C78" s="2771"/>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2958</v>
      </c>
      <c r="B79" s="2876">
        <f>1+E81</f>
        <v>1</v>
      </c>
      <c r="C79" s="814"/>
      <c r="D79" s="814"/>
      <c r="E79" s="815"/>
      <c r="F79" s="2878"/>
      <c r="G79" s="6"/>
      <c r="H79" s="6"/>
      <c r="I79" s="6"/>
      <c r="J79" s="7"/>
      <c r="K79" s="7"/>
      <c r="L79" s="7"/>
      <c r="M79" s="7"/>
      <c r="N79" s="7"/>
      <c r="Z79" s="2721"/>
      <c r="AA79" s="2797"/>
      <c r="AG79" s="1375"/>
      <c r="AK79" s="2797"/>
    </row>
    <row r="80" spans="1:37" ht="24.75">
      <c r="A80" s="2879" t="s">
        <v>2932</v>
      </c>
      <c r="B80" s="1811"/>
      <c r="C80" s="1811" t="s">
        <v>2934</v>
      </c>
      <c r="D80" s="1811" t="s">
        <v>2935</v>
      </c>
      <c r="E80" s="819" t="s">
        <v>2936</v>
      </c>
      <c r="F80" s="2880" t="s">
        <v>2952</v>
      </c>
      <c r="G80" s="1811" t="s">
        <v>754</v>
      </c>
      <c r="H80" s="2881" t="s">
        <v>2938</v>
      </c>
      <c r="I80" s="1811" t="s">
        <v>2939</v>
      </c>
      <c r="J80" s="603" t="s">
        <v>2585</v>
      </c>
      <c r="K80" s="603" t="s">
        <v>2586</v>
      </c>
      <c r="L80" s="603" t="s">
        <v>2587</v>
      </c>
      <c r="M80" s="603" t="s">
        <v>2588</v>
      </c>
      <c r="N80" s="603" t="s">
        <v>2589</v>
      </c>
      <c r="Z80" s="2721"/>
      <c r="AA80" s="2797"/>
      <c r="AG80" s="1375"/>
      <c r="AK80" s="2797"/>
    </row>
    <row r="81" spans="1:37" ht="24">
      <c r="A81" s="2879" t="s">
        <v>2959</v>
      </c>
      <c r="B81" s="2883">
        <f>估价对象房地状况!G15</f>
        <v>0</v>
      </c>
      <c r="C81" s="2771"/>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14.25">
      <c r="A82" s="2879" t="s">
        <v>2941</v>
      </c>
      <c r="B82" s="2883">
        <f>估价对象房地状况!G16</f>
        <v>0</v>
      </c>
      <c r="C82" s="2771"/>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2942</v>
      </c>
      <c r="B83" s="2883">
        <f>估价对象房地状况!G17</f>
        <v>0</v>
      </c>
      <c r="C83" s="2771"/>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2956</v>
      </c>
      <c r="B84" s="2883">
        <f>估价对象房地状况!G22</f>
        <v>0</v>
      </c>
      <c r="C84" s="2771"/>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4">
      <c r="A85" s="2879" t="s">
        <v>2948</v>
      </c>
      <c r="B85" s="1728">
        <f>估价对象房地状况!G19</f>
        <v>0</v>
      </c>
      <c r="C85" s="2771"/>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4">
      <c r="A86" s="2879" t="s">
        <v>2949</v>
      </c>
      <c r="B86" s="1728">
        <f>估价对象房地状况!G20</f>
        <v>0</v>
      </c>
      <c r="C86" s="2771"/>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2946</v>
      </c>
      <c r="B87" s="2885" t="s">
        <v>2960</v>
      </c>
      <c r="C87" s="2771"/>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15" thickBot="1">
      <c r="A88" s="2887" t="s">
        <v>2961</v>
      </c>
      <c r="B88" s="2892">
        <f>估价对象房地状况!G18</f>
        <v>0</v>
      </c>
      <c r="C88" s="2771"/>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49" t="s">
        <v>2962</v>
      </c>
      <c r="B90" s="3249"/>
      <c r="C90" s="3249"/>
      <c r="D90" s="3249"/>
      <c r="E90" s="3249"/>
      <c r="F90" s="3249"/>
      <c r="G90" s="3249"/>
      <c r="H90" s="3249"/>
      <c r="I90" s="3249"/>
      <c r="J90" s="3249"/>
      <c r="K90" s="2893"/>
      <c r="L90" s="2893"/>
      <c r="M90" s="2893"/>
      <c r="N90" s="2893"/>
    </row>
    <row r="91" spans="1:37">
      <c r="A91" s="3251" t="s">
        <v>2963</v>
      </c>
      <c r="B91" s="3251" t="s">
        <v>2964</v>
      </c>
      <c r="C91" s="2847" t="s">
        <v>2965</v>
      </c>
      <c r="D91" s="2848"/>
      <c r="E91" s="2848"/>
      <c r="F91" s="2848"/>
      <c r="G91" s="2848"/>
      <c r="H91" s="2848"/>
      <c r="I91" s="2848"/>
      <c r="J91" s="2894"/>
      <c r="K91" s="2895"/>
      <c r="L91" s="2895"/>
      <c r="M91" s="2895"/>
      <c r="N91" s="2895"/>
    </row>
    <row r="92" spans="1:37">
      <c r="A92" s="3251"/>
      <c r="B92" s="3251"/>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52" t="s">
        <v>2966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5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5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5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5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5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53"/>
      <c r="B99" s="2896" t="s">
        <v>2845</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2" t="s">
        <v>2967</v>
      </c>
      <c r="B101" s="2900" t="s">
        <v>2968</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53"/>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53"/>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53"/>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53"/>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53"/>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53"/>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53"/>
      <c r="B108" s="3080" t="s">
        <v>2969</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4"/>
      <c r="B109" s="3081"/>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50" t="s">
        <v>2970</v>
      </c>
      <c r="B110" s="3250"/>
      <c r="C110" s="3250"/>
      <c r="D110" s="3250"/>
      <c r="E110" s="3250"/>
      <c r="F110" s="3250"/>
      <c r="G110" s="3250"/>
      <c r="H110" s="3250"/>
      <c r="I110" s="3250"/>
      <c r="J110" s="3250"/>
      <c r="K110" s="2902"/>
      <c r="L110" s="2902"/>
      <c r="M110" s="2902"/>
      <c r="N110" s="2902"/>
    </row>
    <row r="112" spans="1:14" ht="13.5" thickBot="1"/>
    <row r="113" spans="1:13" ht="25.5" thickBot="1">
      <c r="A113" s="903" t="s">
        <v>2971</v>
      </c>
      <c r="B113" s="1290" t="e">
        <f>G3</f>
        <v>#DIV/0!</v>
      </c>
      <c r="C113" s="904" t="s">
        <v>2972</v>
      </c>
      <c r="D113" s="905" t="e">
        <f>SUMPRODUCT((A115:A118=F113)*(B114:M114=H113)*B115:M118)</f>
        <v>#DIV/0!</v>
      </c>
      <c r="E113" s="2725" t="s">
        <v>2802</v>
      </c>
      <c r="F113" s="2904">
        <f>E2</f>
        <v>0</v>
      </c>
      <c r="G113" s="2725" t="s">
        <v>2803</v>
      </c>
      <c r="H113" s="2904">
        <f>G2</f>
        <v>0</v>
      </c>
      <c r="I113" s="2725"/>
      <c r="J113" s="2905"/>
      <c r="K113" s="2905"/>
      <c r="L113" s="2905"/>
      <c r="M113" s="2905"/>
    </row>
    <row r="114" spans="1:13">
      <c r="A114" s="908"/>
      <c r="B114" s="2906" t="s">
        <v>2973</v>
      </c>
      <c r="C114" s="2906" t="s">
        <v>2974</v>
      </c>
      <c r="D114" s="2906" t="s">
        <v>2975</v>
      </c>
      <c r="E114" s="2907" t="s">
        <v>2976</v>
      </c>
      <c r="F114" s="2907" t="s">
        <v>2977</v>
      </c>
      <c r="G114" s="2907" t="s">
        <v>2978</v>
      </c>
      <c r="H114" s="2908" t="s">
        <v>2979</v>
      </c>
      <c r="I114" s="2908" t="s">
        <v>2980</v>
      </c>
      <c r="J114" s="2909" t="s">
        <v>2981</v>
      </c>
      <c r="K114" s="2909" t="s">
        <v>2982</v>
      </c>
      <c r="L114" s="2909" t="s">
        <v>2983</v>
      </c>
      <c r="M114" s="2910" t="s">
        <v>2984</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2993</v>
      </c>
    </row>
    <row r="2" spans="1:5" ht="15.75">
      <c r="A2" s="2911" t="s">
        <v>2985</v>
      </c>
      <c r="B2" s="2912" t="e">
        <f ca="1">SUMIF(B6:B13,"&lt;&gt;#ref!",B6:B13)</f>
        <v>#DIV/0!</v>
      </c>
      <c r="C2" s="2911" t="s">
        <v>2986</v>
      </c>
      <c r="D2" s="2911" t="s">
        <v>2987</v>
      </c>
      <c r="E2" s="2912" t="e">
        <f ca="1">SUM(E6:E13)</f>
        <v>#REF!</v>
      </c>
    </row>
    <row r="3" spans="1:5" ht="15.75">
      <c r="A3" s="2911" t="s">
        <v>2988</v>
      </c>
      <c r="B3" s="2912" t="e">
        <f ca="1">ROUND(B2*10000/E2,0)</f>
        <v>#DIV/0!</v>
      </c>
      <c r="C3" s="2911" t="s">
        <v>2994</v>
      </c>
      <c r="D3" s="2913"/>
      <c r="E3" s="2913"/>
    </row>
    <row r="4" spans="1:5" ht="15.75">
      <c r="A4" s="2914"/>
      <c r="B4" s="2913"/>
      <c r="C4" s="2913"/>
      <c r="D4" s="2913"/>
      <c r="E4" s="2913"/>
    </row>
    <row r="5" spans="1:5" ht="28.5">
      <c r="A5" s="2915" t="s">
        <v>2989</v>
      </c>
      <c r="B5" s="2911" t="s">
        <v>2990</v>
      </c>
      <c r="C5" s="2912"/>
      <c r="D5" s="2913"/>
      <c r="E5" s="2911" t="s">
        <v>2991</v>
      </c>
    </row>
    <row r="6" spans="1:5" ht="15.75">
      <c r="A6" s="2916" t="s">
        <v>2992</v>
      </c>
      <c r="B6" s="2912" t="e">
        <f ca="1">SUMIF(INDIRECT("'"&amp;A6&amp;"'"&amp;"!A:A"),"总价",INDIRECT("'"&amp;A6&amp;"'"&amp;"!B:B"))</f>
        <v>#DIV/0!</v>
      </c>
      <c r="C6" s="2911" t="s">
        <v>2986</v>
      </c>
      <c r="D6" s="2913"/>
      <c r="E6" s="2579">
        <f ca="1">SUMIF(INDIRECT("'"&amp;A6&amp;"'"&amp;"!C:C"),"建筑面积",INDIRECT("'"&amp;A6&amp;"'"&amp;"!D:D"))</f>
        <v>0</v>
      </c>
    </row>
    <row r="7" spans="1:5" ht="15.75">
      <c r="A7" s="2916"/>
      <c r="B7" s="2912" t="e">
        <f ca="1">SUMIF(INDIRECT("'"&amp;A7&amp;"'"&amp;"!A:A"),"总价",INDIRECT("'"&amp;A7&amp;"'"&amp;"!B:B"))</f>
        <v>#REF!</v>
      </c>
      <c r="C7" s="2911" t="s">
        <v>2986</v>
      </c>
      <c r="D7" s="2913"/>
      <c r="E7" s="2579" t="e">
        <f t="shared" ref="E7:E13" ca="1" si="0">SUMIF(INDIRECT("'"&amp;A7&amp;"'"&amp;"!C:C"),"建筑面积",INDIRECT("'"&amp;A7&amp;"'"&amp;"!D:D"))</f>
        <v>#REF!</v>
      </c>
    </row>
    <row r="8" spans="1:5" ht="15.75">
      <c r="A8" s="2916"/>
      <c r="B8" s="2912" t="e">
        <f t="shared" ref="B8:B13" ca="1" si="1">SUMIF(INDIRECT("'"&amp;A8&amp;"'"&amp;"!A:A"),"总价",INDIRECT("'"&amp;A8&amp;"'"&amp;"!B:B"))</f>
        <v>#REF!</v>
      </c>
      <c r="C8" s="2911" t="s">
        <v>2986</v>
      </c>
      <c r="D8" s="2913"/>
      <c r="E8" s="2579" t="e">
        <f t="shared" ca="1" si="0"/>
        <v>#REF!</v>
      </c>
    </row>
    <row r="9" spans="1:5" ht="15.75">
      <c r="A9" s="2916"/>
      <c r="B9" s="2912" t="e">
        <f t="shared" ca="1" si="1"/>
        <v>#REF!</v>
      </c>
      <c r="C9" s="2911" t="s">
        <v>2986</v>
      </c>
      <c r="D9" s="2913"/>
      <c r="E9" s="2579" t="e">
        <f t="shared" ca="1" si="0"/>
        <v>#REF!</v>
      </c>
    </row>
    <row r="10" spans="1:5" ht="15.75">
      <c r="A10" s="2916"/>
      <c r="B10" s="2912" t="e">
        <f t="shared" ca="1" si="1"/>
        <v>#REF!</v>
      </c>
      <c r="C10" s="2911" t="s">
        <v>2986</v>
      </c>
      <c r="D10" s="2913"/>
      <c r="E10" s="2579" t="e">
        <f t="shared" ca="1" si="0"/>
        <v>#REF!</v>
      </c>
    </row>
    <row r="11" spans="1:5" ht="15.75">
      <c r="A11" s="2916"/>
      <c r="B11" s="2912" t="e">
        <f t="shared" ca="1" si="1"/>
        <v>#REF!</v>
      </c>
      <c r="C11" s="2911" t="s">
        <v>2986</v>
      </c>
      <c r="D11" s="2913"/>
      <c r="E11" s="2579" t="e">
        <f t="shared" ca="1" si="0"/>
        <v>#REF!</v>
      </c>
    </row>
    <row r="12" spans="1:5" ht="15.75">
      <c r="A12" s="2916"/>
      <c r="B12" s="2912" t="e">
        <f t="shared" ca="1" si="1"/>
        <v>#REF!</v>
      </c>
      <c r="C12" s="2911" t="s">
        <v>2986</v>
      </c>
      <c r="D12" s="2913"/>
      <c r="E12" s="2579" t="e">
        <f t="shared" ca="1" si="0"/>
        <v>#REF!</v>
      </c>
    </row>
    <row r="13" spans="1:5" ht="15.75">
      <c r="A13" s="2916"/>
      <c r="B13" s="2912" t="e">
        <f t="shared" ca="1" si="1"/>
        <v>#REF!</v>
      </c>
      <c r="C13" s="2911" t="s">
        <v>2986</v>
      </c>
      <c r="D13" s="2913"/>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3" t="s">
        <v>1150</v>
      </c>
      <c r="C1" s="3273"/>
      <c r="D1" s="3273"/>
      <c r="E1" s="3273"/>
      <c r="F1" s="3273"/>
      <c r="G1" s="3269" t="s">
        <v>1151</v>
      </c>
      <c r="H1" s="3269"/>
      <c r="I1" s="3269"/>
      <c r="J1" s="3269"/>
      <c r="K1" s="3269"/>
      <c r="L1" s="3269"/>
      <c r="N1" s="3269" t="s">
        <v>1152</v>
      </c>
      <c r="O1" s="3269"/>
      <c r="P1" s="3269"/>
      <c r="Q1" s="3269"/>
      <c r="R1" s="1449"/>
      <c r="S1" s="3269" t="s">
        <v>1153</v>
      </c>
      <c r="T1" s="3269"/>
      <c r="U1" s="3269"/>
      <c r="V1" s="3269"/>
      <c r="X1" s="3268" t="s">
        <v>1154</v>
      </c>
      <c r="Y1" s="3269"/>
      <c r="Z1" s="3269"/>
      <c r="AA1" s="3269"/>
      <c r="AB1" s="3269"/>
      <c r="AD1" s="3268" t="s">
        <v>1155</v>
      </c>
      <c r="AE1" s="3269"/>
      <c r="AF1" s="3269"/>
      <c r="AG1" s="3269"/>
      <c r="AH1" s="326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3022</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1.4517</v>
      </c>
      <c r="Y3" s="2937">
        <f>ROUND(SUMPRODUCT(PRODUCT(1+O3:O$21)),4)</f>
        <v>1.2928999999999999</v>
      </c>
      <c r="Z3" s="2937">
        <f t="shared" ref="Z3:Z19" si="0">Y3</f>
        <v>1.2928999999999999</v>
      </c>
      <c r="AA3" s="2937">
        <f>ROUND(SUMPRODUCT(PRODUCT(1+P3:P$21)),4)</f>
        <v>1.5068999999999999</v>
      </c>
      <c r="AB3" s="2937">
        <f>ROUND(SUMPRODUCT(PRODUCT(1+Q3:Q$21)),4)</f>
        <v>1.2557</v>
      </c>
      <c r="AD3" s="2938">
        <f>ROUND(AVERAGE(I3:I$22)/100,4)</f>
        <v>2.2800000000000001E-2</v>
      </c>
      <c r="AE3" s="2938">
        <f>ROUND(AVERAGE(J3:J$22)/100,4)</f>
        <v>1.5699999999999999E-2</v>
      </c>
      <c r="AF3" s="2938">
        <f t="shared" ref="AF3:AF20" si="1">AE3</f>
        <v>1.5699999999999999E-2</v>
      </c>
      <c r="AG3" s="2938">
        <f>ROUND(AVERAGE(K3:K$22)/100,4)</f>
        <v>2.5100000000000001E-2</v>
      </c>
      <c r="AH3" s="2938">
        <f>ROUND(AVERAGE(L3:L$22)/100,4)</f>
        <v>1.35E-2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3028</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0">
        <v>2018</v>
      </c>
      <c r="H5" s="1733">
        <v>2</v>
      </c>
      <c r="I5" s="2925">
        <v>0</v>
      </c>
      <c r="J5" s="2925">
        <v>0</v>
      </c>
      <c r="K5" s="2925">
        <v>0</v>
      </c>
      <c r="L5" s="2925">
        <v>0</v>
      </c>
      <c r="N5" s="1470">
        <f t="shared" ref="N5" si="7">I5/100</f>
        <v>0</v>
      </c>
      <c r="O5" s="1470">
        <f t="shared" ref="O5" si="8">J5/100</f>
        <v>0</v>
      </c>
      <c r="P5" s="1470">
        <f t="shared" ref="P5" si="9">K5/100</f>
        <v>0</v>
      </c>
      <c r="Q5" s="1470">
        <f t="shared" ref="Q5" si="10">L5/100</f>
        <v>0</v>
      </c>
      <c r="R5" s="1735"/>
      <c r="S5" s="1736"/>
      <c r="T5" s="1735"/>
      <c r="U5" s="1735"/>
      <c r="V5" s="1735"/>
      <c r="W5" s="2929" t="s">
        <v>3023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1">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3018</v>
      </c>
      <c r="B7" s="1472">
        <v>439</v>
      </c>
      <c r="C7" s="1472">
        <v>327</v>
      </c>
      <c r="D7" s="1472">
        <f>C7</f>
        <v>327</v>
      </c>
      <c r="E7" s="1472">
        <v>627</v>
      </c>
      <c r="F7" s="1473">
        <v>283</v>
      </c>
      <c r="G7" s="2927">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3019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3"/>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2"/>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3"/>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7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7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7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7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7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2" sqref="T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79" t="s">
        <v>2996</v>
      </c>
      <c r="D1" s="3280"/>
      <c r="E1" s="3280"/>
      <c r="F1" s="3280"/>
      <c r="G1" s="3280"/>
      <c r="H1" s="3280"/>
      <c r="I1" s="3280"/>
      <c r="J1" s="3280"/>
      <c r="K1" s="3280"/>
      <c r="L1" s="3280"/>
      <c r="M1" s="3280"/>
      <c r="N1" s="3280"/>
      <c r="O1" s="3280"/>
      <c r="P1" s="3280"/>
      <c r="Q1" s="3280"/>
      <c r="R1" s="3280"/>
      <c r="S1" s="3281"/>
      <c r="T1" s="1207" t="s">
        <v>2997</v>
      </c>
    </row>
    <row r="2" spans="1:45" s="707" customFormat="1" ht="38.25">
      <c r="A2" s="1208"/>
      <c r="B2" s="703" t="s">
        <v>2998</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300(含)-350</v>
      </c>
      <c r="J2" s="705" t="str">
        <f t="shared" si="0"/>
        <v>350(含)-400</v>
      </c>
      <c r="K2" s="705" t="str">
        <f t="shared" si="0"/>
        <v>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v>
      </c>
      <c r="E3" s="710">
        <v>100</v>
      </c>
      <c r="F3" s="1707">
        <v>150</v>
      </c>
      <c r="G3" s="1707">
        <v>200</v>
      </c>
      <c r="H3" s="1707">
        <v>250</v>
      </c>
      <c r="I3" s="1707">
        <v>300</v>
      </c>
      <c r="J3" s="1707">
        <v>350</v>
      </c>
      <c r="K3" s="1707">
        <v>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'比较法-住宅'!C121</f>
        <v>100</v>
      </c>
      <c r="D4" s="1213">
        <f>'比较法-住宅'!D121</f>
        <v>99</v>
      </c>
      <c r="E4" s="1213">
        <f>'比较法-住宅'!E121</f>
        <v>98</v>
      </c>
      <c r="F4" s="1213">
        <f>'比较法-住宅'!F121</f>
        <v>97</v>
      </c>
      <c r="G4" s="1213">
        <f>'比较法-住宅'!G121</f>
        <v>96</v>
      </c>
      <c r="H4" s="1213">
        <f>'比较法-住宅'!H121</f>
        <v>95</v>
      </c>
      <c r="I4" s="1213">
        <f>'比较法-住宅'!I121</f>
        <v>94</v>
      </c>
      <c r="J4" s="1213"/>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5" t="s">
        <v>3100</v>
      </c>
      <c r="C5" s="2956" t="s">
        <v>3101</v>
      </c>
      <c r="D5" s="1220"/>
      <c r="E5" s="1220"/>
      <c r="F5" s="1714"/>
      <c r="G5" s="1714"/>
      <c r="H5" s="1714"/>
      <c r="I5" s="1714"/>
      <c r="J5" s="1714"/>
      <c r="K5" s="1714"/>
      <c r="L5" s="1715"/>
      <c r="M5" s="1716"/>
      <c r="N5" s="1716"/>
      <c r="O5" s="1714"/>
      <c r="P5" s="1714"/>
      <c r="Q5" s="1714"/>
      <c r="R5" s="1714"/>
      <c r="S5" s="1717"/>
      <c r="T5" s="1222">
        <f>'比较法-住宅'!K26</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7" t="s">
        <v>3102</v>
      </c>
      <c r="C7" s="1124" t="str">
        <f>'比较法-住宅'!C90</f>
        <v>高区</v>
      </c>
      <c r="D7" s="1124" t="str">
        <f>'比较法-住宅'!D90</f>
        <v>中区</v>
      </c>
      <c r="E7" s="1124" t="str">
        <f>'比较法-住宅'!E90</f>
        <v>低区</v>
      </c>
      <c r="F7" s="1719"/>
      <c r="G7" s="1719"/>
      <c r="H7" s="1719"/>
      <c r="I7" s="1719"/>
      <c r="J7" s="1719"/>
      <c r="K7" s="1719"/>
      <c r="L7" s="1719"/>
      <c r="M7" s="1720"/>
      <c r="N7" s="1721"/>
      <c r="O7" s="1722"/>
      <c r="P7" s="1723"/>
      <c r="Q7" s="1724"/>
      <c r="R7" s="1725"/>
      <c r="S7" s="1726"/>
      <c r="T7" s="713">
        <f>'比较法-住宅'!C91-'比较法-住宅'!D91</f>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98</v>
      </c>
      <c r="E8" s="1122">
        <f t="shared" ref="E8:S8" si="8">D8-$T7</f>
        <v>96</v>
      </c>
      <c r="F8" s="1718">
        <f t="shared" si="8"/>
        <v>94</v>
      </c>
      <c r="G8" s="1718">
        <f t="shared" si="8"/>
        <v>92</v>
      </c>
      <c r="H8" s="1718">
        <f t="shared" si="8"/>
        <v>90</v>
      </c>
      <c r="I8" s="1718">
        <f t="shared" si="8"/>
        <v>88</v>
      </c>
      <c r="J8" s="1718">
        <f t="shared" si="8"/>
        <v>86</v>
      </c>
      <c r="K8" s="1718">
        <f t="shared" si="8"/>
        <v>84</v>
      </c>
      <c r="L8" s="1718">
        <f t="shared" si="8"/>
        <v>82</v>
      </c>
      <c r="M8" s="1718">
        <f t="shared" si="8"/>
        <v>80</v>
      </c>
      <c r="N8" s="1718">
        <f t="shared" si="8"/>
        <v>78</v>
      </c>
      <c r="O8" s="1718">
        <f t="shared" si="8"/>
        <v>76</v>
      </c>
      <c r="P8" s="1718">
        <f t="shared" si="8"/>
        <v>74</v>
      </c>
      <c r="Q8" s="1718">
        <f t="shared" si="8"/>
        <v>72</v>
      </c>
      <c r="R8" s="1718">
        <f t="shared" si="8"/>
        <v>70</v>
      </c>
      <c r="S8" s="1718">
        <f t="shared" si="8"/>
        <v>68</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8"/>
      <c r="B9" s="2957" t="s">
        <v>3103</v>
      </c>
      <c r="C9" s="2958" t="s">
        <v>3104</v>
      </c>
      <c r="D9" s="1118"/>
      <c r="E9" s="1118"/>
      <c r="F9" s="1719"/>
      <c r="G9" s="1719"/>
      <c r="H9" s="1719"/>
      <c r="I9" s="1719"/>
      <c r="J9" s="1719"/>
      <c r="K9" s="1719"/>
      <c r="L9" s="1727"/>
      <c r="M9" s="1720"/>
      <c r="N9" s="1721"/>
      <c r="O9" s="1722"/>
      <c r="P9" s="1723"/>
      <c r="Q9" s="1724"/>
      <c r="R9" s="1725"/>
      <c r="S9" s="1726"/>
      <c r="T9" s="713">
        <f>'比较法-住宅'!K42</f>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2955" t="s">
        <v>3105</v>
      </c>
      <c r="C11" s="2956" t="s">
        <v>3106</v>
      </c>
      <c r="D11" s="1220"/>
      <c r="E11" s="1220"/>
      <c r="F11" s="1220"/>
      <c r="G11" s="1220"/>
      <c r="H11" s="1220"/>
      <c r="I11" s="1220"/>
      <c r="J11" s="1220"/>
      <c r="K11" s="1220"/>
      <c r="L11" s="1220"/>
      <c r="M11" s="1221"/>
      <c r="N11" s="1225"/>
      <c r="O11" s="1226"/>
      <c r="P11" s="1227"/>
      <c r="Q11" s="1228"/>
      <c r="R11" s="1229"/>
      <c r="S11" s="1230"/>
      <c r="T11" s="1222">
        <f>'比较法-住宅'!K40</f>
        <v>2</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98</v>
      </c>
      <c r="E12" s="1122">
        <f t="shared" ref="E12:S12" si="10">D12-$T11</f>
        <v>96</v>
      </c>
      <c r="F12" s="1122">
        <f t="shared" si="10"/>
        <v>94</v>
      </c>
      <c r="G12" s="1122">
        <f t="shared" si="10"/>
        <v>92</v>
      </c>
      <c r="H12" s="1122">
        <f t="shared" si="10"/>
        <v>90</v>
      </c>
      <c r="I12" s="1122">
        <f t="shared" si="10"/>
        <v>88</v>
      </c>
      <c r="J12" s="1122">
        <f t="shared" si="10"/>
        <v>86</v>
      </c>
      <c r="K12" s="1122">
        <f t="shared" si="10"/>
        <v>84</v>
      </c>
      <c r="L12" s="1122">
        <f t="shared" si="10"/>
        <v>82</v>
      </c>
      <c r="M12" s="1122">
        <f t="shared" si="10"/>
        <v>80</v>
      </c>
      <c r="N12" s="1122">
        <f t="shared" si="10"/>
        <v>78</v>
      </c>
      <c r="O12" s="1122">
        <f t="shared" si="10"/>
        <v>76</v>
      </c>
      <c r="P12" s="1122">
        <f t="shared" si="10"/>
        <v>74</v>
      </c>
      <c r="Q12" s="1122">
        <f t="shared" si="10"/>
        <v>72</v>
      </c>
      <c r="R12" s="1122">
        <f>Q12-$T11</f>
        <v>70</v>
      </c>
      <c r="S12" s="1122">
        <f t="shared" si="10"/>
        <v>68</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idden="1">
      <c r="A17" s="2917" t="s">
        <v>3001</v>
      </c>
      <c r="B17" s="2918" t="s">
        <v>3002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hidden="1"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3003</v>
      </c>
      <c r="E19" s="1794"/>
      <c r="F19" s="1794"/>
      <c r="G19" s="1794"/>
      <c r="H19" s="1283"/>
      <c r="I19" s="168"/>
      <c r="J19" s="168"/>
      <c r="K19" s="168"/>
      <c r="L19" s="168"/>
      <c r="M19" s="168"/>
      <c r="N19" s="168"/>
      <c r="O19" s="168"/>
      <c r="P19" s="168"/>
      <c r="Q19" s="168"/>
      <c r="R19" s="788"/>
      <c r="S19" s="138"/>
    </row>
    <row r="20" spans="1:45" ht="16.5" thickBot="1">
      <c r="A20" s="715" t="s">
        <v>3004</v>
      </c>
      <c r="B20" s="338">
        <f ca="1">IF(D20="——",S22,S22-F20)</f>
        <v>822</v>
      </c>
      <c r="C20" s="168"/>
      <c r="D20" s="2920" t="s">
        <v>70</v>
      </c>
      <c r="E20" s="1795"/>
      <c r="F20" s="1207" t="e">
        <f ca="1">SUMIF(INDIRECT("'"&amp;H20&amp;"'"&amp;"!A:A"),"承租人权益价值",INDIRECT("'"&amp;H20&amp;"'"&amp;"!c:c"))</f>
        <v>#REF!</v>
      </c>
      <c r="G20" s="1207" t="s">
        <v>3005</v>
      </c>
      <c r="H20" s="2921"/>
      <c r="I20" s="168"/>
      <c r="J20" s="168"/>
      <c r="K20" s="168"/>
      <c r="L20" s="168"/>
      <c r="M20" s="168"/>
      <c r="N20" s="168"/>
      <c r="O20" s="168"/>
      <c r="P20" s="168"/>
      <c r="Q20" s="168"/>
      <c r="R20" s="788"/>
      <c r="S20" s="138"/>
    </row>
    <row r="21" spans="1:45" ht="15.75">
      <c r="A21" s="715" t="s">
        <v>3006</v>
      </c>
      <c r="B21" s="338">
        <f ca="1">R22</f>
        <v>65902</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124.73</v>
      </c>
      <c r="C22" s="3061" t="s">
        <v>33</v>
      </c>
      <c r="D22" s="3062"/>
      <c r="E22" s="3062"/>
      <c r="F22" s="3062"/>
      <c r="G22" s="3062"/>
      <c r="H22" s="3062"/>
      <c r="I22" s="3062"/>
      <c r="J22" s="3062"/>
      <c r="K22" s="3062"/>
      <c r="L22" s="3062"/>
      <c r="M22" s="3062"/>
      <c r="N22" s="3062"/>
      <c r="O22" s="3062"/>
      <c r="P22" s="3062"/>
      <c r="Q22" s="3278"/>
      <c r="R22" s="716">
        <f ca="1">ROUND(S22*10000/B22,0)</f>
        <v>65902</v>
      </c>
      <c r="S22" s="24">
        <f ca="1">SUM(S24:S10000)</f>
        <v>822</v>
      </c>
    </row>
    <row r="23" spans="1:45" s="12" customFormat="1" ht="24">
      <c r="A23" s="11" t="s">
        <v>3008</v>
      </c>
      <c r="B23" s="11" t="s">
        <v>3009</v>
      </c>
      <c r="C23" s="11" t="s">
        <v>3010</v>
      </c>
      <c r="D23" s="11" t="str">
        <f>B5</f>
        <v>朝向</v>
      </c>
      <c r="E23" s="11" t="s">
        <v>3010</v>
      </c>
      <c r="F23" s="11" t="str">
        <f>B7</f>
        <v>楼层</v>
      </c>
      <c r="G23" s="11" t="s">
        <v>3010</v>
      </c>
      <c r="H23" s="11" t="str">
        <f>B9</f>
        <v>装修</v>
      </c>
      <c r="I23" s="11" t="s">
        <v>3010</v>
      </c>
      <c r="J23" s="11" t="str">
        <f>B11</f>
        <v>房型</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21.75" customHeight="1">
      <c r="A24" s="2954" t="s">
        <v>3099</v>
      </c>
      <c r="B24" s="718">
        <f>'数据-基础表'!I13</f>
        <v>124.73</v>
      </c>
      <c r="C24" s="719">
        <v>1</v>
      </c>
      <c r="D24" s="720" t="s">
        <v>3093</v>
      </c>
      <c r="E24" s="719">
        <v>1</v>
      </c>
      <c r="F24" s="720" t="s">
        <v>3069</v>
      </c>
      <c r="G24" s="719">
        <v>1</v>
      </c>
      <c r="H24" s="720" t="s">
        <v>3076</v>
      </c>
      <c r="I24" s="719">
        <v>1</v>
      </c>
      <c r="J24" s="720" t="s">
        <v>3081</v>
      </c>
      <c r="K24" s="719">
        <v>1</v>
      </c>
      <c r="L24" s="720"/>
      <c r="M24" s="719">
        <v>1</v>
      </c>
      <c r="N24" s="720"/>
      <c r="O24" s="719">
        <v>1</v>
      </c>
      <c r="P24" s="720"/>
      <c r="Q24" s="719">
        <v>1</v>
      </c>
      <c r="R24" s="721">
        <f ca="1">结果表!G20</f>
        <v>65899</v>
      </c>
      <c r="S24" s="719">
        <f t="shared" ref="S24:S54" ca="1" si="11">ROUND(R24*B24/10000,0)</f>
        <v>822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1.75" customHeight="1">
      <c r="A25" s="2155">
        <f>'数据-基础表'!C14</f>
        <v>0</v>
      </c>
      <c r="B25" s="718">
        <f>'数据-基础表'!I14</f>
        <v>0</v>
      </c>
      <c r="C25" s="24">
        <f>IF(B25="",1,(LOOKUP(B25,$3:$3,$4:$4)-LOOKUP($B$24,$3:$3,$4:$4)+100)/100)</f>
        <v>1.02</v>
      </c>
      <c r="D25" s="720" t="s">
        <v>3093</v>
      </c>
      <c r="E25" s="24">
        <f>(SUMIF($5:$5,D25,$6:$6)-SUMIF($5:$5,$D$24,$6:$6)+100)/100</f>
        <v>1</v>
      </c>
      <c r="F25" s="720" t="s">
        <v>3069</v>
      </c>
      <c r="G25" s="24">
        <f>(SUMIF($7:$7,F25,$8:$8)-SUMIF($7:$7,$F$24,$8:$8)+100)/100</f>
        <v>1</v>
      </c>
      <c r="H25" s="720" t="s">
        <v>3076</v>
      </c>
      <c r="I25" s="24">
        <f>(SUMIF($9:$9,H25,$10:$10)-SUMIF($9:$9,$H$24,$10:$10)+100)/100</f>
        <v>1</v>
      </c>
      <c r="J25" s="720" t="s">
        <v>3081</v>
      </c>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67217</v>
      </c>
      <c r="S25" s="361">
        <f t="shared" ca="1" si="11"/>
        <v>0</v>
      </c>
    </row>
    <row r="26" spans="1:45" ht="21.75" customHeight="1">
      <c r="A26" s="2155">
        <f>'数据-基础表'!C15</f>
        <v>0</v>
      </c>
      <c r="B26" s="718">
        <f>'数据-基础表'!I15</f>
        <v>0</v>
      </c>
      <c r="C26" s="24">
        <f t="shared" ref="C26:C89" si="12">IF(B26="",1,(LOOKUP(B26,$3:$3,$4:$4)-LOOKUP($B$24,$3:$3,$4:$4)+100)/100)</f>
        <v>1.02</v>
      </c>
      <c r="D26" s="720" t="s">
        <v>3093</v>
      </c>
      <c r="E26" s="24">
        <f t="shared" ref="E26:E89" si="13">(SUMIF($5:$5,D26,$6:$6)-SUMIF($5:$5,$D$24,$6:$6)+100)/100</f>
        <v>1</v>
      </c>
      <c r="F26" s="720" t="s">
        <v>3067</v>
      </c>
      <c r="G26" s="24">
        <f t="shared" ref="G26:G89" si="14">(SUMIF($7:$7,F26,$8:$8)-SUMIF($7:$7,$F$24,$8:$8)+100)/100</f>
        <v>1.02</v>
      </c>
      <c r="H26" s="720" t="s">
        <v>3076</v>
      </c>
      <c r="I26" s="24">
        <f t="shared" ref="I26:I89" si="15">(SUMIF($9:$9,H26,$10:$10)-SUMIF($9:$9,$H$24,$10:$10)+100)/100</f>
        <v>1</v>
      </c>
      <c r="J26" s="720" t="s">
        <v>3081</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68561</v>
      </c>
      <c r="S26" s="361">
        <f t="shared" ca="1" si="11"/>
        <v>0</v>
      </c>
    </row>
    <row r="27" spans="1:45" ht="21.75" customHeight="1">
      <c r="A27" s="2155">
        <f>'数据-基础表'!C16</f>
        <v>0</v>
      </c>
      <c r="B27" s="718">
        <f>'数据-基础表'!I16</f>
        <v>0</v>
      </c>
      <c r="C27" s="24">
        <f t="shared" si="12"/>
        <v>1.02</v>
      </c>
      <c r="D27" s="720" t="s">
        <v>3093</v>
      </c>
      <c r="E27" s="24">
        <f t="shared" si="13"/>
        <v>1</v>
      </c>
      <c r="F27" s="720" t="s">
        <v>3067</v>
      </c>
      <c r="G27" s="24">
        <f t="shared" si="14"/>
        <v>1.02</v>
      </c>
      <c r="H27" s="720" t="s">
        <v>3076</v>
      </c>
      <c r="I27" s="24">
        <f t="shared" si="15"/>
        <v>1</v>
      </c>
      <c r="J27" s="720" t="s">
        <v>3081</v>
      </c>
      <c r="K27" s="24">
        <f t="shared" si="16"/>
        <v>1</v>
      </c>
      <c r="L27" s="720"/>
      <c r="M27" s="24">
        <f t="shared" si="17"/>
        <v>1</v>
      </c>
      <c r="N27" s="720"/>
      <c r="O27" s="24">
        <f t="shared" si="18"/>
        <v>1</v>
      </c>
      <c r="P27" s="720"/>
      <c r="Q27" s="24">
        <f t="shared" si="19"/>
        <v>1</v>
      </c>
      <c r="R27" s="716">
        <f t="shared" ca="1" si="20"/>
        <v>68561</v>
      </c>
      <c r="S27" s="361">
        <f t="shared" ca="1" si="11"/>
        <v>0</v>
      </c>
    </row>
    <row r="28" spans="1:45" ht="21.75" customHeight="1">
      <c r="A28" s="2155">
        <f>'数据-基础表'!C17</f>
        <v>0</v>
      </c>
      <c r="B28" s="718">
        <f>'数据-基础表'!I17</f>
        <v>0</v>
      </c>
      <c r="C28" s="24">
        <f t="shared" si="12"/>
        <v>1.02</v>
      </c>
      <c r="D28" s="720" t="s">
        <v>3093</v>
      </c>
      <c r="E28" s="24">
        <f t="shared" si="13"/>
        <v>1</v>
      </c>
      <c r="F28" s="720" t="s">
        <v>3069</v>
      </c>
      <c r="G28" s="24">
        <f t="shared" si="14"/>
        <v>1</v>
      </c>
      <c r="H28" s="720" t="s">
        <v>3076</v>
      </c>
      <c r="I28" s="24">
        <f t="shared" si="15"/>
        <v>1</v>
      </c>
      <c r="J28" s="720" t="s">
        <v>3081</v>
      </c>
      <c r="K28" s="24">
        <f t="shared" si="16"/>
        <v>1</v>
      </c>
      <c r="L28" s="720"/>
      <c r="M28" s="24">
        <f t="shared" si="17"/>
        <v>1</v>
      </c>
      <c r="N28" s="720"/>
      <c r="O28" s="24">
        <f t="shared" si="18"/>
        <v>1</v>
      </c>
      <c r="P28" s="720"/>
      <c r="Q28" s="24">
        <f t="shared" si="19"/>
        <v>1</v>
      </c>
      <c r="R28" s="716">
        <f t="shared" ca="1" si="20"/>
        <v>67217</v>
      </c>
      <c r="S28" s="361">
        <f t="shared" ca="1" si="11"/>
        <v>0</v>
      </c>
    </row>
    <row r="29" spans="1:45" ht="21.75" customHeight="1">
      <c r="A29" s="2155">
        <f>'数据-基础表'!C18</f>
        <v>0</v>
      </c>
      <c r="B29" s="718">
        <f>'数据-基础表'!I18</f>
        <v>0</v>
      </c>
      <c r="C29" s="24">
        <f t="shared" si="12"/>
        <v>1.02</v>
      </c>
      <c r="D29" s="720" t="s">
        <v>3093</v>
      </c>
      <c r="E29" s="24">
        <f t="shared" si="13"/>
        <v>1</v>
      </c>
      <c r="F29" s="720" t="s">
        <v>3067</v>
      </c>
      <c r="G29" s="24">
        <f t="shared" si="14"/>
        <v>1.02</v>
      </c>
      <c r="H29" s="720" t="s">
        <v>3076</v>
      </c>
      <c r="I29" s="24">
        <f t="shared" si="15"/>
        <v>1</v>
      </c>
      <c r="J29" s="720" t="s">
        <v>3081</v>
      </c>
      <c r="K29" s="24">
        <f t="shared" si="16"/>
        <v>1</v>
      </c>
      <c r="L29" s="720"/>
      <c r="M29" s="24">
        <f t="shared" si="17"/>
        <v>1</v>
      </c>
      <c r="N29" s="720"/>
      <c r="O29" s="24">
        <f t="shared" si="18"/>
        <v>1</v>
      </c>
      <c r="P29" s="720"/>
      <c r="Q29" s="24">
        <f t="shared" si="19"/>
        <v>1</v>
      </c>
      <c r="R29" s="716">
        <f t="shared" ca="1" si="20"/>
        <v>68561</v>
      </c>
      <c r="S29" s="361">
        <f t="shared" ca="1" si="11"/>
        <v>0</v>
      </c>
    </row>
    <row r="30" spans="1:45" ht="21.75" customHeight="1">
      <c r="A30" s="2155">
        <f>'数据-基础表'!C19</f>
        <v>0</v>
      </c>
      <c r="B30" s="718">
        <f>'数据-基础表'!I19</f>
        <v>0</v>
      </c>
      <c r="C30" s="24">
        <f t="shared" si="12"/>
        <v>1.02</v>
      </c>
      <c r="D30" s="720" t="s">
        <v>3093</v>
      </c>
      <c r="E30" s="24">
        <f t="shared" si="13"/>
        <v>1</v>
      </c>
      <c r="F30" s="720" t="s">
        <v>3065</v>
      </c>
      <c r="G30" s="24">
        <f t="shared" si="14"/>
        <v>1.04</v>
      </c>
      <c r="H30" s="720" t="s">
        <v>3076</v>
      </c>
      <c r="I30" s="24">
        <f t="shared" si="15"/>
        <v>1</v>
      </c>
      <c r="J30" s="720" t="s">
        <v>3081</v>
      </c>
      <c r="K30" s="24">
        <f t="shared" si="16"/>
        <v>1</v>
      </c>
      <c r="L30" s="720"/>
      <c r="M30" s="24">
        <f t="shared" si="17"/>
        <v>1</v>
      </c>
      <c r="N30" s="720"/>
      <c r="O30" s="24">
        <f t="shared" si="18"/>
        <v>1</v>
      </c>
      <c r="P30" s="720"/>
      <c r="Q30" s="24">
        <f t="shared" si="19"/>
        <v>1</v>
      </c>
      <c r="R30" s="716">
        <f t="shared" ca="1" si="20"/>
        <v>69906</v>
      </c>
      <c r="S30" s="361">
        <f t="shared" ca="1" si="11"/>
        <v>0</v>
      </c>
    </row>
    <row r="31" spans="1:45" ht="21.75" customHeight="1">
      <c r="A31" s="2155">
        <f>'数据-基础表'!C20</f>
        <v>0</v>
      </c>
      <c r="B31" s="718">
        <f>'数据-基础表'!I20</f>
        <v>0</v>
      </c>
      <c r="C31" s="24">
        <f t="shared" si="12"/>
        <v>1.02</v>
      </c>
      <c r="D31" s="720" t="s">
        <v>3093</v>
      </c>
      <c r="E31" s="24">
        <f t="shared" si="13"/>
        <v>1</v>
      </c>
      <c r="F31" s="720" t="s">
        <v>3065</v>
      </c>
      <c r="G31" s="24">
        <f t="shared" si="14"/>
        <v>1.04</v>
      </c>
      <c r="H31" s="720" t="s">
        <v>3076</v>
      </c>
      <c r="I31" s="24">
        <f t="shared" si="15"/>
        <v>1</v>
      </c>
      <c r="J31" s="720" t="s">
        <v>3081</v>
      </c>
      <c r="K31" s="24">
        <f t="shared" si="16"/>
        <v>1</v>
      </c>
      <c r="L31" s="720"/>
      <c r="M31" s="24">
        <f t="shared" si="17"/>
        <v>1</v>
      </c>
      <c r="N31" s="720"/>
      <c r="O31" s="24">
        <f t="shared" si="18"/>
        <v>1</v>
      </c>
      <c r="P31" s="720"/>
      <c r="Q31" s="24">
        <f t="shared" si="19"/>
        <v>1</v>
      </c>
      <c r="R31" s="716">
        <f t="shared" ca="1" si="20"/>
        <v>69906</v>
      </c>
      <c r="S31" s="361">
        <f t="shared" ca="1" si="11"/>
        <v>0</v>
      </c>
    </row>
    <row r="32" spans="1:45" ht="21.75" customHeight="1">
      <c r="A32" s="2155">
        <f>'数据-基础表'!C21</f>
        <v>0</v>
      </c>
      <c r="B32" s="718">
        <f>'数据-基础表'!I21</f>
        <v>0</v>
      </c>
      <c r="C32" s="24">
        <f t="shared" si="12"/>
        <v>1.02</v>
      </c>
      <c r="D32" s="720" t="s">
        <v>3093</v>
      </c>
      <c r="E32" s="24">
        <f t="shared" si="13"/>
        <v>1</v>
      </c>
      <c r="F32" s="720" t="s">
        <v>3065</v>
      </c>
      <c r="G32" s="24">
        <f t="shared" si="14"/>
        <v>1.04</v>
      </c>
      <c r="H32" s="720" t="s">
        <v>3076</v>
      </c>
      <c r="I32" s="24">
        <f t="shared" si="15"/>
        <v>1</v>
      </c>
      <c r="J32" s="720" t="s">
        <v>3081</v>
      </c>
      <c r="K32" s="24">
        <f t="shared" si="16"/>
        <v>1</v>
      </c>
      <c r="L32" s="720"/>
      <c r="M32" s="24">
        <f t="shared" si="17"/>
        <v>1</v>
      </c>
      <c r="N32" s="720"/>
      <c r="O32" s="24">
        <f t="shared" si="18"/>
        <v>1</v>
      </c>
      <c r="P32" s="720"/>
      <c r="Q32" s="24">
        <f t="shared" si="19"/>
        <v>1</v>
      </c>
      <c r="R32" s="716">
        <f t="shared" ca="1" si="20"/>
        <v>69906</v>
      </c>
      <c r="S32" s="361">
        <f t="shared" ca="1" si="11"/>
        <v>0</v>
      </c>
    </row>
    <row r="33" spans="1:19" ht="21.75" customHeight="1">
      <c r="A33" s="2155">
        <f>'数据-基础表'!C22</f>
        <v>0</v>
      </c>
      <c r="B33" s="718">
        <f>'数据-基础表'!I22</f>
        <v>0</v>
      </c>
      <c r="C33" s="24">
        <f t="shared" si="12"/>
        <v>1.02</v>
      </c>
      <c r="D33" s="720" t="s">
        <v>3093</v>
      </c>
      <c r="E33" s="24">
        <f t="shared" si="13"/>
        <v>1</v>
      </c>
      <c r="F33" s="720" t="s">
        <v>3065</v>
      </c>
      <c r="G33" s="24">
        <f t="shared" si="14"/>
        <v>1.04</v>
      </c>
      <c r="H33" s="720" t="s">
        <v>3076</v>
      </c>
      <c r="I33" s="24">
        <f t="shared" si="15"/>
        <v>1</v>
      </c>
      <c r="J33" s="720" t="s">
        <v>3081</v>
      </c>
      <c r="K33" s="24">
        <f t="shared" si="16"/>
        <v>1</v>
      </c>
      <c r="L33" s="720"/>
      <c r="M33" s="24">
        <f t="shared" si="17"/>
        <v>1</v>
      </c>
      <c r="N33" s="720"/>
      <c r="O33" s="24">
        <f t="shared" si="18"/>
        <v>1</v>
      </c>
      <c r="P33" s="720"/>
      <c r="Q33" s="24">
        <f t="shared" si="19"/>
        <v>1</v>
      </c>
      <c r="R33" s="716">
        <f t="shared" ca="1" si="20"/>
        <v>69906</v>
      </c>
      <c r="S33" s="361">
        <f t="shared" ca="1" si="11"/>
        <v>0</v>
      </c>
    </row>
    <row r="34" spans="1:19" ht="21.75" customHeight="1">
      <c r="A34" s="2155">
        <f>'数据-基础表'!C23</f>
        <v>0</v>
      </c>
      <c r="B34" s="718">
        <f>'数据-基础表'!I23</f>
        <v>0</v>
      </c>
      <c r="C34" s="24">
        <f t="shared" si="12"/>
        <v>1.02</v>
      </c>
      <c r="D34" s="720" t="s">
        <v>3093</v>
      </c>
      <c r="E34" s="24">
        <f t="shared" si="13"/>
        <v>1</v>
      </c>
      <c r="F34" s="720" t="s">
        <v>3065</v>
      </c>
      <c r="G34" s="24">
        <f t="shared" si="14"/>
        <v>1.04</v>
      </c>
      <c r="H34" s="720" t="s">
        <v>3076</v>
      </c>
      <c r="I34" s="24">
        <f t="shared" si="15"/>
        <v>1</v>
      </c>
      <c r="J34" s="720" t="s">
        <v>3081</v>
      </c>
      <c r="K34" s="24">
        <f t="shared" si="16"/>
        <v>1</v>
      </c>
      <c r="L34" s="720"/>
      <c r="M34" s="24">
        <f t="shared" si="17"/>
        <v>1</v>
      </c>
      <c r="N34" s="720"/>
      <c r="O34" s="24">
        <f t="shared" si="18"/>
        <v>1</v>
      </c>
      <c r="P34" s="720"/>
      <c r="Q34" s="24">
        <f t="shared" si="19"/>
        <v>1</v>
      </c>
      <c r="R34" s="716">
        <f t="shared" ca="1" si="20"/>
        <v>69906</v>
      </c>
      <c r="S34" s="361">
        <f t="shared" ca="1" si="11"/>
        <v>0</v>
      </c>
    </row>
    <row r="35" spans="1:19" ht="21.75" customHeight="1">
      <c r="A35" s="2155">
        <f>'数据-基础表'!C24</f>
        <v>0</v>
      </c>
      <c r="B35" s="718">
        <f>'数据-基础表'!I24</f>
        <v>0</v>
      </c>
      <c r="C35" s="24">
        <f t="shared" si="12"/>
        <v>1.02</v>
      </c>
      <c r="D35" s="720" t="s">
        <v>3093</v>
      </c>
      <c r="E35" s="24">
        <f t="shared" si="13"/>
        <v>1</v>
      </c>
      <c r="F35" s="720" t="s">
        <v>3067</v>
      </c>
      <c r="G35" s="24">
        <f t="shared" si="14"/>
        <v>1.02</v>
      </c>
      <c r="H35" s="720" t="s">
        <v>3076</v>
      </c>
      <c r="I35" s="24">
        <f t="shared" si="15"/>
        <v>1</v>
      </c>
      <c r="J35" s="720" t="s">
        <v>3081</v>
      </c>
      <c r="K35" s="24">
        <f t="shared" si="16"/>
        <v>1</v>
      </c>
      <c r="L35" s="720"/>
      <c r="M35" s="24">
        <f t="shared" si="17"/>
        <v>1</v>
      </c>
      <c r="N35" s="720"/>
      <c r="O35" s="24">
        <f t="shared" si="18"/>
        <v>1</v>
      </c>
      <c r="P35" s="720"/>
      <c r="Q35" s="24">
        <f t="shared" si="19"/>
        <v>1</v>
      </c>
      <c r="R35" s="716">
        <f t="shared" ca="1" si="20"/>
        <v>68561</v>
      </c>
      <c r="S35" s="361">
        <f t="shared" ca="1" si="11"/>
        <v>0</v>
      </c>
    </row>
    <row r="36" spans="1:19" ht="21.75" customHeight="1">
      <c r="A36" s="2155">
        <f>'数据-基础表'!C25</f>
        <v>0</v>
      </c>
      <c r="B36" s="718">
        <f>'数据-基础表'!I25</f>
        <v>0</v>
      </c>
      <c r="C36" s="24">
        <f t="shared" si="12"/>
        <v>1.02</v>
      </c>
      <c r="D36" s="720" t="s">
        <v>3093</v>
      </c>
      <c r="E36" s="24">
        <f t="shared" si="13"/>
        <v>1</v>
      </c>
      <c r="F36" s="720" t="s">
        <v>3067</v>
      </c>
      <c r="G36" s="24">
        <f t="shared" si="14"/>
        <v>1.02</v>
      </c>
      <c r="H36" s="720" t="s">
        <v>3076</v>
      </c>
      <c r="I36" s="24">
        <f t="shared" si="15"/>
        <v>1</v>
      </c>
      <c r="J36" s="720" t="s">
        <v>3081</v>
      </c>
      <c r="K36" s="24">
        <f t="shared" si="16"/>
        <v>1</v>
      </c>
      <c r="L36" s="720"/>
      <c r="M36" s="24">
        <f t="shared" si="17"/>
        <v>1</v>
      </c>
      <c r="N36" s="720"/>
      <c r="O36" s="24">
        <f t="shared" si="18"/>
        <v>1</v>
      </c>
      <c r="P36" s="720"/>
      <c r="Q36" s="24">
        <f t="shared" si="19"/>
        <v>1</v>
      </c>
      <c r="R36" s="716">
        <f t="shared" ca="1" si="20"/>
        <v>68561</v>
      </c>
      <c r="S36" s="361">
        <f t="shared" ca="1" si="11"/>
        <v>0</v>
      </c>
    </row>
    <row r="37" spans="1:19">
      <c r="A37" s="159"/>
      <c r="B37" s="718"/>
      <c r="C37" s="24">
        <f t="shared" si="12"/>
        <v>1</v>
      </c>
      <c r="D37" s="720"/>
      <c r="E37" s="24">
        <f t="shared" si="13"/>
        <v>0</v>
      </c>
      <c r="F37" s="720"/>
      <c r="G37" s="24">
        <f t="shared" si="14"/>
        <v>0.04</v>
      </c>
      <c r="H37" s="720"/>
      <c r="I37" s="24">
        <f t="shared" si="15"/>
        <v>0</v>
      </c>
      <c r="J37" s="720"/>
      <c r="K37" s="24">
        <f t="shared" si="16"/>
        <v>0</v>
      </c>
      <c r="L37" s="720"/>
      <c r="M37" s="24">
        <f t="shared" si="17"/>
        <v>1</v>
      </c>
      <c r="N37" s="720"/>
      <c r="O37" s="24">
        <f t="shared" si="18"/>
        <v>1</v>
      </c>
      <c r="P37" s="720"/>
      <c r="Q37" s="24">
        <f t="shared" si="19"/>
        <v>1</v>
      </c>
      <c r="R37" s="716">
        <f t="shared" si="20"/>
        <v>0</v>
      </c>
      <c r="S37" s="361">
        <f t="shared" si="11"/>
        <v>0</v>
      </c>
    </row>
    <row r="38" spans="1:19">
      <c r="A38" s="159"/>
      <c r="B38" s="718"/>
      <c r="C38" s="24">
        <f t="shared" si="12"/>
        <v>1</v>
      </c>
      <c r="D38" s="720"/>
      <c r="E38" s="24">
        <f t="shared" si="13"/>
        <v>0</v>
      </c>
      <c r="F38" s="720"/>
      <c r="G38" s="24">
        <f t="shared" si="14"/>
        <v>0.04</v>
      </c>
      <c r="H38" s="720"/>
      <c r="I38" s="24">
        <f t="shared" si="15"/>
        <v>0</v>
      </c>
      <c r="J38" s="720"/>
      <c r="K38" s="24">
        <f t="shared" si="16"/>
        <v>0</v>
      </c>
      <c r="L38" s="720"/>
      <c r="M38" s="24">
        <f t="shared" si="17"/>
        <v>1</v>
      </c>
      <c r="N38" s="720"/>
      <c r="O38" s="24">
        <f t="shared" si="18"/>
        <v>1</v>
      </c>
      <c r="P38" s="720"/>
      <c r="Q38" s="24">
        <f t="shared" si="19"/>
        <v>1</v>
      </c>
      <c r="R38" s="716">
        <f t="shared" si="20"/>
        <v>0</v>
      </c>
      <c r="S38" s="361">
        <f t="shared" si="11"/>
        <v>0</v>
      </c>
    </row>
    <row r="39" spans="1:19">
      <c r="A39" s="159"/>
      <c r="B39" s="718"/>
      <c r="C39" s="24">
        <f t="shared" si="12"/>
        <v>1</v>
      </c>
      <c r="D39" s="720"/>
      <c r="E39" s="24">
        <f t="shared" si="13"/>
        <v>0</v>
      </c>
      <c r="F39" s="720"/>
      <c r="G39" s="24">
        <f t="shared" si="14"/>
        <v>0.04</v>
      </c>
      <c r="H39" s="720"/>
      <c r="I39" s="24">
        <f t="shared" si="15"/>
        <v>0</v>
      </c>
      <c r="J39" s="720"/>
      <c r="K39" s="24">
        <f t="shared" si="16"/>
        <v>0</v>
      </c>
      <c r="L39" s="720"/>
      <c r="M39" s="24">
        <f t="shared" si="17"/>
        <v>1</v>
      </c>
      <c r="N39" s="720"/>
      <c r="O39" s="24">
        <f t="shared" si="18"/>
        <v>1</v>
      </c>
      <c r="P39" s="720"/>
      <c r="Q39" s="24">
        <f t="shared" si="19"/>
        <v>1</v>
      </c>
      <c r="R39" s="716">
        <f t="shared" si="20"/>
        <v>0</v>
      </c>
      <c r="S39" s="361">
        <f t="shared" si="11"/>
        <v>0</v>
      </c>
    </row>
    <row r="40" spans="1:19">
      <c r="A40" s="159"/>
      <c r="B40" s="718"/>
      <c r="C40" s="24">
        <f t="shared" si="12"/>
        <v>1</v>
      </c>
      <c r="D40" s="720"/>
      <c r="E40" s="24">
        <f t="shared" si="13"/>
        <v>0</v>
      </c>
      <c r="F40" s="720"/>
      <c r="G40" s="24">
        <f t="shared" si="14"/>
        <v>0.04</v>
      </c>
      <c r="H40" s="720"/>
      <c r="I40" s="24">
        <f t="shared" si="15"/>
        <v>0</v>
      </c>
      <c r="J40" s="720"/>
      <c r="K40" s="24">
        <f t="shared" si="16"/>
        <v>0</v>
      </c>
      <c r="L40" s="720"/>
      <c r="M40" s="24">
        <f t="shared" si="17"/>
        <v>1</v>
      </c>
      <c r="N40" s="720"/>
      <c r="O40" s="24">
        <f t="shared" si="18"/>
        <v>1</v>
      </c>
      <c r="P40" s="720"/>
      <c r="Q40" s="24">
        <f t="shared" si="19"/>
        <v>1</v>
      </c>
      <c r="R40" s="716">
        <f t="shared" si="20"/>
        <v>0</v>
      </c>
      <c r="S40" s="361">
        <f t="shared" si="11"/>
        <v>0</v>
      </c>
    </row>
    <row r="41" spans="1:19">
      <c r="A41" s="159"/>
      <c r="B41" s="718"/>
      <c r="C41" s="24">
        <f t="shared" si="12"/>
        <v>1</v>
      </c>
      <c r="D41" s="720"/>
      <c r="E41" s="24">
        <f t="shared" si="13"/>
        <v>0</v>
      </c>
      <c r="F41" s="720"/>
      <c r="G41" s="24">
        <f t="shared" si="14"/>
        <v>0.04</v>
      </c>
      <c r="H41" s="720"/>
      <c r="I41" s="24">
        <f t="shared" si="15"/>
        <v>0</v>
      </c>
      <c r="J41" s="720"/>
      <c r="K41" s="24">
        <f t="shared" si="16"/>
        <v>0</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0.04</v>
      </c>
      <c r="H42" s="720"/>
      <c r="I42" s="24">
        <f t="shared" si="15"/>
        <v>0</v>
      </c>
      <c r="J42" s="720"/>
      <c r="K42" s="24">
        <f t="shared" si="16"/>
        <v>0</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0.04</v>
      </c>
      <c r="H43" s="720"/>
      <c r="I43" s="24">
        <f t="shared" si="15"/>
        <v>0</v>
      </c>
      <c r="J43" s="720"/>
      <c r="K43" s="24">
        <f t="shared" si="16"/>
        <v>0</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0.04</v>
      </c>
      <c r="H44" s="720"/>
      <c r="I44" s="24">
        <f t="shared" si="15"/>
        <v>0</v>
      </c>
      <c r="J44" s="720"/>
      <c r="K44" s="24">
        <f t="shared" si="16"/>
        <v>0</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0.04</v>
      </c>
      <c r="H45" s="720"/>
      <c r="I45" s="24">
        <f t="shared" si="15"/>
        <v>0</v>
      </c>
      <c r="J45" s="720"/>
      <c r="K45" s="24">
        <f t="shared" si="16"/>
        <v>0</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0.04</v>
      </c>
      <c r="H46" s="720"/>
      <c r="I46" s="24">
        <f t="shared" si="15"/>
        <v>0</v>
      </c>
      <c r="J46" s="720"/>
      <c r="K46" s="24">
        <f t="shared" si="16"/>
        <v>0</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0.04</v>
      </c>
      <c r="H47" s="720"/>
      <c r="I47" s="24">
        <f t="shared" si="15"/>
        <v>0</v>
      </c>
      <c r="J47" s="720"/>
      <c r="K47" s="24">
        <f t="shared" si="16"/>
        <v>0</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0.04</v>
      </c>
      <c r="H48" s="720"/>
      <c r="I48" s="24">
        <f t="shared" si="15"/>
        <v>0</v>
      </c>
      <c r="J48" s="720"/>
      <c r="K48" s="24">
        <f t="shared" si="16"/>
        <v>0</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0.04</v>
      </c>
      <c r="H49" s="720"/>
      <c r="I49" s="24">
        <f t="shared" si="15"/>
        <v>0</v>
      </c>
      <c r="J49" s="720"/>
      <c r="K49" s="24">
        <f t="shared" si="16"/>
        <v>0</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0.04</v>
      </c>
      <c r="H50" s="720"/>
      <c r="I50" s="24">
        <f t="shared" si="15"/>
        <v>0</v>
      </c>
      <c r="J50" s="720"/>
      <c r="K50" s="24">
        <f t="shared" si="16"/>
        <v>0</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0.04</v>
      </c>
      <c r="H51" s="720"/>
      <c r="I51" s="24">
        <f t="shared" si="15"/>
        <v>0</v>
      </c>
      <c r="J51" s="720"/>
      <c r="K51" s="24">
        <f t="shared" si="16"/>
        <v>0</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0.04</v>
      </c>
      <c r="H52" s="720"/>
      <c r="I52" s="24">
        <f t="shared" si="15"/>
        <v>0</v>
      </c>
      <c r="J52" s="720"/>
      <c r="K52" s="24">
        <f t="shared" si="16"/>
        <v>0</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0.04</v>
      </c>
      <c r="H53" s="720"/>
      <c r="I53" s="24">
        <f t="shared" si="15"/>
        <v>0</v>
      </c>
      <c r="J53" s="720"/>
      <c r="K53" s="24">
        <f t="shared" si="16"/>
        <v>0</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0.04</v>
      </c>
      <c r="H54" s="720"/>
      <c r="I54" s="24">
        <f t="shared" si="15"/>
        <v>0</v>
      </c>
      <c r="J54" s="720"/>
      <c r="K54" s="24">
        <f t="shared" si="16"/>
        <v>0</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0.04</v>
      </c>
      <c r="H55" s="720"/>
      <c r="I55" s="24">
        <f t="shared" si="15"/>
        <v>0</v>
      </c>
      <c r="J55" s="720"/>
      <c r="K55" s="24">
        <f t="shared" si="16"/>
        <v>0</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0.04</v>
      </c>
      <c r="H56" s="720"/>
      <c r="I56" s="24">
        <f t="shared" si="15"/>
        <v>0</v>
      </c>
      <c r="J56" s="720"/>
      <c r="K56" s="24">
        <f t="shared" si="16"/>
        <v>0</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0.04</v>
      </c>
      <c r="H57" s="720"/>
      <c r="I57" s="24">
        <f t="shared" si="15"/>
        <v>0</v>
      </c>
      <c r="J57" s="720"/>
      <c r="K57" s="24">
        <f t="shared" si="16"/>
        <v>0</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0.04</v>
      </c>
      <c r="H58" s="720"/>
      <c r="I58" s="24">
        <f t="shared" si="15"/>
        <v>0</v>
      </c>
      <c r="J58" s="720"/>
      <c r="K58" s="24">
        <f t="shared" si="16"/>
        <v>0</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0.04</v>
      </c>
      <c r="H59" s="720"/>
      <c r="I59" s="24">
        <f t="shared" si="15"/>
        <v>0</v>
      </c>
      <c r="J59" s="720"/>
      <c r="K59" s="24">
        <f t="shared" si="16"/>
        <v>0</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0.04</v>
      </c>
      <c r="H60" s="720"/>
      <c r="I60" s="24">
        <f t="shared" si="15"/>
        <v>0</v>
      </c>
      <c r="J60" s="720"/>
      <c r="K60" s="24">
        <f t="shared" si="16"/>
        <v>0</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0.04</v>
      </c>
      <c r="H61" s="720"/>
      <c r="I61" s="24">
        <f t="shared" si="15"/>
        <v>0</v>
      </c>
      <c r="J61" s="720"/>
      <c r="K61" s="24">
        <f t="shared" si="16"/>
        <v>0</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0.04</v>
      </c>
      <c r="H62" s="720"/>
      <c r="I62" s="24">
        <f t="shared" si="15"/>
        <v>0</v>
      </c>
      <c r="J62" s="720"/>
      <c r="K62" s="24">
        <f t="shared" si="16"/>
        <v>0</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0.04</v>
      </c>
      <c r="H63" s="720"/>
      <c r="I63" s="24">
        <f t="shared" si="15"/>
        <v>0</v>
      </c>
      <c r="J63" s="720"/>
      <c r="K63" s="24">
        <f t="shared" si="16"/>
        <v>0</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0.04</v>
      </c>
      <c r="H64" s="720"/>
      <c r="I64" s="24">
        <f t="shared" si="15"/>
        <v>0</v>
      </c>
      <c r="J64" s="720"/>
      <c r="K64" s="24">
        <f t="shared" si="16"/>
        <v>0</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0.04</v>
      </c>
      <c r="H65" s="720"/>
      <c r="I65" s="24">
        <f t="shared" si="15"/>
        <v>0</v>
      </c>
      <c r="J65" s="720"/>
      <c r="K65" s="24">
        <f t="shared" si="16"/>
        <v>0</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0.04</v>
      </c>
      <c r="H66" s="720"/>
      <c r="I66" s="24">
        <f t="shared" si="15"/>
        <v>0</v>
      </c>
      <c r="J66" s="720"/>
      <c r="K66" s="24">
        <f t="shared" si="16"/>
        <v>0</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0.04</v>
      </c>
      <c r="H67" s="720"/>
      <c r="I67" s="24">
        <f t="shared" si="15"/>
        <v>0</v>
      </c>
      <c r="J67" s="720"/>
      <c r="K67" s="24">
        <f t="shared" si="16"/>
        <v>0</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0.04</v>
      </c>
      <c r="H68" s="720"/>
      <c r="I68" s="24">
        <f t="shared" si="15"/>
        <v>0</v>
      </c>
      <c r="J68" s="720"/>
      <c r="K68" s="24">
        <f t="shared" si="16"/>
        <v>0</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0.04</v>
      </c>
      <c r="H69" s="720"/>
      <c r="I69" s="24">
        <f t="shared" si="15"/>
        <v>0</v>
      </c>
      <c r="J69" s="720"/>
      <c r="K69" s="24">
        <f t="shared" si="16"/>
        <v>0</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0.04</v>
      </c>
      <c r="H70" s="720"/>
      <c r="I70" s="24">
        <f t="shared" si="15"/>
        <v>0</v>
      </c>
      <c r="J70" s="720"/>
      <c r="K70" s="24">
        <f t="shared" si="16"/>
        <v>0</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0.04</v>
      </c>
      <c r="H71" s="720"/>
      <c r="I71" s="24">
        <f t="shared" si="15"/>
        <v>0</v>
      </c>
      <c r="J71" s="720"/>
      <c r="K71" s="24">
        <f t="shared" si="16"/>
        <v>0</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0.04</v>
      </c>
      <c r="H72" s="720"/>
      <c r="I72" s="24">
        <f t="shared" si="15"/>
        <v>0</v>
      </c>
      <c r="J72" s="720"/>
      <c r="K72" s="24">
        <f t="shared" si="16"/>
        <v>0</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0.04</v>
      </c>
      <c r="H73" s="720"/>
      <c r="I73" s="24">
        <f t="shared" si="15"/>
        <v>0</v>
      </c>
      <c r="J73" s="720"/>
      <c r="K73" s="24">
        <f t="shared" si="16"/>
        <v>0</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0.04</v>
      </c>
      <c r="H74" s="720"/>
      <c r="I74" s="24">
        <f t="shared" si="15"/>
        <v>0</v>
      </c>
      <c r="J74" s="720"/>
      <c r="K74" s="24">
        <f t="shared" si="16"/>
        <v>0</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0.04</v>
      </c>
      <c r="H75" s="720"/>
      <c r="I75" s="24">
        <f t="shared" si="15"/>
        <v>0</v>
      </c>
      <c r="J75" s="720"/>
      <c r="K75" s="24">
        <f t="shared" si="16"/>
        <v>0</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0.04</v>
      </c>
      <c r="H76" s="720"/>
      <c r="I76" s="24">
        <f t="shared" si="15"/>
        <v>0</v>
      </c>
      <c r="J76" s="720"/>
      <c r="K76" s="24">
        <f t="shared" si="16"/>
        <v>0</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0.04</v>
      </c>
      <c r="H77" s="720"/>
      <c r="I77" s="24">
        <f t="shared" si="15"/>
        <v>0</v>
      </c>
      <c r="J77" s="720"/>
      <c r="K77" s="24">
        <f t="shared" si="16"/>
        <v>0</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0.04</v>
      </c>
      <c r="H78" s="720"/>
      <c r="I78" s="24">
        <f t="shared" si="15"/>
        <v>0</v>
      </c>
      <c r="J78" s="720"/>
      <c r="K78" s="24">
        <f t="shared" si="16"/>
        <v>0</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0.04</v>
      </c>
      <c r="H79" s="720"/>
      <c r="I79" s="24">
        <f t="shared" si="15"/>
        <v>0</v>
      </c>
      <c r="J79" s="720"/>
      <c r="K79" s="24">
        <f t="shared" si="16"/>
        <v>0</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0.04</v>
      </c>
      <c r="H80" s="720"/>
      <c r="I80" s="24">
        <f t="shared" si="15"/>
        <v>0</v>
      </c>
      <c r="J80" s="720"/>
      <c r="K80" s="24">
        <f t="shared" si="16"/>
        <v>0</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0.04</v>
      </c>
      <c r="H81" s="720"/>
      <c r="I81" s="24">
        <f t="shared" si="15"/>
        <v>0</v>
      </c>
      <c r="J81" s="720"/>
      <c r="K81" s="24">
        <f t="shared" si="16"/>
        <v>0</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0.04</v>
      </c>
      <c r="H82" s="720"/>
      <c r="I82" s="24">
        <f t="shared" si="15"/>
        <v>0</v>
      </c>
      <c r="J82" s="720"/>
      <c r="K82" s="24">
        <f t="shared" si="16"/>
        <v>0</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0.04</v>
      </c>
      <c r="H83" s="720"/>
      <c r="I83" s="24">
        <f t="shared" si="15"/>
        <v>0</v>
      </c>
      <c r="J83" s="720"/>
      <c r="K83" s="24">
        <f t="shared" si="16"/>
        <v>0</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0.04</v>
      </c>
      <c r="H84" s="720"/>
      <c r="I84" s="24">
        <f t="shared" si="15"/>
        <v>0</v>
      </c>
      <c r="J84" s="720"/>
      <c r="K84" s="24">
        <f t="shared" si="16"/>
        <v>0</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0.04</v>
      </c>
      <c r="H85" s="720"/>
      <c r="I85" s="24">
        <f t="shared" si="15"/>
        <v>0</v>
      </c>
      <c r="J85" s="720"/>
      <c r="K85" s="24">
        <f t="shared" si="16"/>
        <v>0</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0.04</v>
      </c>
      <c r="H86" s="720"/>
      <c r="I86" s="24">
        <f t="shared" si="15"/>
        <v>0</v>
      </c>
      <c r="J86" s="720"/>
      <c r="K86" s="24">
        <f t="shared" si="16"/>
        <v>0</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0.04</v>
      </c>
      <c r="H87" s="720"/>
      <c r="I87" s="24">
        <f t="shared" si="15"/>
        <v>0</v>
      </c>
      <c r="J87" s="720"/>
      <c r="K87" s="24">
        <f t="shared" si="16"/>
        <v>0</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0.04</v>
      </c>
      <c r="H88" s="720"/>
      <c r="I88" s="24">
        <f t="shared" si="15"/>
        <v>0</v>
      </c>
      <c r="J88" s="720"/>
      <c r="K88" s="24">
        <f t="shared" si="16"/>
        <v>0</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0.04</v>
      </c>
      <c r="H89" s="720"/>
      <c r="I89" s="24">
        <f t="shared" si="15"/>
        <v>0</v>
      </c>
      <c r="J89" s="720"/>
      <c r="K89" s="24">
        <f t="shared" si="16"/>
        <v>0</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0.04</v>
      </c>
      <c r="H90" s="720"/>
      <c r="I90" s="24">
        <f t="shared" ref="I90:I153" si="26">(SUMIF($9:$9,H90,$10:$10)-SUMIF($9:$9,$H$24,$10:$10)+100)/100</f>
        <v>0</v>
      </c>
      <c r="J90" s="720"/>
      <c r="K90" s="24">
        <f t="shared" ref="K90:K153" si="27">(SUMIF($11:$11,J90,$12:$12)-SUMIF($11:$11,$J$24,$12:$12)+100)/100</f>
        <v>0</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0.04</v>
      </c>
      <c r="H91" s="720"/>
      <c r="I91" s="24">
        <f t="shared" si="26"/>
        <v>0</v>
      </c>
      <c r="J91" s="720"/>
      <c r="K91" s="24">
        <f t="shared" si="27"/>
        <v>0</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0.04</v>
      </c>
      <c r="H92" s="720"/>
      <c r="I92" s="24">
        <f t="shared" si="26"/>
        <v>0</v>
      </c>
      <c r="J92" s="720"/>
      <c r="K92" s="24">
        <f t="shared" si="27"/>
        <v>0</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0.04</v>
      </c>
      <c r="H93" s="720"/>
      <c r="I93" s="24">
        <f t="shared" si="26"/>
        <v>0</v>
      </c>
      <c r="J93" s="720"/>
      <c r="K93" s="24">
        <f t="shared" si="27"/>
        <v>0</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0.04</v>
      </c>
      <c r="H94" s="720"/>
      <c r="I94" s="24">
        <f t="shared" si="26"/>
        <v>0</v>
      </c>
      <c r="J94" s="720"/>
      <c r="K94" s="24">
        <f t="shared" si="27"/>
        <v>0</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0.04</v>
      </c>
      <c r="H95" s="720"/>
      <c r="I95" s="24">
        <f t="shared" si="26"/>
        <v>0</v>
      </c>
      <c r="J95" s="720"/>
      <c r="K95" s="24">
        <f t="shared" si="27"/>
        <v>0</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0.04</v>
      </c>
      <c r="H96" s="720"/>
      <c r="I96" s="24">
        <f t="shared" si="26"/>
        <v>0</v>
      </c>
      <c r="J96" s="720"/>
      <c r="K96" s="24">
        <f t="shared" si="27"/>
        <v>0</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0.04</v>
      </c>
      <c r="H97" s="720"/>
      <c r="I97" s="24">
        <f t="shared" si="26"/>
        <v>0</v>
      </c>
      <c r="J97" s="720"/>
      <c r="K97" s="24">
        <f t="shared" si="27"/>
        <v>0</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0.04</v>
      </c>
      <c r="H98" s="720"/>
      <c r="I98" s="24">
        <f t="shared" si="26"/>
        <v>0</v>
      </c>
      <c r="J98" s="720"/>
      <c r="K98" s="24">
        <f t="shared" si="27"/>
        <v>0</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0.04</v>
      </c>
      <c r="H99" s="720"/>
      <c r="I99" s="24">
        <f t="shared" si="26"/>
        <v>0</v>
      </c>
      <c r="J99" s="720"/>
      <c r="K99" s="24">
        <f t="shared" si="27"/>
        <v>0</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0.04</v>
      </c>
      <c r="H100" s="720"/>
      <c r="I100" s="24">
        <f t="shared" si="26"/>
        <v>0</v>
      </c>
      <c r="J100" s="720"/>
      <c r="K100" s="24">
        <f t="shared" si="27"/>
        <v>0</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0.04</v>
      </c>
      <c r="H101" s="720"/>
      <c r="I101" s="24">
        <f t="shared" si="26"/>
        <v>0</v>
      </c>
      <c r="J101" s="720"/>
      <c r="K101" s="24">
        <f t="shared" si="27"/>
        <v>0</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0.04</v>
      </c>
      <c r="H102" s="720"/>
      <c r="I102" s="24">
        <f t="shared" si="26"/>
        <v>0</v>
      </c>
      <c r="J102" s="720"/>
      <c r="K102" s="24">
        <f t="shared" si="27"/>
        <v>0</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0.04</v>
      </c>
      <c r="H103" s="720"/>
      <c r="I103" s="24">
        <f t="shared" si="26"/>
        <v>0</v>
      </c>
      <c r="J103" s="720"/>
      <c r="K103" s="24">
        <f t="shared" si="27"/>
        <v>0</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0.04</v>
      </c>
      <c r="H104" s="720"/>
      <c r="I104" s="24">
        <f t="shared" si="26"/>
        <v>0</v>
      </c>
      <c r="J104" s="720"/>
      <c r="K104" s="24">
        <f t="shared" si="27"/>
        <v>0</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0.04</v>
      </c>
      <c r="H105" s="720"/>
      <c r="I105" s="24">
        <f t="shared" si="26"/>
        <v>0</v>
      </c>
      <c r="J105" s="720"/>
      <c r="K105" s="24">
        <f t="shared" si="27"/>
        <v>0</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0.04</v>
      </c>
      <c r="H106" s="720"/>
      <c r="I106" s="24">
        <f t="shared" si="26"/>
        <v>0</v>
      </c>
      <c r="J106" s="720"/>
      <c r="K106" s="24">
        <f t="shared" si="27"/>
        <v>0</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0.04</v>
      </c>
      <c r="H107" s="720"/>
      <c r="I107" s="24">
        <f t="shared" si="26"/>
        <v>0</v>
      </c>
      <c r="J107" s="720"/>
      <c r="K107" s="24">
        <f t="shared" si="27"/>
        <v>0</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0.04</v>
      </c>
      <c r="H108" s="720"/>
      <c r="I108" s="24">
        <f t="shared" si="26"/>
        <v>0</v>
      </c>
      <c r="J108" s="720"/>
      <c r="K108" s="24">
        <f t="shared" si="27"/>
        <v>0</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0.04</v>
      </c>
      <c r="H109" s="720"/>
      <c r="I109" s="24">
        <f t="shared" si="26"/>
        <v>0</v>
      </c>
      <c r="J109" s="720"/>
      <c r="K109" s="24">
        <f t="shared" si="27"/>
        <v>0</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0.04</v>
      </c>
      <c r="H110" s="720"/>
      <c r="I110" s="24">
        <f t="shared" si="26"/>
        <v>0</v>
      </c>
      <c r="J110" s="720"/>
      <c r="K110" s="24">
        <f t="shared" si="27"/>
        <v>0</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0.04</v>
      </c>
      <c r="H111" s="720"/>
      <c r="I111" s="24">
        <f t="shared" si="26"/>
        <v>0</v>
      </c>
      <c r="J111" s="720"/>
      <c r="K111" s="24">
        <f t="shared" si="27"/>
        <v>0</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0.04</v>
      </c>
      <c r="H112" s="720"/>
      <c r="I112" s="24">
        <f t="shared" si="26"/>
        <v>0</v>
      </c>
      <c r="J112" s="720"/>
      <c r="K112" s="24">
        <f t="shared" si="27"/>
        <v>0</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0.04</v>
      </c>
      <c r="H113" s="720"/>
      <c r="I113" s="24">
        <f t="shared" si="26"/>
        <v>0</v>
      </c>
      <c r="J113" s="720"/>
      <c r="K113" s="24">
        <f t="shared" si="27"/>
        <v>0</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0.04</v>
      </c>
      <c r="H114" s="720"/>
      <c r="I114" s="24">
        <f t="shared" si="26"/>
        <v>0</v>
      </c>
      <c r="J114" s="720"/>
      <c r="K114" s="24">
        <f t="shared" si="27"/>
        <v>0</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0.04</v>
      </c>
      <c r="H115" s="720"/>
      <c r="I115" s="24">
        <f t="shared" si="26"/>
        <v>0</v>
      </c>
      <c r="J115" s="720"/>
      <c r="K115" s="24">
        <f t="shared" si="27"/>
        <v>0</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0.04</v>
      </c>
      <c r="H116" s="720"/>
      <c r="I116" s="24">
        <f t="shared" si="26"/>
        <v>0</v>
      </c>
      <c r="J116" s="720"/>
      <c r="K116" s="24">
        <f t="shared" si="27"/>
        <v>0</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0.04</v>
      </c>
      <c r="H117" s="720"/>
      <c r="I117" s="24">
        <f t="shared" si="26"/>
        <v>0</v>
      </c>
      <c r="J117" s="720"/>
      <c r="K117" s="24">
        <f t="shared" si="27"/>
        <v>0</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0.04</v>
      </c>
      <c r="H118" s="720"/>
      <c r="I118" s="24">
        <f t="shared" si="26"/>
        <v>0</v>
      </c>
      <c r="J118" s="720"/>
      <c r="K118" s="24">
        <f t="shared" si="27"/>
        <v>0</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0.04</v>
      </c>
      <c r="H119" s="720"/>
      <c r="I119" s="24">
        <f t="shared" si="26"/>
        <v>0</v>
      </c>
      <c r="J119" s="720"/>
      <c r="K119" s="24">
        <f t="shared" si="27"/>
        <v>0</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0.04</v>
      </c>
      <c r="H120" s="720"/>
      <c r="I120" s="24">
        <f t="shared" si="26"/>
        <v>0</v>
      </c>
      <c r="J120" s="720"/>
      <c r="K120" s="24">
        <f t="shared" si="27"/>
        <v>0</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0.04</v>
      </c>
      <c r="H121" s="720"/>
      <c r="I121" s="24">
        <f t="shared" si="26"/>
        <v>0</v>
      </c>
      <c r="J121" s="720"/>
      <c r="K121" s="24">
        <f t="shared" si="27"/>
        <v>0</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0.04</v>
      </c>
      <c r="H122" s="720"/>
      <c r="I122" s="24">
        <f t="shared" si="26"/>
        <v>0</v>
      </c>
      <c r="J122" s="720"/>
      <c r="K122" s="24">
        <f t="shared" si="27"/>
        <v>0</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0.04</v>
      </c>
      <c r="H123" s="720"/>
      <c r="I123" s="24">
        <f t="shared" si="26"/>
        <v>0</v>
      </c>
      <c r="J123" s="720"/>
      <c r="K123" s="24">
        <f t="shared" si="27"/>
        <v>0</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0.04</v>
      </c>
      <c r="H124" s="720"/>
      <c r="I124" s="24">
        <f t="shared" si="26"/>
        <v>0</v>
      </c>
      <c r="J124" s="720"/>
      <c r="K124" s="24">
        <f t="shared" si="27"/>
        <v>0</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0.04</v>
      </c>
      <c r="H125" s="720"/>
      <c r="I125" s="24">
        <f t="shared" si="26"/>
        <v>0</v>
      </c>
      <c r="J125" s="720"/>
      <c r="K125" s="24">
        <f t="shared" si="27"/>
        <v>0</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0.04</v>
      </c>
      <c r="H126" s="720"/>
      <c r="I126" s="24">
        <f t="shared" si="26"/>
        <v>0</v>
      </c>
      <c r="J126" s="720"/>
      <c r="K126" s="24">
        <f t="shared" si="27"/>
        <v>0</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0.04</v>
      </c>
      <c r="H127" s="720"/>
      <c r="I127" s="24">
        <f t="shared" si="26"/>
        <v>0</v>
      </c>
      <c r="J127" s="720"/>
      <c r="K127" s="24">
        <f t="shared" si="27"/>
        <v>0</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0.04</v>
      </c>
      <c r="H128" s="720"/>
      <c r="I128" s="24">
        <f t="shared" si="26"/>
        <v>0</v>
      </c>
      <c r="J128" s="720"/>
      <c r="K128" s="24">
        <f t="shared" si="27"/>
        <v>0</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0.04</v>
      </c>
      <c r="H129" s="720"/>
      <c r="I129" s="24">
        <f t="shared" si="26"/>
        <v>0</v>
      </c>
      <c r="J129" s="720"/>
      <c r="K129" s="24">
        <f t="shared" si="27"/>
        <v>0</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0.04</v>
      </c>
      <c r="H130" s="720"/>
      <c r="I130" s="24">
        <f t="shared" si="26"/>
        <v>0</v>
      </c>
      <c r="J130" s="720"/>
      <c r="K130" s="24">
        <f t="shared" si="27"/>
        <v>0</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0.04</v>
      </c>
      <c r="H131" s="720"/>
      <c r="I131" s="24">
        <f t="shared" si="26"/>
        <v>0</v>
      </c>
      <c r="J131" s="720"/>
      <c r="K131" s="24">
        <f t="shared" si="27"/>
        <v>0</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0.04</v>
      </c>
      <c r="H132" s="720"/>
      <c r="I132" s="24">
        <f t="shared" si="26"/>
        <v>0</v>
      </c>
      <c r="J132" s="720"/>
      <c r="K132" s="24">
        <f t="shared" si="27"/>
        <v>0</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0.04</v>
      </c>
      <c r="H133" s="720"/>
      <c r="I133" s="24">
        <f t="shared" si="26"/>
        <v>0</v>
      </c>
      <c r="J133" s="720"/>
      <c r="K133" s="24">
        <f t="shared" si="27"/>
        <v>0</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0.04</v>
      </c>
      <c r="H134" s="720"/>
      <c r="I134" s="24">
        <f t="shared" si="26"/>
        <v>0</v>
      </c>
      <c r="J134" s="720"/>
      <c r="K134" s="24">
        <f t="shared" si="27"/>
        <v>0</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0.04</v>
      </c>
      <c r="H135" s="720"/>
      <c r="I135" s="24">
        <f t="shared" si="26"/>
        <v>0</v>
      </c>
      <c r="J135" s="720"/>
      <c r="K135" s="24">
        <f t="shared" si="27"/>
        <v>0</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0.04</v>
      </c>
      <c r="H136" s="720"/>
      <c r="I136" s="24">
        <f t="shared" si="26"/>
        <v>0</v>
      </c>
      <c r="J136" s="720"/>
      <c r="K136" s="24">
        <f t="shared" si="27"/>
        <v>0</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0.04</v>
      </c>
      <c r="H137" s="720"/>
      <c r="I137" s="24">
        <f t="shared" si="26"/>
        <v>0</v>
      </c>
      <c r="J137" s="720"/>
      <c r="K137" s="24">
        <f t="shared" si="27"/>
        <v>0</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0.04</v>
      </c>
      <c r="H138" s="720"/>
      <c r="I138" s="24">
        <f t="shared" si="26"/>
        <v>0</v>
      </c>
      <c r="J138" s="720"/>
      <c r="K138" s="24">
        <f t="shared" si="27"/>
        <v>0</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0.04</v>
      </c>
      <c r="H139" s="720"/>
      <c r="I139" s="24">
        <f t="shared" si="26"/>
        <v>0</v>
      </c>
      <c r="J139" s="720"/>
      <c r="K139" s="24">
        <f t="shared" si="27"/>
        <v>0</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0.04</v>
      </c>
      <c r="H140" s="720"/>
      <c r="I140" s="24">
        <f t="shared" si="26"/>
        <v>0</v>
      </c>
      <c r="J140" s="720"/>
      <c r="K140" s="24">
        <f t="shared" si="27"/>
        <v>0</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0.04</v>
      </c>
      <c r="H141" s="720"/>
      <c r="I141" s="24">
        <f t="shared" si="26"/>
        <v>0</v>
      </c>
      <c r="J141" s="720"/>
      <c r="K141" s="24">
        <f t="shared" si="27"/>
        <v>0</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0.04</v>
      </c>
      <c r="H142" s="720"/>
      <c r="I142" s="24">
        <f t="shared" si="26"/>
        <v>0</v>
      </c>
      <c r="J142" s="720"/>
      <c r="K142" s="24">
        <f t="shared" si="27"/>
        <v>0</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0.04</v>
      </c>
      <c r="H143" s="720"/>
      <c r="I143" s="24">
        <f t="shared" si="26"/>
        <v>0</v>
      </c>
      <c r="J143" s="720"/>
      <c r="K143" s="24">
        <f t="shared" si="27"/>
        <v>0</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0.04</v>
      </c>
      <c r="H144" s="720"/>
      <c r="I144" s="24">
        <f t="shared" si="26"/>
        <v>0</v>
      </c>
      <c r="J144" s="720"/>
      <c r="K144" s="24">
        <f t="shared" si="27"/>
        <v>0</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0.04</v>
      </c>
      <c r="H145" s="720"/>
      <c r="I145" s="24">
        <f t="shared" si="26"/>
        <v>0</v>
      </c>
      <c r="J145" s="720"/>
      <c r="K145" s="24">
        <f t="shared" si="27"/>
        <v>0</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0.04</v>
      </c>
      <c r="H146" s="720"/>
      <c r="I146" s="24">
        <f t="shared" si="26"/>
        <v>0</v>
      </c>
      <c r="J146" s="720"/>
      <c r="K146" s="24">
        <f t="shared" si="27"/>
        <v>0</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0.04</v>
      </c>
      <c r="H147" s="720"/>
      <c r="I147" s="24">
        <f t="shared" si="26"/>
        <v>0</v>
      </c>
      <c r="J147" s="720"/>
      <c r="K147" s="24">
        <f t="shared" si="27"/>
        <v>0</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0.04</v>
      </c>
      <c r="H148" s="720"/>
      <c r="I148" s="24">
        <f t="shared" si="26"/>
        <v>0</v>
      </c>
      <c r="J148" s="720"/>
      <c r="K148" s="24">
        <f t="shared" si="27"/>
        <v>0</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0.04</v>
      </c>
      <c r="H149" s="720"/>
      <c r="I149" s="24">
        <f t="shared" si="26"/>
        <v>0</v>
      </c>
      <c r="J149" s="720"/>
      <c r="K149" s="24">
        <f t="shared" si="27"/>
        <v>0</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0.04</v>
      </c>
      <c r="H150" s="720"/>
      <c r="I150" s="24">
        <f t="shared" si="26"/>
        <v>0</v>
      </c>
      <c r="J150" s="720"/>
      <c r="K150" s="24">
        <f t="shared" si="27"/>
        <v>0</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0.04</v>
      </c>
      <c r="H151" s="720"/>
      <c r="I151" s="24">
        <f t="shared" si="26"/>
        <v>0</v>
      </c>
      <c r="J151" s="720"/>
      <c r="K151" s="24">
        <f t="shared" si="27"/>
        <v>0</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0.04</v>
      </c>
      <c r="H152" s="720"/>
      <c r="I152" s="24">
        <f t="shared" si="26"/>
        <v>0</v>
      </c>
      <c r="J152" s="720"/>
      <c r="K152" s="24">
        <f t="shared" si="27"/>
        <v>0</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0.04</v>
      </c>
      <c r="H153" s="720"/>
      <c r="I153" s="24">
        <f t="shared" si="26"/>
        <v>0</v>
      </c>
      <c r="J153" s="720"/>
      <c r="K153" s="24">
        <f t="shared" si="27"/>
        <v>0</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0.04</v>
      </c>
      <c r="H154" s="720"/>
      <c r="I154" s="24">
        <f t="shared" ref="I154:I217" si="36">(SUMIF($9:$9,H154,$10:$10)-SUMIF($9:$9,$H$24,$10:$10)+100)/100</f>
        <v>0</v>
      </c>
      <c r="J154" s="720"/>
      <c r="K154" s="24">
        <f t="shared" ref="K154:K217" si="37">(SUMIF($11:$11,J154,$12:$12)-SUMIF($11:$11,$J$24,$12:$12)+100)/100</f>
        <v>0</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0.04</v>
      </c>
      <c r="H155" s="720"/>
      <c r="I155" s="24">
        <f t="shared" si="36"/>
        <v>0</v>
      </c>
      <c r="J155" s="720"/>
      <c r="K155" s="24">
        <f t="shared" si="37"/>
        <v>0</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0.04</v>
      </c>
      <c r="H156" s="720"/>
      <c r="I156" s="24">
        <f t="shared" si="36"/>
        <v>0</v>
      </c>
      <c r="J156" s="720"/>
      <c r="K156" s="24">
        <f t="shared" si="37"/>
        <v>0</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0.04</v>
      </c>
      <c r="H157" s="720"/>
      <c r="I157" s="24">
        <f t="shared" si="36"/>
        <v>0</v>
      </c>
      <c r="J157" s="720"/>
      <c r="K157" s="24">
        <f t="shared" si="37"/>
        <v>0</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0.04</v>
      </c>
      <c r="H158" s="720"/>
      <c r="I158" s="24">
        <f t="shared" si="36"/>
        <v>0</v>
      </c>
      <c r="J158" s="720"/>
      <c r="K158" s="24">
        <f t="shared" si="37"/>
        <v>0</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0.04</v>
      </c>
      <c r="H159" s="720"/>
      <c r="I159" s="24">
        <f t="shared" si="36"/>
        <v>0</v>
      </c>
      <c r="J159" s="720"/>
      <c r="K159" s="24">
        <f t="shared" si="37"/>
        <v>0</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0.04</v>
      </c>
      <c r="H160" s="720"/>
      <c r="I160" s="24">
        <f t="shared" si="36"/>
        <v>0</v>
      </c>
      <c r="J160" s="720"/>
      <c r="K160" s="24">
        <f t="shared" si="37"/>
        <v>0</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0.04</v>
      </c>
      <c r="H161" s="720"/>
      <c r="I161" s="24">
        <f t="shared" si="36"/>
        <v>0</v>
      </c>
      <c r="J161" s="720"/>
      <c r="K161" s="24">
        <f t="shared" si="37"/>
        <v>0</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0.04</v>
      </c>
      <c r="H162" s="720"/>
      <c r="I162" s="24">
        <f t="shared" si="36"/>
        <v>0</v>
      </c>
      <c r="J162" s="720"/>
      <c r="K162" s="24">
        <f t="shared" si="37"/>
        <v>0</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0.04</v>
      </c>
      <c r="H163" s="720"/>
      <c r="I163" s="24">
        <f t="shared" si="36"/>
        <v>0</v>
      </c>
      <c r="J163" s="720"/>
      <c r="K163" s="24">
        <f t="shared" si="37"/>
        <v>0</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0.04</v>
      </c>
      <c r="H164" s="720"/>
      <c r="I164" s="24">
        <f t="shared" si="36"/>
        <v>0</v>
      </c>
      <c r="J164" s="720"/>
      <c r="K164" s="24">
        <f t="shared" si="37"/>
        <v>0</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0.04</v>
      </c>
      <c r="H165" s="720"/>
      <c r="I165" s="24">
        <f t="shared" si="36"/>
        <v>0</v>
      </c>
      <c r="J165" s="720"/>
      <c r="K165" s="24">
        <f t="shared" si="37"/>
        <v>0</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0.04</v>
      </c>
      <c r="H166" s="720"/>
      <c r="I166" s="24">
        <f t="shared" si="36"/>
        <v>0</v>
      </c>
      <c r="J166" s="720"/>
      <c r="K166" s="24">
        <f t="shared" si="37"/>
        <v>0</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0.04</v>
      </c>
      <c r="H167" s="720"/>
      <c r="I167" s="24">
        <f t="shared" si="36"/>
        <v>0</v>
      </c>
      <c r="J167" s="720"/>
      <c r="K167" s="24">
        <f t="shared" si="37"/>
        <v>0</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0.04</v>
      </c>
      <c r="H168" s="720"/>
      <c r="I168" s="24">
        <f t="shared" si="36"/>
        <v>0</v>
      </c>
      <c r="J168" s="720"/>
      <c r="K168" s="24">
        <f t="shared" si="37"/>
        <v>0</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0.04</v>
      </c>
      <c r="H169" s="720"/>
      <c r="I169" s="24">
        <f t="shared" si="36"/>
        <v>0</v>
      </c>
      <c r="J169" s="720"/>
      <c r="K169" s="24">
        <f t="shared" si="37"/>
        <v>0</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0.04</v>
      </c>
      <c r="H170" s="720"/>
      <c r="I170" s="24">
        <f t="shared" si="36"/>
        <v>0</v>
      </c>
      <c r="J170" s="720"/>
      <c r="K170" s="24">
        <f t="shared" si="37"/>
        <v>0</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0.04</v>
      </c>
      <c r="H171" s="720"/>
      <c r="I171" s="24">
        <f t="shared" si="36"/>
        <v>0</v>
      </c>
      <c r="J171" s="720"/>
      <c r="K171" s="24">
        <f t="shared" si="37"/>
        <v>0</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0.04</v>
      </c>
      <c r="H172" s="720"/>
      <c r="I172" s="24">
        <f t="shared" si="36"/>
        <v>0</v>
      </c>
      <c r="J172" s="720"/>
      <c r="K172" s="24">
        <f t="shared" si="37"/>
        <v>0</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0.04</v>
      </c>
      <c r="H173" s="720"/>
      <c r="I173" s="24">
        <f t="shared" si="36"/>
        <v>0</v>
      </c>
      <c r="J173" s="720"/>
      <c r="K173" s="24">
        <f t="shared" si="37"/>
        <v>0</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0.04</v>
      </c>
      <c r="H174" s="720"/>
      <c r="I174" s="24">
        <f t="shared" si="36"/>
        <v>0</v>
      </c>
      <c r="J174" s="720"/>
      <c r="K174" s="24">
        <f t="shared" si="37"/>
        <v>0</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0.04</v>
      </c>
      <c r="H175" s="720"/>
      <c r="I175" s="24">
        <f t="shared" si="36"/>
        <v>0</v>
      </c>
      <c r="J175" s="720"/>
      <c r="K175" s="24">
        <f t="shared" si="37"/>
        <v>0</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0.04</v>
      </c>
      <c r="H176" s="720"/>
      <c r="I176" s="24">
        <f t="shared" si="36"/>
        <v>0</v>
      </c>
      <c r="J176" s="720"/>
      <c r="K176" s="24">
        <f t="shared" si="37"/>
        <v>0</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0.04</v>
      </c>
      <c r="H177" s="720"/>
      <c r="I177" s="24">
        <f t="shared" si="36"/>
        <v>0</v>
      </c>
      <c r="J177" s="720"/>
      <c r="K177" s="24">
        <f t="shared" si="37"/>
        <v>0</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0.04</v>
      </c>
      <c r="H178" s="720"/>
      <c r="I178" s="24">
        <f t="shared" si="36"/>
        <v>0</v>
      </c>
      <c r="J178" s="720"/>
      <c r="K178" s="24">
        <f t="shared" si="37"/>
        <v>0</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0.04</v>
      </c>
      <c r="H179" s="720"/>
      <c r="I179" s="24">
        <f t="shared" si="36"/>
        <v>0</v>
      </c>
      <c r="J179" s="720"/>
      <c r="K179" s="24">
        <f t="shared" si="37"/>
        <v>0</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0.04</v>
      </c>
      <c r="H180" s="720"/>
      <c r="I180" s="24">
        <f t="shared" si="36"/>
        <v>0</v>
      </c>
      <c r="J180" s="720"/>
      <c r="K180" s="24">
        <f t="shared" si="37"/>
        <v>0</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0.04</v>
      </c>
      <c r="H181" s="720"/>
      <c r="I181" s="24">
        <f t="shared" si="36"/>
        <v>0</v>
      </c>
      <c r="J181" s="720"/>
      <c r="K181" s="24">
        <f t="shared" si="37"/>
        <v>0</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0.04</v>
      </c>
      <c r="H182" s="720"/>
      <c r="I182" s="24">
        <f t="shared" si="36"/>
        <v>0</v>
      </c>
      <c r="J182" s="720"/>
      <c r="K182" s="24">
        <f t="shared" si="37"/>
        <v>0</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0.04</v>
      </c>
      <c r="H183" s="720"/>
      <c r="I183" s="24">
        <f t="shared" si="36"/>
        <v>0</v>
      </c>
      <c r="J183" s="720"/>
      <c r="K183" s="24">
        <f t="shared" si="37"/>
        <v>0</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0.04</v>
      </c>
      <c r="H184" s="720"/>
      <c r="I184" s="24">
        <f t="shared" si="36"/>
        <v>0</v>
      </c>
      <c r="J184" s="720"/>
      <c r="K184" s="24">
        <f t="shared" si="37"/>
        <v>0</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0.04</v>
      </c>
      <c r="H185" s="720"/>
      <c r="I185" s="24">
        <f t="shared" si="36"/>
        <v>0</v>
      </c>
      <c r="J185" s="720"/>
      <c r="K185" s="24">
        <f t="shared" si="37"/>
        <v>0</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0.04</v>
      </c>
      <c r="H186" s="720"/>
      <c r="I186" s="24">
        <f t="shared" si="36"/>
        <v>0</v>
      </c>
      <c r="J186" s="720"/>
      <c r="K186" s="24">
        <f t="shared" si="37"/>
        <v>0</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0.04</v>
      </c>
      <c r="H187" s="720"/>
      <c r="I187" s="24">
        <f t="shared" si="36"/>
        <v>0</v>
      </c>
      <c r="J187" s="720"/>
      <c r="K187" s="24">
        <f t="shared" si="37"/>
        <v>0</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0.04</v>
      </c>
      <c r="H188" s="720"/>
      <c r="I188" s="24">
        <f t="shared" si="36"/>
        <v>0</v>
      </c>
      <c r="J188" s="720"/>
      <c r="K188" s="24">
        <f t="shared" si="37"/>
        <v>0</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0.04</v>
      </c>
      <c r="H189" s="720"/>
      <c r="I189" s="24">
        <f t="shared" si="36"/>
        <v>0</v>
      </c>
      <c r="J189" s="720"/>
      <c r="K189" s="24">
        <f t="shared" si="37"/>
        <v>0</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0.04</v>
      </c>
      <c r="H190" s="720"/>
      <c r="I190" s="24">
        <f t="shared" si="36"/>
        <v>0</v>
      </c>
      <c r="J190" s="720"/>
      <c r="K190" s="24">
        <f t="shared" si="37"/>
        <v>0</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0.04</v>
      </c>
      <c r="H191" s="720"/>
      <c r="I191" s="24">
        <f t="shared" si="36"/>
        <v>0</v>
      </c>
      <c r="J191" s="720"/>
      <c r="K191" s="24">
        <f t="shared" si="37"/>
        <v>0</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0.04</v>
      </c>
      <c r="H192" s="720"/>
      <c r="I192" s="24">
        <f t="shared" si="36"/>
        <v>0</v>
      </c>
      <c r="J192" s="720"/>
      <c r="K192" s="24">
        <f t="shared" si="37"/>
        <v>0</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0.04</v>
      </c>
      <c r="H193" s="720"/>
      <c r="I193" s="24">
        <f t="shared" si="36"/>
        <v>0</v>
      </c>
      <c r="J193" s="720"/>
      <c r="K193" s="24">
        <f t="shared" si="37"/>
        <v>0</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0.04</v>
      </c>
      <c r="H194" s="720"/>
      <c r="I194" s="24">
        <f t="shared" si="36"/>
        <v>0</v>
      </c>
      <c r="J194" s="720"/>
      <c r="K194" s="24">
        <f t="shared" si="37"/>
        <v>0</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0.04</v>
      </c>
      <c r="H195" s="720"/>
      <c r="I195" s="24">
        <f t="shared" si="36"/>
        <v>0</v>
      </c>
      <c r="J195" s="720"/>
      <c r="K195" s="24">
        <f t="shared" si="37"/>
        <v>0</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0.04</v>
      </c>
      <c r="H196" s="720"/>
      <c r="I196" s="24">
        <f t="shared" si="36"/>
        <v>0</v>
      </c>
      <c r="J196" s="720"/>
      <c r="K196" s="24">
        <f t="shared" si="37"/>
        <v>0</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0.04</v>
      </c>
      <c r="H197" s="720"/>
      <c r="I197" s="24">
        <f t="shared" si="36"/>
        <v>0</v>
      </c>
      <c r="J197" s="720"/>
      <c r="K197" s="24">
        <f t="shared" si="37"/>
        <v>0</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0.04</v>
      </c>
      <c r="H198" s="720"/>
      <c r="I198" s="24">
        <f t="shared" si="36"/>
        <v>0</v>
      </c>
      <c r="J198" s="720"/>
      <c r="K198" s="24">
        <f t="shared" si="37"/>
        <v>0</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0.04</v>
      </c>
      <c r="H199" s="720"/>
      <c r="I199" s="24">
        <f t="shared" si="36"/>
        <v>0</v>
      </c>
      <c r="J199" s="720"/>
      <c r="K199" s="24">
        <f t="shared" si="37"/>
        <v>0</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0.04</v>
      </c>
      <c r="H200" s="720"/>
      <c r="I200" s="24">
        <f t="shared" si="36"/>
        <v>0</v>
      </c>
      <c r="J200" s="720"/>
      <c r="K200" s="24">
        <f t="shared" si="37"/>
        <v>0</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0.04</v>
      </c>
      <c r="H201" s="720"/>
      <c r="I201" s="24">
        <f t="shared" si="36"/>
        <v>0</v>
      </c>
      <c r="J201" s="720"/>
      <c r="K201" s="24">
        <f t="shared" si="37"/>
        <v>0</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0.04</v>
      </c>
      <c r="H202" s="720"/>
      <c r="I202" s="24">
        <f t="shared" si="36"/>
        <v>0</v>
      </c>
      <c r="J202" s="720"/>
      <c r="K202" s="24">
        <f t="shared" si="37"/>
        <v>0</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0.04</v>
      </c>
      <c r="H203" s="720"/>
      <c r="I203" s="24">
        <f t="shared" si="36"/>
        <v>0</v>
      </c>
      <c r="J203" s="720"/>
      <c r="K203" s="24">
        <f t="shared" si="37"/>
        <v>0</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0.04</v>
      </c>
      <c r="H204" s="720"/>
      <c r="I204" s="24">
        <f t="shared" si="36"/>
        <v>0</v>
      </c>
      <c r="J204" s="720"/>
      <c r="K204" s="24">
        <f t="shared" si="37"/>
        <v>0</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0.04</v>
      </c>
      <c r="H205" s="720"/>
      <c r="I205" s="24">
        <f t="shared" si="36"/>
        <v>0</v>
      </c>
      <c r="J205" s="720"/>
      <c r="K205" s="24">
        <f t="shared" si="37"/>
        <v>0</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0.04</v>
      </c>
      <c r="H206" s="720"/>
      <c r="I206" s="24">
        <f t="shared" si="36"/>
        <v>0</v>
      </c>
      <c r="J206" s="720"/>
      <c r="K206" s="24">
        <f t="shared" si="37"/>
        <v>0</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0.04</v>
      </c>
      <c r="H207" s="720"/>
      <c r="I207" s="24">
        <f t="shared" si="36"/>
        <v>0</v>
      </c>
      <c r="J207" s="720"/>
      <c r="K207" s="24">
        <f t="shared" si="37"/>
        <v>0</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0.04</v>
      </c>
      <c r="H208" s="720"/>
      <c r="I208" s="24">
        <f t="shared" si="36"/>
        <v>0</v>
      </c>
      <c r="J208" s="720"/>
      <c r="K208" s="24">
        <f t="shared" si="37"/>
        <v>0</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0.04</v>
      </c>
      <c r="H209" s="720"/>
      <c r="I209" s="24">
        <f t="shared" si="36"/>
        <v>0</v>
      </c>
      <c r="J209" s="720"/>
      <c r="K209" s="24">
        <f t="shared" si="37"/>
        <v>0</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0.04</v>
      </c>
      <c r="H210" s="720"/>
      <c r="I210" s="24">
        <f t="shared" si="36"/>
        <v>0</v>
      </c>
      <c r="J210" s="720"/>
      <c r="K210" s="24">
        <f t="shared" si="37"/>
        <v>0</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0.04</v>
      </c>
      <c r="H211" s="720"/>
      <c r="I211" s="24">
        <f t="shared" si="36"/>
        <v>0</v>
      </c>
      <c r="J211" s="720"/>
      <c r="K211" s="24">
        <f t="shared" si="37"/>
        <v>0</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0.04</v>
      </c>
      <c r="H212" s="720"/>
      <c r="I212" s="24">
        <f t="shared" si="36"/>
        <v>0</v>
      </c>
      <c r="J212" s="720"/>
      <c r="K212" s="24">
        <f t="shared" si="37"/>
        <v>0</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0.04</v>
      </c>
      <c r="H213" s="720"/>
      <c r="I213" s="24">
        <f t="shared" si="36"/>
        <v>0</v>
      </c>
      <c r="J213" s="720"/>
      <c r="K213" s="24">
        <f t="shared" si="37"/>
        <v>0</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0.04</v>
      </c>
      <c r="H214" s="720"/>
      <c r="I214" s="24">
        <f t="shared" si="36"/>
        <v>0</v>
      </c>
      <c r="J214" s="720"/>
      <c r="K214" s="24">
        <f t="shared" si="37"/>
        <v>0</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0.04</v>
      </c>
      <c r="H215" s="720"/>
      <c r="I215" s="24">
        <f t="shared" si="36"/>
        <v>0</v>
      </c>
      <c r="J215" s="720"/>
      <c r="K215" s="24">
        <f t="shared" si="37"/>
        <v>0</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0.04</v>
      </c>
      <c r="H216" s="720"/>
      <c r="I216" s="24">
        <f t="shared" si="36"/>
        <v>0</v>
      </c>
      <c r="J216" s="720"/>
      <c r="K216" s="24">
        <f t="shared" si="37"/>
        <v>0</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0.04</v>
      </c>
      <c r="H217" s="720"/>
      <c r="I217" s="24">
        <f t="shared" si="36"/>
        <v>0</v>
      </c>
      <c r="J217" s="720"/>
      <c r="K217" s="24">
        <f t="shared" si="37"/>
        <v>0</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0.04</v>
      </c>
      <c r="H218" s="720"/>
      <c r="I218" s="24">
        <f t="shared" ref="I218:I281" si="46">(SUMIF($9:$9,H218,$10:$10)-SUMIF($9:$9,$H$24,$10:$10)+100)/100</f>
        <v>0</v>
      </c>
      <c r="J218" s="720"/>
      <c r="K218" s="24">
        <f t="shared" ref="K218:K281" si="47">(SUMIF($11:$11,J218,$12:$12)-SUMIF($11:$11,$J$24,$12:$12)+100)/100</f>
        <v>0</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0.04</v>
      </c>
      <c r="H219" s="720"/>
      <c r="I219" s="24">
        <f t="shared" si="46"/>
        <v>0</v>
      </c>
      <c r="J219" s="720"/>
      <c r="K219" s="24">
        <f t="shared" si="47"/>
        <v>0</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0.04</v>
      </c>
      <c r="H220" s="720"/>
      <c r="I220" s="24">
        <f t="shared" si="46"/>
        <v>0</v>
      </c>
      <c r="J220" s="720"/>
      <c r="K220" s="24">
        <f t="shared" si="47"/>
        <v>0</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0.04</v>
      </c>
      <c r="H221" s="720"/>
      <c r="I221" s="24">
        <f t="shared" si="46"/>
        <v>0</v>
      </c>
      <c r="J221" s="720"/>
      <c r="K221" s="24">
        <f t="shared" si="47"/>
        <v>0</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0.04</v>
      </c>
      <c r="H222" s="720"/>
      <c r="I222" s="24">
        <f t="shared" si="46"/>
        <v>0</v>
      </c>
      <c r="J222" s="720"/>
      <c r="K222" s="24">
        <f t="shared" si="47"/>
        <v>0</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0.04</v>
      </c>
      <c r="H223" s="720"/>
      <c r="I223" s="24">
        <f t="shared" si="46"/>
        <v>0</v>
      </c>
      <c r="J223" s="720"/>
      <c r="K223" s="24">
        <f t="shared" si="47"/>
        <v>0</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0.04</v>
      </c>
      <c r="H224" s="720"/>
      <c r="I224" s="24">
        <f t="shared" si="46"/>
        <v>0</v>
      </c>
      <c r="J224" s="720"/>
      <c r="K224" s="24">
        <f t="shared" si="47"/>
        <v>0</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0.04</v>
      </c>
      <c r="H225" s="720"/>
      <c r="I225" s="24">
        <f t="shared" si="46"/>
        <v>0</v>
      </c>
      <c r="J225" s="720"/>
      <c r="K225" s="24">
        <f t="shared" si="47"/>
        <v>0</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0.04</v>
      </c>
      <c r="H226" s="720"/>
      <c r="I226" s="24">
        <f t="shared" si="46"/>
        <v>0</v>
      </c>
      <c r="J226" s="720"/>
      <c r="K226" s="24">
        <f t="shared" si="47"/>
        <v>0</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0.04</v>
      </c>
      <c r="H227" s="720"/>
      <c r="I227" s="24">
        <f t="shared" si="46"/>
        <v>0</v>
      </c>
      <c r="J227" s="720"/>
      <c r="K227" s="24">
        <f t="shared" si="47"/>
        <v>0</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0.04</v>
      </c>
      <c r="H228" s="720"/>
      <c r="I228" s="24">
        <f t="shared" si="46"/>
        <v>0</v>
      </c>
      <c r="J228" s="720"/>
      <c r="K228" s="24">
        <f t="shared" si="47"/>
        <v>0</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0.04</v>
      </c>
      <c r="H229" s="720"/>
      <c r="I229" s="24">
        <f t="shared" si="46"/>
        <v>0</v>
      </c>
      <c r="J229" s="720"/>
      <c r="K229" s="24">
        <f t="shared" si="47"/>
        <v>0</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0.04</v>
      </c>
      <c r="H230" s="720"/>
      <c r="I230" s="24">
        <f t="shared" si="46"/>
        <v>0</v>
      </c>
      <c r="J230" s="720"/>
      <c r="K230" s="24">
        <f t="shared" si="47"/>
        <v>0</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0.04</v>
      </c>
      <c r="H231" s="720"/>
      <c r="I231" s="24">
        <f t="shared" si="46"/>
        <v>0</v>
      </c>
      <c r="J231" s="720"/>
      <c r="K231" s="24">
        <f t="shared" si="47"/>
        <v>0</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0.04</v>
      </c>
      <c r="H232" s="720"/>
      <c r="I232" s="24">
        <f t="shared" si="46"/>
        <v>0</v>
      </c>
      <c r="J232" s="720"/>
      <c r="K232" s="24">
        <f t="shared" si="47"/>
        <v>0</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0.04</v>
      </c>
      <c r="H233" s="720"/>
      <c r="I233" s="24">
        <f t="shared" si="46"/>
        <v>0</v>
      </c>
      <c r="J233" s="720"/>
      <c r="K233" s="24">
        <f t="shared" si="47"/>
        <v>0</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0.04</v>
      </c>
      <c r="H234" s="720"/>
      <c r="I234" s="24">
        <f t="shared" si="46"/>
        <v>0</v>
      </c>
      <c r="J234" s="720"/>
      <c r="K234" s="24">
        <f t="shared" si="47"/>
        <v>0</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0.04</v>
      </c>
      <c r="H235" s="720"/>
      <c r="I235" s="24">
        <f t="shared" si="46"/>
        <v>0</v>
      </c>
      <c r="J235" s="720"/>
      <c r="K235" s="24">
        <f t="shared" si="47"/>
        <v>0</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0.04</v>
      </c>
      <c r="H236" s="720"/>
      <c r="I236" s="24">
        <f t="shared" si="46"/>
        <v>0</v>
      </c>
      <c r="J236" s="720"/>
      <c r="K236" s="24">
        <f t="shared" si="47"/>
        <v>0</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0.04</v>
      </c>
      <c r="H237" s="720"/>
      <c r="I237" s="24">
        <f t="shared" si="46"/>
        <v>0</v>
      </c>
      <c r="J237" s="720"/>
      <c r="K237" s="24">
        <f t="shared" si="47"/>
        <v>0</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0.04</v>
      </c>
      <c r="H238" s="720"/>
      <c r="I238" s="24">
        <f t="shared" si="46"/>
        <v>0</v>
      </c>
      <c r="J238" s="720"/>
      <c r="K238" s="24">
        <f t="shared" si="47"/>
        <v>0</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0.04</v>
      </c>
      <c r="H239" s="720"/>
      <c r="I239" s="24">
        <f t="shared" si="46"/>
        <v>0</v>
      </c>
      <c r="J239" s="720"/>
      <c r="K239" s="24">
        <f t="shared" si="47"/>
        <v>0</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0.04</v>
      </c>
      <c r="H240" s="720"/>
      <c r="I240" s="24">
        <f t="shared" si="46"/>
        <v>0</v>
      </c>
      <c r="J240" s="720"/>
      <c r="K240" s="24">
        <f t="shared" si="47"/>
        <v>0</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0.04</v>
      </c>
      <c r="H241" s="720"/>
      <c r="I241" s="24">
        <f t="shared" si="46"/>
        <v>0</v>
      </c>
      <c r="J241" s="720"/>
      <c r="K241" s="24">
        <f t="shared" si="47"/>
        <v>0</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0.04</v>
      </c>
      <c r="H242" s="720"/>
      <c r="I242" s="24">
        <f t="shared" si="46"/>
        <v>0</v>
      </c>
      <c r="J242" s="720"/>
      <c r="K242" s="24">
        <f t="shared" si="47"/>
        <v>0</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0.04</v>
      </c>
      <c r="H243" s="720"/>
      <c r="I243" s="24">
        <f t="shared" si="46"/>
        <v>0</v>
      </c>
      <c r="J243" s="720"/>
      <c r="K243" s="24">
        <f t="shared" si="47"/>
        <v>0</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0.04</v>
      </c>
      <c r="H244" s="720"/>
      <c r="I244" s="24">
        <f t="shared" si="46"/>
        <v>0</v>
      </c>
      <c r="J244" s="720"/>
      <c r="K244" s="24">
        <f t="shared" si="47"/>
        <v>0</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0.04</v>
      </c>
      <c r="H245" s="720"/>
      <c r="I245" s="24">
        <f t="shared" si="46"/>
        <v>0</v>
      </c>
      <c r="J245" s="720"/>
      <c r="K245" s="24">
        <f t="shared" si="47"/>
        <v>0</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0.04</v>
      </c>
      <c r="H246" s="720"/>
      <c r="I246" s="24">
        <f t="shared" si="46"/>
        <v>0</v>
      </c>
      <c r="J246" s="720"/>
      <c r="K246" s="24">
        <f t="shared" si="47"/>
        <v>0</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0.04</v>
      </c>
      <c r="H247" s="720"/>
      <c r="I247" s="24">
        <f t="shared" si="46"/>
        <v>0</v>
      </c>
      <c r="J247" s="720"/>
      <c r="K247" s="24">
        <f t="shared" si="47"/>
        <v>0</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0.04</v>
      </c>
      <c r="H248" s="720"/>
      <c r="I248" s="24">
        <f t="shared" si="46"/>
        <v>0</v>
      </c>
      <c r="J248" s="720"/>
      <c r="K248" s="24">
        <f t="shared" si="47"/>
        <v>0</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0.04</v>
      </c>
      <c r="H249" s="720"/>
      <c r="I249" s="24">
        <f t="shared" si="46"/>
        <v>0</v>
      </c>
      <c r="J249" s="720"/>
      <c r="K249" s="24">
        <f t="shared" si="47"/>
        <v>0</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0.04</v>
      </c>
      <c r="H250" s="720"/>
      <c r="I250" s="24">
        <f t="shared" si="46"/>
        <v>0</v>
      </c>
      <c r="J250" s="720"/>
      <c r="K250" s="24">
        <f t="shared" si="47"/>
        <v>0</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0.04</v>
      </c>
      <c r="H251" s="720"/>
      <c r="I251" s="24">
        <f t="shared" si="46"/>
        <v>0</v>
      </c>
      <c r="J251" s="720"/>
      <c r="K251" s="24">
        <f t="shared" si="47"/>
        <v>0</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0.04</v>
      </c>
      <c r="H252" s="720"/>
      <c r="I252" s="24">
        <f t="shared" si="46"/>
        <v>0</v>
      </c>
      <c r="J252" s="720"/>
      <c r="K252" s="24">
        <f t="shared" si="47"/>
        <v>0</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0.04</v>
      </c>
      <c r="H253" s="720"/>
      <c r="I253" s="24">
        <f t="shared" si="46"/>
        <v>0</v>
      </c>
      <c r="J253" s="720"/>
      <c r="K253" s="24">
        <f t="shared" si="47"/>
        <v>0</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0.04</v>
      </c>
      <c r="H254" s="720"/>
      <c r="I254" s="24">
        <f t="shared" si="46"/>
        <v>0</v>
      </c>
      <c r="J254" s="720"/>
      <c r="K254" s="24">
        <f t="shared" si="47"/>
        <v>0</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0.04</v>
      </c>
      <c r="H255" s="720"/>
      <c r="I255" s="24">
        <f t="shared" si="46"/>
        <v>0</v>
      </c>
      <c r="J255" s="720"/>
      <c r="K255" s="24">
        <f t="shared" si="47"/>
        <v>0</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0.04</v>
      </c>
      <c r="H256" s="720"/>
      <c r="I256" s="24">
        <f t="shared" si="46"/>
        <v>0</v>
      </c>
      <c r="J256" s="720"/>
      <c r="K256" s="24">
        <f t="shared" si="47"/>
        <v>0</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0.04</v>
      </c>
      <c r="H257" s="720"/>
      <c r="I257" s="24">
        <f t="shared" si="46"/>
        <v>0</v>
      </c>
      <c r="J257" s="720"/>
      <c r="K257" s="24">
        <f t="shared" si="47"/>
        <v>0</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0.04</v>
      </c>
      <c r="H258" s="720"/>
      <c r="I258" s="24">
        <f t="shared" si="46"/>
        <v>0</v>
      </c>
      <c r="J258" s="720"/>
      <c r="K258" s="24">
        <f t="shared" si="47"/>
        <v>0</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0.04</v>
      </c>
      <c r="H259" s="720"/>
      <c r="I259" s="24">
        <f t="shared" si="46"/>
        <v>0</v>
      </c>
      <c r="J259" s="720"/>
      <c r="K259" s="24">
        <f t="shared" si="47"/>
        <v>0</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0.04</v>
      </c>
      <c r="H260" s="720"/>
      <c r="I260" s="24">
        <f t="shared" si="46"/>
        <v>0</v>
      </c>
      <c r="J260" s="720"/>
      <c r="K260" s="24">
        <f t="shared" si="47"/>
        <v>0</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0.04</v>
      </c>
      <c r="H261" s="720"/>
      <c r="I261" s="24">
        <f t="shared" si="46"/>
        <v>0</v>
      </c>
      <c r="J261" s="720"/>
      <c r="K261" s="24">
        <f t="shared" si="47"/>
        <v>0</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0.04</v>
      </c>
      <c r="H262" s="720"/>
      <c r="I262" s="24">
        <f t="shared" si="46"/>
        <v>0</v>
      </c>
      <c r="J262" s="720"/>
      <c r="K262" s="24">
        <f t="shared" si="47"/>
        <v>0</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0.04</v>
      </c>
      <c r="H263" s="720"/>
      <c r="I263" s="24">
        <f t="shared" si="46"/>
        <v>0</v>
      </c>
      <c r="J263" s="720"/>
      <c r="K263" s="24">
        <f t="shared" si="47"/>
        <v>0</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0.04</v>
      </c>
      <c r="H264" s="720"/>
      <c r="I264" s="24">
        <f t="shared" si="46"/>
        <v>0</v>
      </c>
      <c r="J264" s="720"/>
      <c r="K264" s="24">
        <f t="shared" si="47"/>
        <v>0</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0.04</v>
      </c>
      <c r="H265" s="720"/>
      <c r="I265" s="24">
        <f t="shared" si="46"/>
        <v>0</v>
      </c>
      <c r="J265" s="720"/>
      <c r="K265" s="24">
        <f t="shared" si="47"/>
        <v>0</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0.04</v>
      </c>
      <c r="H266" s="720"/>
      <c r="I266" s="24">
        <f t="shared" si="46"/>
        <v>0</v>
      </c>
      <c r="J266" s="720"/>
      <c r="K266" s="24">
        <f t="shared" si="47"/>
        <v>0</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0.04</v>
      </c>
      <c r="H267" s="720"/>
      <c r="I267" s="24">
        <f t="shared" si="46"/>
        <v>0</v>
      </c>
      <c r="J267" s="720"/>
      <c r="K267" s="24">
        <f t="shared" si="47"/>
        <v>0</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0.04</v>
      </c>
      <c r="H268" s="720"/>
      <c r="I268" s="24">
        <f t="shared" si="46"/>
        <v>0</v>
      </c>
      <c r="J268" s="720"/>
      <c r="K268" s="24">
        <f t="shared" si="47"/>
        <v>0</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0.04</v>
      </c>
      <c r="H269" s="720"/>
      <c r="I269" s="24">
        <f t="shared" si="46"/>
        <v>0</v>
      </c>
      <c r="J269" s="720"/>
      <c r="K269" s="24">
        <f t="shared" si="47"/>
        <v>0</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0.04</v>
      </c>
      <c r="H270" s="720"/>
      <c r="I270" s="24">
        <f t="shared" si="46"/>
        <v>0</v>
      </c>
      <c r="J270" s="720"/>
      <c r="K270" s="24">
        <f t="shared" si="47"/>
        <v>0</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0.04</v>
      </c>
      <c r="H271" s="720"/>
      <c r="I271" s="24">
        <f t="shared" si="46"/>
        <v>0</v>
      </c>
      <c r="J271" s="720"/>
      <c r="K271" s="24">
        <f t="shared" si="47"/>
        <v>0</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0.04</v>
      </c>
      <c r="H272" s="720"/>
      <c r="I272" s="24">
        <f t="shared" si="46"/>
        <v>0</v>
      </c>
      <c r="J272" s="720"/>
      <c r="K272" s="24">
        <f t="shared" si="47"/>
        <v>0</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0.04</v>
      </c>
      <c r="H273" s="720"/>
      <c r="I273" s="24">
        <f t="shared" si="46"/>
        <v>0</v>
      </c>
      <c r="J273" s="720"/>
      <c r="K273" s="24">
        <f t="shared" si="47"/>
        <v>0</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0.04</v>
      </c>
      <c r="H274" s="720"/>
      <c r="I274" s="24">
        <f t="shared" si="46"/>
        <v>0</v>
      </c>
      <c r="J274" s="720"/>
      <c r="K274" s="24">
        <f t="shared" si="47"/>
        <v>0</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0.04</v>
      </c>
      <c r="H275" s="720"/>
      <c r="I275" s="24">
        <f t="shared" si="46"/>
        <v>0</v>
      </c>
      <c r="J275" s="720"/>
      <c r="K275" s="24">
        <f t="shared" si="47"/>
        <v>0</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0.04</v>
      </c>
      <c r="H276" s="720"/>
      <c r="I276" s="24">
        <f t="shared" si="46"/>
        <v>0</v>
      </c>
      <c r="J276" s="720"/>
      <c r="K276" s="24">
        <f t="shared" si="47"/>
        <v>0</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0.04</v>
      </c>
      <c r="H277" s="720"/>
      <c r="I277" s="24">
        <f t="shared" si="46"/>
        <v>0</v>
      </c>
      <c r="J277" s="720"/>
      <c r="K277" s="24">
        <f t="shared" si="47"/>
        <v>0</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0.04</v>
      </c>
      <c r="H278" s="720"/>
      <c r="I278" s="24">
        <f t="shared" si="46"/>
        <v>0</v>
      </c>
      <c r="J278" s="720"/>
      <c r="K278" s="24">
        <f t="shared" si="47"/>
        <v>0</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0.04</v>
      </c>
      <c r="H279" s="720"/>
      <c r="I279" s="24">
        <f t="shared" si="46"/>
        <v>0</v>
      </c>
      <c r="J279" s="720"/>
      <c r="K279" s="24">
        <f t="shared" si="47"/>
        <v>0</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0.04</v>
      </c>
      <c r="H280" s="720"/>
      <c r="I280" s="24">
        <f t="shared" si="46"/>
        <v>0</v>
      </c>
      <c r="J280" s="720"/>
      <c r="K280" s="24">
        <f t="shared" si="47"/>
        <v>0</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0.04</v>
      </c>
      <c r="H281" s="720"/>
      <c r="I281" s="24">
        <f t="shared" si="46"/>
        <v>0</v>
      </c>
      <c r="J281" s="720"/>
      <c r="K281" s="24">
        <f t="shared" si="47"/>
        <v>0</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0.04</v>
      </c>
      <c r="H282" s="720"/>
      <c r="I282" s="24">
        <f t="shared" ref="I282:I345" si="56">(SUMIF($9:$9,H282,$10:$10)-SUMIF($9:$9,$H$24,$10:$10)+100)/100</f>
        <v>0</v>
      </c>
      <c r="J282" s="720"/>
      <c r="K282" s="24">
        <f t="shared" ref="K282:K345" si="57">(SUMIF($11:$11,J282,$12:$12)-SUMIF($11:$11,$J$24,$12:$12)+100)/100</f>
        <v>0</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0.04</v>
      </c>
      <c r="H283" s="720"/>
      <c r="I283" s="24">
        <f t="shared" si="56"/>
        <v>0</v>
      </c>
      <c r="J283" s="720"/>
      <c r="K283" s="24">
        <f t="shared" si="57"/>
        <v>0</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0.04</v>
      </c>
      <c r="H284" s="720"/>
      <c r="I284" s="24">
        <f t="shared" si="56"/>
        <v>0</v>
      </c>
      <c r="J284" s="720"/>
      <c r="K284" s="24">
        <f t="shared" si="57"/>
        <v>0</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0.04</v>
      </c>
      <c r="H285" s="720"/>
      <c r="I285" s="24">
        <f t="shared" si="56"/>
        <v>0</v>
      </c>
      <c r="J285" s="720"/>
      <c r="K285" s="24">
        <f t="shared" si="57"/>
        <v>0</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0.04</v>
      </c>
      <c r="H286" s="720"/>
      <c r="I286" s="24">
        <f t="shared" si="56"/>
        <v>0</v>
      </c>
      <c r="J286" s="720"/>
      <c r="K286" s="24">
        <f t="shared" si="57"/>
        <v>0</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0.04</v>
      </c>
      <c r="H287" s="720"/>
      <c r="I287" s="24">
        <f t="shared" si="56"/>
        <v>0</v>
      </c>
      <c r="J287" s="720"/>
      <c r="K287" s="24">
        <f t="shared" si="57"/>
        <v>0</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0.04</v>
      </c>
      <c r="H288" s="720"/>
      <c r="I288" s="24">
        <f t="shared" si="56"/>
        <v>0</v>
      </c>
      <c r="J288" s="720"/>
      <c r="K288" s="24">
        <f t="shared" si="57"/>
        <v>0</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0.04</v>
      </c>
      <c r="H289" s="720"/>
      <c r="I289" s="24">
        <f t="shared" si="56"/>
        <v>0</v>
      </c>
      <c r="J289" s="720"/>
      <c r="K289" s="24">
        <f t="shared" si="57"/>
        <v>0</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0.04</v>
      </c>
      <c r="H290" s="720"/>
      <c r="I290" s="24">
        <f t="shared" si="56"/>
        <v>0</v>
      </c>
      <c r="J290" s="720"/>
      <c r="K290" s="24">
        <f t="shared" si="57"/>
        <v>0</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0.04</v>
      </c>
      <c r="H291" s="720"/>
      <c r="I291" s="24">
        <f t="shared" si="56"/>
        <v>0</v>
      </c>
      <c r="J291" s="720"/>
      <c r="K291" s="24">
        <f t="shared" si="57"/>
        <v>0</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0.04</v>
      </c>
      <c r="H292" s="720"/>
      <c r="I292" s="24">
        <f t="shared" si="56"/>
        <v>0</v>
      </c>
      <c r="J292" s="720"/>
      <c r="K292" s="24">
        <f t="shared" si="57"/>
        <v>0</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0.04</v>
      </c>
      <c r="H293" s="720"/>
      <c r="I293" s="24">
        <f t="shared" si="56"/>
        <v>0</v>
      </c>
      <c r="J293" s="720"/>
      <c r="K293" s="24">
        <f t="shared" si="57"/>
        <v>0</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0.04</v>
      </c>
      <c r="H294" s="720"/>
      <c r="I294" s="24">
        <f t="shared" si="56"/>
        <v>0</v>
      </c>
      <c r="J294" s="720"/>
      <c r="K294" s="24">
        <f t="shared" si="57"/>
        <v>0</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0.04</v>
      </c>
      <c r="H295" s="720"/>
      <c r="I295" s="24">
        <f t="shared" si="56"/>
        <v>0</v>
      </c>
      <c r="J295" s="720"/>
      <c r="K295" s="24">
        <f t="shared" si="57"/>
        <v>0</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0.04</v>
      </c>
      <c r="H296" s="720"/>
      <c r="I296" s="24">
        <f t="shared" si="56"/>
        <v>0</v>
      </c>
      <c r="J296" s="720"/>
      <c r="K296" s="24">
        <f t="shared" si="57"/>
        <v>0</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0.04</v>
      </c>
      <c r="H297" s="720"/>
      <c r="I297" s="24">
        <f t="shared" si="56"/>
        <v>0</v>
      </c>
      <c r="J297" s="720"/>
      <c r="K297" s="24">
        <f t="shared" si="57"/>
        <v>0</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0.04</v>
      </c>
      <c r="H298" s="720"/>
      <c r="I298" s="24">
        <f t="shared" si="56"/>
        <v>0</v>
      </c>
      <c r="J298" s="720"/>
      <c r="K298" s="24">
        <f t="shared" si="57"/>
        <v>0</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0.04</v>
      </c>
      <c r="H299" s="720"/>
      <c r="I299" s="24">
        <f t="shared" si="56"/>
        <v>0</v>
      </c>
      <c r="J299" s="720"/>
      <c r="K299" s="24">
        <f t="shared" si="57"/>
        <v>0</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0.04</v>
      </c>
      <c r="H300" s="720"/>
      <c r="I300" s="24">
        <f t="shared" si="56"/>
        <v>0</v>
      </c>
      <c r="J300" s="720"/>
      <c r="K300" s="24">
        <f t="shared" si="57"/>
        <v>0</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0.04</v>
      </c>
      <c r="H301" s="720"/>
      <c r="I301" s="24">
        <f t="shared" si="56"/>
        <v>0</v>
      </c>
      <c r="J301" s="720"/>
      <c r="K301" s="24">
        <f t="shared" si="57"/>
        <v>0</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0.04</v>
      </c>
      <c r="H302" s="720"/>
      <c r="I302" s="24">
        <f t="shared" si="56"/>
        <v>0</v>
      </c>
      <c r="J302" s="720"/>
      <c r="K302" s="24">
        <f t="shared" si="57"/>
        <v>0</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0.04</v>
      </c>
      <c r="H303" s="720"/>
      <c r="I303" s="24">
        <f t="shared" si="56"/>
        <v>0</v>
      </c>
      <c r="J303" s="720"/>
      <c r="K303" s="24">
        <f t="shared" si="57"/>
        <v>0</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0.04</v>
      </c>
      <c r="H304" s="720"/>
      <c r="I304" s="24">
        <f t="shared" si="56"/>
        <v>0</v>
      </c>
      <c r="J304" s="720"/>
      <c r="K304" s="24">
        <f t="shared" si="57"/>
        <v>0</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0.04</v>
      </c>
      <c r="H305" s="720"/>
      <c r="I305" s="24">
        <f t="shared" si="56"/>
        <v>0</v>
      </c>
      <c r="J305" s="720"/>
      <c r="K305" s="24">
        <f t="shared" si="57"/>
        <v>0</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0.04</v>
      </c>
      <c r="H306" s="720"/>
      <c r="I306" s="24">
        <f t="shared" si="56"/>
        <v>0</v>
      </c>
      <c r="J306" s="720"/>
      <c r="K306" s="24">
        <f t="shared" si="57"/>
        <v>0</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0.04</v>
      </c>
      <c r="H307" s="720"/>
      <c r="I307" s="24">
        <f t="shared" si="56"/>
        <v>0</v>
      </c>
      <c r="J307" s="720"/>
      <c r="K307" s="24">
        <f t="shared" si="57"/>
        <v>0</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0.04</v>
      </c>
      <c r="H308" s="720"/>
      <c r="I308" s="24">
        <f t="shared" si="56"/>
        <v>0</v>
      </c>
      <c r="J308" s="720"/>
      <c r="K308" s="24">
        <f t="shared" si="57"/>
        <v>0</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0.04</v>
      </c>
      <c r="H309" s="720"/>
      <c r="I309" s="24">
        <f t="shared" si="56"/>
        <v>0</v>
      </c>
      <c r="J309" s="720"/>
      <c r="K309" s="24">
        <f t="shared" si="57"/>
        <v>0</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0.04</v>
      </c>
      <c r="H310" s="720"/>
      <c r="I310" s="24">
        <f t="shared" si="56"/>
        <v>0</v>
      </c>
      <c r="J310" s="720"/>
      <c r="K310" s="24">
        <f t="shared" si="57"/>
        <v>0</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0.04</v>
      </c>
      <c r="H311" s="720"/>
      <c r="I311" s="24">
        <f t="shared" si="56"/>
        <v>0</v>
      </c>
      <c r="J311" s="720"/>
      <c r="K311" s="24">
        <f t="shared" si="57"/>
        <v>0</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0.04</v>
      </c>
      <c r="H312" s="720"/>
      <c r="I312" s="24">
        <f t="shared" si="56"/>
        <v>0</v>
      </c>
      <c r="J312" s="720"/>
      <c r="K312" s="24">
        <f t="shared" si="57"/>
        <v>0</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0.04</v>
      </c>
      <c r="H313" s="720"/>
      <c r="I313" s="24">
        <f t="shared" si="56"/>
        <v>0</v>
      </c>
      <c r="J313" s="720"/>
      <c r="K313" s="24">
        <f t="shared" si="57"/>
        <v>0</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0.04</v>
      </c>
      <c r="H314" s="720"/>
      <c r="I314" s="24">
        <f t="shared" si="56"/>
        <v>0</v>
      </c>
      <c r="J314" s="720"/>
      <c r="K314" s="24">
        <f t="shared" si="57"/>
        <v>0</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0.04</v>
      </c>
      <c r="H315" s="720"/>
      <c r="I315" s="24">
        <f t="shared" si="56"/>
        <v>0</v>
      </c>
      <c r="J315" s="720"/>
      <c r="K315" s="24">
        <f t="shared" si="57"/>
        <v>0</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0.04</v>
      </c>
      <c r="H316" s="720"/>
      <c r="I316" s="24">
        <f t="shared" si="56"/>
        <v>0</v>
      </c>
      <c r="J316" s="720"/>
      <c r="K316" s="24">
        <f t="shared" si="57"/>
        <v>0</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0.04</v>
      </c>
      <c r="H317" s="720"/>
      <c r="I317" s="24">
        <f t="shared" si="56"/>
        <v>0</v>
      </c>
      <c r="J317" s="720"/>
      <c r="K317" s="24">
        <f t="shared" si="57"/>
        <v>0</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0.04</v>
      </c>
      <c r="H318" s="720"/>
      <c r="I318" s="24">
        <f t="shared" si="56"/>
        <v>0</v>
      </c>
      <c r="J318" s="720"/>
      <c r="K318" s="24">
        <f t="shared" si="57"/>
        <v>0</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0.04</v>
      </c>
      <c r="H319" s="720"/>
      <c r="I319" s="24">
        <f t="shared" si="56"/>
        <v>0</v>
      </c>
      <c r="J319" s="720"/>
      <c r="K319" s="24">
        <f t="shared" si="57"/>
        <v>0</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0.04</v>
      </c>
      <c r="H320" s="720"/>
      <c r="I320" s="24">
        <f t="shared" si="56"/>
        <v>0</v>
      </c>
      <c r="J320" s="720"/>
      <c r="K320" s="24">
        <f t="shared" si="57"/>
        <v>0</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0.04</v>
      </c>
      <c r="H321" s="720"/>
      <c r="I321" s="24">
        <f t="shared" si="56"/>
        <v>0</v>
      </c>
      <c r="J321" s="720"/>
      <c r="K321" s="24">
        <f t="shared" si="57"/>
        <v>0</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0.04</v>
      </c>
      <c r="H322" s="720"/>
      <c r="I322" s="24">
        <f t="shared" si="56"/>
        <v>0</v>
      </c>
      <c r="J322" s="720"/>
      <c r="K322" s="24">
        <f t="shared" si="57"/>
        <v>0</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0.04</v>
      </c>
      <c r="H323" s="720"/>
      <c r="I323" s="24">
        <f t="shared" si="56"/>
        <v>0</v>
      </c>
      <c r="J323" s="720"/>
      <c r="K323" s="24">
        <f t="shared" si="57"/>
        <v>0</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0.04</v>
      </c>
      <c r="H324" s="720"/>
      <c r="I324" s="24">
        <f t="shared" si="56"/>
        <v>0</v>
      </c>
      <c r="J324" s="720"/>
      <c r="K324" s="24">
        <f t="shared" si="57"/>
        <v>0</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0.04</v>
      </c>
      <c r="H325" s="720"/>
      <c r="I325" s="24">
        <f t="shared" si="56"/>
        <v>0</v>
      </c>
      <c r="J325" s="720"/>
      <c r="K325" s="24">
        <f t="shared" si="57"/>
        <v>0</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0.04</v>
      </c>
      <c r="H326" s="720"/>
      <c r="I326" s="24">
        <f t="shared" si="56"/>
        <v>0</v>
      </c>
      <c r="J326" s="720"/>
      <c r="K326" s="24">
        <f t="shared" si="57"/>
        <v>0</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0.04</v>
      </c>
      <c r="H327" s="720"/>
      <c r="I327" s="24">
        <f t="shared" si="56"/>
        <v>0</v>
      </c>
      <c r="J327" s="720"/>
      <c r="K327" s="24">
        <f t="shared" si="57"/>
        <v>0</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0.04</v>
      </c>
      <c r="H328" s="720"/>
      <c r="I328" s="24">
        <f t="shared" si="56"/>
        <v>0</v>
      </c>
      <c r="J328" s="720"/>
      <c r="K328" s="24">
        <f t="shared" si="57"/>
        <v>0</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0.04</v>
      </c>
      <c r="H329" s="720"/>
      <c r="I329" s="24">
        <f t="shared" si="56"/>
        <v>0</v>
      </c>
      <c r="J329" s="720"/>
      <c r="K329" s="24">
        <f t="shared" si="57"/>
        <v>0</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0.04</v>
      </c>
      <c r="H330" s="720"/>
      <c r="I330" s="24">
        <f t="shared" si="56"/>
        <v>0</v>
      </c>
      <c r="J330" s="720"/>
      <c r="K330" s="24">
        <f t="shared" si="57"/>
        <v>0</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0.04</v>
      </c>
      <c r="H331" s="720"/>
      <c r="I331" s="24">
        <f t="shared" si="56"/>
        <v>0</v>
      </c>
      <c r="J331" s="720"/>
      <c r="K331" s="24">
        <f t="shared" si="57"/>
        <v>0</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0.04</v>
      </c>
      <c r="H332" s="720"/>
      <c r="I332" s="24">
        <f t="shared" si="56"/>
        <v>0</v>
      </c>
      <c r="J332" s="720"/>
      <c r="K332" s="24">
        <f t="shared" si="57"/>
        <v>0</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0.04</v>
      </c>
      <c r="H333" s="720"/>
      <c r="I333" s="24">
        <f t="shared" si="56"/>
        <v>0</v>
      </c>
      <c r="J333" s="720"/>
      <c r="K333" s="24">
        <f t="shared" si="57"/>
        <v>0</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0.04</v>
      </c>
      <c r="H334" s="720"/>
      <c r="I334" s="24">
        <f t="shared" si="56"/>
        <v>0</v>
      </c>
      <c r="J334" s="720"/>
      <c r="K334" s="24">
        <f t="shared" si="57"/>
        <v>0</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0.04</v>
      </c>
      <c r="H335" s="720"/>
      <c r="I335" s="24">
        <f t="shared" si="56"/>
        <v>0</v>
      </c>
      <c r="J335" s="720"/>
      <c r="K335" s="24">
        <f t="shared" si="57"/>
        <v>0</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0.04</v>
      </c>
      <c r="H336" s="720"/>
      <c r="I336" s="24">
        <f t="shared" si="56"/>
        <v>0</v>
      </c>
      <c r="J336" s="720"/>
      <c r="K336" s="24">
        <f t="shared" si="57"/>
        <v>0</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0.04</v>
      </c>
      <c r="H337" s="720"/>
      <c r="I337" s="24">
        <f t="shared" si="56"/>
        <v>0</v>
      </c>
      <c r="J337" s="720"/>
      <c r="K337" s="24">
        <f t="shared" si="57"/>
        <v>0</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0.04</v>
      </c>
      <c r="H338" s="720"/>
      <c r="I338" s="24">
        <f t="shared" si="56"/>
        <v>0</v>
      </c>
      <c r="J338" s="720"/>
      <c r="K338" s="24">
        <f t="shared" si="57"/>
        <v>0</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0.04</v>
      </c>
      <c r="H339" s="720"/>
      <c r="I339" s="24">
        <f t="shared" si="56"/>
        <v>0</v>
      </c>
      <c r="J339" s="720"/>
      <c r="K339" s="24">
        <f t="shared" si="57"/>
        <v>0</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0.04</v>
      </c>
      <c r="H340" s="720"/>
      <c r="I340" s="24">
        <f t="shared" si="56"/>
        <v>0</v>
      </c>
      <c r="J340" s="720"/>
      <c r="K340" s="24">
        <f t="shared" si="57"/>
        <v>0</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0.04</v>
      </c>
      <c r="H341" s="720"/>
      <c r="I341" s="24">
        <f t="shared" si="56"/>
        <v>0</v>
      </c>
      <c r="J341" s="720"/>
      <c r="K341" s="24">
        <f t="shared" si="57"/>
        <v>0</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0.04</v>
      </c>
      <c r="H342" s="720"/>
      <c r="I342" s="24">
        <f t="shared" si="56"/>
        <v>0</v>
      </c>
      <c r="J342" s="720"/>
      <c r="K342" s="24">
        <f t="shared" si="57"/>
        <v>0</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0.04</v>
      </c>
      <c r="H343" s="720"/>
      <c r="I343" s="24">
        <f t="shared" si="56"/>
        <v>0</v>
      </c>
      <c r="J343" s="720"/>
      <c r="K343" s="24">
        <f t="shared" si="57"/>
        <v>0</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0.04</v>
      </c>
      <c r="H344" s="720"/>
      <c r="I344" s="24">
        <f t="shared" si="56"/>
        <v>0</v>
      </c>
      <c r="J344" s="720"/>
      <c r="K344" s="24">
        <f t="shared" si="57"/>
        <v>0</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0.04</v>
      </c>
      <c r="H345" s="720"/>
      <c r="I345" s="24">
        <f t="shared" si="56"/>
        <v>0</v>
      </c>
      <c r="J345" s="720"/>
      <c r="K345" s="24">
        <f t="shared" si="57"/>
        <v>0</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0.04</v>
      </c>
      <c r="H346" s="720"/>
      <c r="I346" s="24">
        <f t="shared" ref="I346:I409" si="67">(SUMIF($9:$9,H346,$10:$10)-SUMIF($9:$9,$H$24,$10:$10)+100)/100</f>
        <v>0</v>
      </c>
      <c r="J346" s="720"/>
      <c r="K346" s="24">
        <f t="shared" ref="K346:K409" si="68">(SUMIF($11:$11,J346,$12:$12)-SUMIF($11:$11,$J$24,$12:$12)+100)/100</f>
        <v>0</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0.04</v>
      </c>
      <c r="H347" s="720"/>
      <c r="I347" s="24">
        <f t="shared" si="67"/>
        <v>0</v>
      </c>
      <c r="J347" s="720"/>
      <c r="K347" s="24">
        <f t="shared" si="68"/>
        <v>0</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0.04</v>
      </c>
      <c r="H348" s="720"/>
      <c r="I348" s="24">
        <f t="shared" si="67"/>
        <v>0</v>
      </c>
      <c r="J348" s="720"/>
      <c r="K348" s="24">
        <f t="shared" si="68"/>
        <v>0</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0.04</v>
      </c>
      <c r="H349" s="720"/>
      <c r="I349" s="24">
        <f t="shared" si="67"/>
        <v>0</v>
      </c>
      <c r="J349" s="720"/>
      <c r="K349" s="24">
        <f t="shared" si="68"/>
        <v>0</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0.04</v>
      </c>
      <c r="H350" s="720"/>
      <c r="I350" s="24">
        <f t="shared" si="67"/>
        <v>0</v>
      </c>
      <c r="J350" s="720"/>
      <c r="K350" s="24">
        <f t="shared" si="68"/>
        <v>0</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0.04</v>
      </c>
      <c r="H351" s="720"/>
      <c r="I351" s="24">
        <f t="shared" si="67"/>
        <v>0</v>
      </c>
      <c r="J351" s="720"/>
      <c r="K351" s="24">
        <f t="shared" si="68"/>
        <v>0</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0.04</v>
      </c>
      <c r="H352" s="720"/>
      <c r="I352" s="24">
        <f t="shared" si="67"/>
        <v>0</v>
      </c>
      <c r="J352" s="720"/>
      <c r="K352" s="24">
        <f t="shared" si="68"/>
        <v>0</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0.04</v>
      </c>
      <c r="H353" s="720"/>
      <c r="I353" s="24">
        <f t="shared" si="67"/>
        <v>0</v>
      </c>
      <c r="J353" s="720"/>
      <c r="K353" s="24">
        <f t="shared" si="68"/>
        <v>0</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0.04</v>
      </c>
      <c r="H354" s="720"/>
      <c r="I354" s="24">
        <f t="shared" si="67"/>
        <v>0</v>
      </c>
      <c r="J354" s="720"/>
      <c r="K354" s="24">
        <f t="shared" si="68"/>
        <v>0</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0.04</v>
      </c>
      <c r="H355" s="720"/>
      <c r="I355" s="24">
        <f t="shared" si="67"/>
        <v>0</v>
      </c>
      <c r="J355" s="720"/>
      <c r="K355" s="24">
        <f t="shared" si="68"/>
        <v>0</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0.04</v>
      </c>
      <c r="H356" s="720"/>
      <c r="I356" s="24">
        <f t="shared" si="67"/>
        <v>0</v>
      </c>
      <c r="J356" s="720"/>
      <c r="K356" s="24">
        <f t="shared" si="68"/>
        <v>0</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0.04</v>
      </c>
      <c r="H357" s="720"/>
      <c r="I357" s="24">
        <f t="shared" si="67"/>
        <v>0</v>
      </c>
      <c r="J357" s="720"/>
      <c r="K357" s="24">
        <f t="shared" si="68"/>
        <v>0</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0.04</v>
      </c>
      <c r="H358" s="720"/>
      <c r="I358" s="24">
        <f t="shared" si="67"/>
        <v>0</v>
      </c>
      <c r="J358" s="720"/>
      <c r="K358" s="24">
        <f t="shared" si="68"/>
        <v>0</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0.04</v>
      </c>
      <c r="H359" s="720"/>
      <c r="I359" s="24">
        <f t="shared" si="67"/>
        <v>0</v>
      </c>
      <c r="J359" s="720"/>
      <c r="K359" s="24">
        <f t="shared" si="68"/>
        <v>0</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0.04</v>
      </c>
      <c r="H360" s="720"/>
      <c r="I360" s="24">
        <f t="shared" si="67"/>
        <v>0</v>
      </c>
      <c r="J360" s="720"/>
      <c r="K360" s="24">
        <f t="shared" si="68"/>
        <v>0</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0.04</v>
      </c>
      <c r="H361" s="720"/>
      <c r="I361" s="24">
        <f t="shared" si="67"/>
        <v>0</v>
      </c>
      <c r="J361" s="720"/>
      <c r="K361" s="24">
        <f t="shared" si="68"/>
        <v>0</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0.04</v>
      </c>
      <c r="H362" s="720"/>
      <c r="I362" s="24">
        <f t="shared" si="67"/>
        <v>0</v>
      </c>
      <c r="J362" s="720"/>
      <c r="K362" s="24">
        <f t="shared" si="68"/>
        <v>0</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0.04</v>
      </c>
      <c r="H363" s="720"/>
      <c r="I363" s="24">
        <f t="shared" si="67"/>
        <v>0</v>
      </c>
      <c r="J363" s="720"/>
      <c r="K363" s="24">
        <f t="shared" si="68"/>
        <v>0</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0.04</v>
      </c>
      <c r="H364" s="720"/>
      <c r="I364" s="24">
        <f t="shared" si="67"/>
        <v>0</v>
      </c>
      <c r="J364" s="720"/>
      <c r="K364" s="24">
        <f t="shared" si="68"/>
        <v>0</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0.04</v>
      </c>
      <c r="H365" s="720"/>
      <c r="I365" s="24">
        <f t="shared" si="67"/>
        <v>0</v>
      </c>
      <c r="J365" s="720"/>
      <c r="K365" s="24">
        <f t="shared" si="68"/>
        <v>0</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0.04</v>
      </c>
      <c r="H366" s="720"/>
      <c r="I366" s="24">
        <f t="shared" si="67"/>
        <v>0</v>
      </c>
      <c r="J366" s="720"/>
      <c r="K366" s="24">
        <f t="shared" si="68"/>
        <v>0</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0.04</v>
      </c>
      <c r="H367" s="720"/>
      <c r="I367" s="24">
        <f t="shared" si="67"/>
        <v>0</v>
      </c>
      <c r="J367" s="720"/>
      <c r="K367" s="24">
        <f t="shared" si="68"/>
        <v>0</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0.04</v>
      </c>
      <c r="H368" s="720"/>
      <c r="I368" s="24">
        <f t="shared" si="67"/>
        <v>0</v>
      </c>
      <c r="J368" s="720"/>
      <c r="K368" s="24">
        <f t="shared" si="68"/>
        <v>0</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0.04</v>
      </c>
      <c r="H369" s="720"/>
      <c r="I369" s="24">
        <f t="shared" si="67"/>
        <v>0</v>
      </c>
      <c r="J369" s="720"/>
      <c r="K369" s="24">
        <f t="shared" si="68"/>
        <v>0</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0.04</v>
      </c>
      <c r="H370" s="720"/>
      <c r="I370" s="24">
        <f t="shared" si="67"/>
        <v>0</v>
      </c>
      <c r="J370" s="720"/>
      <c r="K370" s="24">
        <f t="shared" si="68"/>
        <v>0</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0.04</v>
      </c>
      <c r="H371" s="720"/>
      <c r="I371" s="24">
        <f t="shared" si="67"/>
        <v>0</v>
      </c>
      <c r="J371" s="720"/>
      <c r="K371" s="24">
        <f t="shared" si="68"/>
        <v>0</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0.04</v>
      </c>
      <c r="H372" s="720"/>
      <c r="I372" s="24">
        <f t="shared" si="67"/>
        <v>0</v>
      </c>
      <c r="J372" s="720"/>
      <c r="K372" s="24">
        <f t="shared" si="68"/>
        <v>0</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0.04</v>
      </c>
      <c r="H373" s="720"/>
      <c r="I373" s="24">
        <f t="shared" si="67"/>
        <v>0</v>
      </c>
      <c r="J373" s="720"/>
      <c r="K373" s="24">
        <f t="shared" si="68"/>
        <v>0</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0.04</v>
      </c>
      <c r="H374" s="720"/>
      <c r="I374" s="24">
        <f t="shared" si="67"/>
        <v>0</v>
      </c>
      <c r="J374" s="720"/>
      <c r="K374" s="24">
        <f t="shared" si="68"/>
        <v>0</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0.04</v>
      </c>
      <c r="H375" s="720"/>
      <c r="I375" s="24">
        <f t="shared" si="67"/>
        <v>0</v>
      </c>
      <c r="J375" s="720"/>
      <c r="K375" s="24">
        <f t="shared" si="68"/>
        <v>0</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0.04</v>
      </c>
      <c r="H376" s="720"/>
      <c r="I376" s="24">
        <f t="shared" si="67"/>
        <v>0</v>
      </c>
      <c r="J376" s="720"/>
      <c r="K376" s="24">
        <f t="shared" si="68"/>
        <v>0</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0.04</v>
      </c>
      <c r="H377" s="720"/>
      <c r="I377" s="24">
        <f t="shared" si="67"/>
        <v>0</v>
      </c>
      <c r="J377" s="720"/>
      <c r="K377" s="24">
        <f t="shared" si="68"/>
        <v>0</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0.04</v>
      </c>
      <c r="H378" s="720"/>
      <c r="I378" s="24">
        <f t="shared" si="67"/>
        <v>0</v>
      </c>
      <c r="J378" s="720"/>
      <c r="K378" s="24">
        <f t="shared" si="68"/>
        <v>0</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0.04</v>
      </c>
      <c r="H379" s="720"/>
      <c r="I379" s="24">
        <f t="shared" si="67"/>
        <v>0</v>
      </c>
      <c r="J379" s="720"/>
      <c r="K379" s="24">
        <f t="shared" si="68"/>
        <v>0</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0.04</v>
      </c>
      <c r="H380" s="720"/>
      <c r="I380" s="24">
        <f t="shared" si="67"/>
        <v>0</v>
      </c>
      <c r="J380" s="720"/>
      <c r="K380" s="24">
        <f t="shared" si="68"/>
        <v>0</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0.04</v>
      </c>
      <c r="H381" s="720"/>
      <c r="I381" s="24">
        <f t="shared" si="67"/>
        <v>0</v>
      </c>
      <c r="J381" s="720"/>
      <c r="K381" s="24">
        <f t="shared" si="68"/>
        <v>0</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0.04</v>
      </c>
      <c r="H382" s="720"/>
      <c r="I382" s="24">
        <f t="shared" si="67"/>
        <v>0</v>
      </c>
      <c r="J382" s="720"/>
      <c r="K382" s="24">
        <f t="shared" si="68"/>
        <v>0</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0.04</v>
      </c>
      <c r="H383" s="720"/>
      <c r="I383" s="24">
        <f t="shared" si="67"/>
        <v>0</v>
      </c>
      <c r="J383" s="720"/>
      <c r="K383" s="24">
        <f t="shared" si="68"/>
        <v>0</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0.04</v>
      </c>
      <c r="H384" s="720"/>
      <c r="I384" s="24">
        <f t="shared" si="67"/>
        <v>0</v>
      </c>
      <c r="J384" s="720"/>
      <c r="K384" s="24">
        <f t="shared" si="68"/>
        <v>0</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0.04</v>
      </c>
      <c r="H385" s="720"/>
      <c r="I385" s="24">
        <f t="shared" si="67"/>
        <v>0</v>
      </c>
      <c r="J385" s="720"/>
      <c r="K385" s="24">
        <f t="shared" si="68"/>
        <v>0</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0.04</v>
      </c>
      <c r="H386" s="720"/>
      <c r="I386" s="24">
        <f t="shared" si="67"/>
        <v>0</v>
      </c>
      <c r="J386" s="720"/>
      <c r="K386" s="24">
        <f t="shared" si="68"/>
        <v>0</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0.04</v>
      </c>
      <c r="H387" s="720"/>
      <c r="I387" s="24">
        <f t="shared" si="67"/>
        <v>0</v>
      </c>
      <c r="J387" s="720"/>
      <c r="K387" s="24">
        <f t="shared" si="68"/>
        <v>0</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0.04</v>
      </c>
      <c r="H388" s="720"/>
      <c r="I388" s="24">
        <f t="shared" si="67"/>
        <v>0</v>
      </c>
      <c r="J388" s="720"/>
      <c r="K388" s="24">
        <f t="shared" si="68"/>
        <v>0</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0.04</v>
      </c>
      <c r="H389" s="720"/>
      <c r="I389" s="24">
        <f t="shared" si="67"/>
        <v>0</v>
      </c>
      <c r="J389" s="720"/>
      <c r="K389" s="24">
        <f t="shared" si="68"/>
        <v>0</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0.04</v>
      </c>
      <c r="H390" s="720"/>
      <c r="I390" s="24">
        <f t="shared" si="67"/>
        <v>0</v>
      </c>
      <c r="J390" s="720"/>
      <c r="K390" s="24">
        <f t="shared" si="68"/>
        <v>0</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0.04</v>
      </c>
      <c r="H391" s="720"/>
      <c r="I391" s="24">
        <f t="shared" si="67"/>
        <v>0</v>
      </c>
      <c r="J391" s="720"/>
      <c r="K391" s="24">
        <f t="shared" si="68"/>
        <v>0</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0.04</v>
      </c>
      <c r="H392" s="720"/>
      <c r="I392" s="24">
        <f t="shared" si="67"/>
        <v>0</v>
      </c>
      <c r="J392" s="720"/>
      <c r="K392" s="24">
        <f t="shared" si="68"/>
        <v>0</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0.04</v>
      </c>
      <c r="H393" s="720"/>
      <c r="I393" s="24">
        <f t="shared" si="67"/>
        <v>0</v>
      </c>
      <c r="J393" s="720"/>
      <c r="K393" s="24">
        <f t="shared" si="68"/>
        <v>0</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0.04</v>
      </c>
      <c r="H394" s="720"/>
      <c r="I394" s="24">
        <f t="shared" si="67"/>
        <v>0</v>
      </c>
      <c r="J394" s="720"/>
      <c r="K394" s="24">
        <f t="shared" si="68"/>
        <v>0</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0.04</v>
      </c>
      <c r="H395" s="720"/>
      <c r="I395" s="24">
        <f t="shared" si="67"/>
        <v>0</v>
      </c>
      <c r="J395" s="720"/>
      <c r="K395" s="24">
        <f t="shared" si="68"/>
        <v>0</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0.04</v>
      </c>
      <c r="H396" s="720"/>
      <c r="I396" s="24">
        <f t="shared" si="67"/>
        <v>0</v>
      </c>
      <c r="J396" s="720"/>
      <c r="K396" s="24">
        <f t="shared" si="68"/>
        <v>0</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0.04</v>
      </c>
      <c r="H397" s="720"/>
      <c r="I397" s="24">
        <f t="shared" si="67"/>
        <v>0</v>
      </c>
      <c r="J397" s="720"/>
      <c r="K397" s="24">
        <f t="shared" si="68"/>
        <v>0</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0.04</v>
      </c>
      <c r="H398" s="720"/>
      <c r="I398" s="24">
        <f t="shared" si="67"/>
        <v>0</v>
      </c>
      <c r="J398" s="720"/>
      <c r="K398" s="24">
        <f t="shared" si="68"/>
        <v>0</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0.04</v>
      </c>
      <c r="H399" s="720"/>
      <c r="I399" s="24">
        <f t="shared" si="67"/>
        <v>0</v>
      </c>
      <c r="J399" s="720"/>
      <c r="K399" s="24">
        <f t="shared" si="68"/>
        <v>0</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0.04</v>
      </c>
      <c r="H400" s="720"/>
      <c r="I400" s="24">
        <f t="shared" si="67"/>
        <v>0</v>
      </c>
      <c r="J400" s="720"/>
      <c r="K400" s="24">
        <f t="shared" si="68"/>
        <v>0</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0.04</v>
      </c>
      <c r="H401" s="720"/>
      <c r="I401" s="24">
        <f t="shared" si="67"/>
        <v>0</v>
      </c>
      <c r="J401" s="720"/>
      <c r="K401" s="24">
        <f t="shared" si="68"/>
        <v>0</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0.04</v>
      </c>
      <c r="H402" s="720"/>
      <c r="I402" s="24">
        <f t="shared" si="67"/>
        <v>0</v>
      </c>
      <c r="J402" s="720"/>
      <c r="K402" s="24">
        <f t="shared" si="68"/>
        <v>0</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0.04</v>
      </c>
      <c r="H403" s="720"/>
      <c r="I403" s="24">
        <f t="shared" si="67"/>
        <v>0</v>
      </c>
      <c r="J403" s="720"/>
      <c r="K403" s="24">
        <f t="shared" si="68"/>
        <v>0</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0.04</v>
      </c>
      <c r="H404" s="720"/>
      <c r="I404" s="24">
        <f t="shared" si="67"/>
        <v>0</v>
      </c>
      <c r="J404" s="720"/>
      <c r="K404" s="24">
        <f t="shared" si="68"/>
        <v>0</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0.04</v>
      </c>
      <c r="H405" s="720"/>
      <c r="I405" s="24">
        <f t="shared" si="67"/>
        <v>0</v>
      </c>
      <c r="J405" s="720"/>
      <c r="K405" s="24">
        <f t="shared" si="68"/>
        <v>0</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0.04</v>
      </c>
      <c r="H406" s="720"/>
      <c r="I406" s="24">
        <f t="shared" si="67"/>
        <v>0</v>
      </c>
      <c r="J406" s="720"/>
      <c r="K406" s="24">
        <f t="shared" si="68"/>
        <v>0</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0.04</v>
      </c>
      <c r="H407" s="720"/>
      <c r="I407" s="24">
        <f t="shared" si="67"/>
        <v>0</v>
      </c>
      <c r="J407" s="720"/>
      <c r="K407" s="24">
        <f t="shared" si="68"/>
        <v>0</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0.04</v>
      </c>
      <c r="H408" s="720"/>
      <c r="I408" s="24">
        <f t="shared" si="67"/>
        <v>0</v>
      </c>
      <c r="J408" s="720"/>
      <c r="K408" s="24">
        <f t="shared" si="68"/>
        <v>0</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0.04</v>
      </c>
      <c r="H409" s="720"/>
      <c r="I409" s="24">
        <f t="shared" si="67"/>
        <v>0</v>
      </c>
      <c r="J409" s="720"/>
      <c r="K409" s="24">
        <f t="shared" si="68"/>
        <v>0</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0.04</v>
      </c>
      <c r="H410" s="720"/>
      <c r="I410" s="24">
        <f t="shared" ref="I410:I473" si="77">(SUMIF($9:$9,H410,$10:$10)-SUMIF($9:$9,$H$24,$10:$10)+100)/100</f>
        <v>0</v>
      </c>
      <c r="J410" s="720"/>
      <c r="K410" s="24">
        <f t="shared" ref="K410:K473" si="78">(SUMIF($11:$11,J410,$12:$12)-SUMIF($11:$11,$J$24,$12:$12)+100)/100</f>
        <v>0</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0.04</v>
      </c>
      <c r="H411" s="720"/>
      <c r="I411" s="24">
        <f t="shared" si="77"/>
        <v>0</v>
      </c>
      <c r="J411" s="720"/>
      <c r="K411" s="24">
        <f t="shared" si="78"/>
        <v>0</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0.04</v>
      </c>
      <c r="H412" s="720"/>
      <c r="I412" s="24">
        <f t="shared" si="77"/>
        <v>0</v>
      </c>
      <c r="J412" s="720"/>
      <c r="K412" s="24">
        <f t="shared" si="78"/>
        <v>0</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0.04</v>
      </c>
      <c r="H413" s="720"/>
      <c r="I413" s="24">
        <f t="shared" si="77"/>
        <v>0</v>
      </c>
      <c r="J413" s="720"/>
      <c r="K413" s="24">
        <f t="shared" si="78"/>
        <v>0</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0.04</v>
      </c>
      <c r="H414" s="720"/>
      <c r="I414" s="24">
        <f t="shared" si="77"/>
        <v>0</v>
      </c>
      <c r="J414" s="720"/>
      <c r="K414" s="24">
        <f t="shared" si="78"/>
        <v>0</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0.04</v>
      </c>
      <c r="H415" s="720"/>
      <c r="I415" s="24">
        <f t="shared" si="77"/>
        <v>0</v>
      </c>
      <c r="J415" s="720"/>
      <c r="K415" s="24">
        <f t="shared" si="78"/>
        <v>0</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0.04</v>
      </c>
      <c r="H416" s="720"/>
      <c r="I416" s="24">
        <f t="shared" si="77"/>
        <v>0</v>
      </c>
      <c r="J416" s="720"/>
      <c r="K416" s="24">
        <f t="shared" si="78"/>
        <v>0</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0.04</v>
      </c>
      <c r="H417" s="720"/>
      <c r="I417" s="24">
        <f t="shared" si="77"/>
        <v>0</v>
      </c>
      <c r="J417" s="720"/>
      <c r="K417" s="24">
        <f t="shared" si="78"/>
        <v>0</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0.04</v>
      </c>
      <c r="H418" s="720"/>
      <c r="I418" s="24">
        <f t="shared" si="77"/>
        <v>0</v>
      </c>
      <c r="J418" s="720"/>
      <c r="K418" s="24">
        <f t="shared" si="78"/>
        <v>0</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0.04</v>
      </c>
      <c r="H419" s="720"/>
      <c r="I419" s="24">
        <f t="shared" si="77"/>
        <v>0</v>
      </c>
      <c r="J419" s="720"/>
      <c r="K419" s="24">
        <f t="shared" si="78"/>
        <v>0</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0.04</v>
      </c>
      <c r="H420" s="720"/>
      <c r="I420" s="24">
        <f t="shared" si="77"/>
        <v>0</v>
      </c>
      <c r="J420" s="720"/>
      <c r="K420" s="24">
        <f t="shared" si="78"/>
        <v>0</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0.04</v>
      </c>
      <c r="H421" s="720"/>
      <c r="I421" s="24">
        <f t="shared" si="77"/>
        <v>0</v>
      </c>
      <c r="J421" s="720"/>
      <c r="K421" s="24">
        <f t="shared" si="78"/>
        <v>0</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0.04</v>
      </c>
      <c r="H422" s="720"/>
      <c r="I422" s="24">
        <f t="shared" si="77"/>
        <v>0</v>
      </c>
      <c r="J422" s="720"/>
      <c r="K422" s="24">
        <f t="shared" si="78"/>
        <v>0</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0.04</v>
      </c>
      <c r="H423" s="720"/>
      <c r="I423" s="24">
        <f t="shared" si="77"/>
        <v>0</v>
      </c>
      <c r="J423" s="720"/>
      <c r="K423" s="24">
        <f t="shared" si="78"/>
        <v>0</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0.04</v>
      </c>
      <c r="H424" s="720"/>
      <c r="I424" s="24">
        <f t="shared" si="77"/>
        <v>0</v>
      </c>
      <c r="J424" s="720"/>
      <c r="K424" s="24">
        <f t="shared" si="78"/>
        <v>0</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0.04</v>
      </c>
      <c r="H425" s="720"/>
      <c r="I425" s="24">
        <f t="shared" si="77"/>
        <v>0</v>
      </c>
      <c r="J425" s="720"/>
      <c r="K425" s="24">
        <f t="shared" si="78"/>
        <v>0</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0.04</v>
      </c>
      <c r="H426" s="720"/>
      <c r="I426" s="24">
        <f t="shared" si="77"/>
        <v>0</v>
      </c>
      <c r="J426" s="720"/>
      <c r="K426" s="24">
        <f t="shared" si="78"/>
        <v>0</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0.04</v>
      </c>
      <c r="H427" s="720"/>
      <c r="I427" s="24">
        <f t="shared" si="77"/>
        <v>0</v>
      </c>
      <c r="J427" s="720"/>
      <c r="K427" s="24">
        <f t="shared" si="78"/>
        <v>0</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0.04</v>
      </c>
      <c r="H428" s="720"/>
      <c r="I428" s="24">
        <f t="shared" si="77"/>
        <v>0</v>
      </c>
      <c r="J428" s="720"/>
      <c r="K428" s="24">
        <f t="shared" si="78"/>
        <v>0</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0.04</v>
      </c>
      <c r="H429" s="720"/>
      <c r="I429" s="24">
        <f t="shared" si="77"/>
        <v>0</v>
      </c>
      <c r="J429" s="720"/>
      <c r="K429" s="24">
        <f t="shared" si="78"/>
        <v>0</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0.04</v>
      </c>
      <c r="H430" s="720"/>
      <c r="I430" s="24">
        <f t="shared" si="77"/>
        <v>0</v>
      </c>
      <c r="J430" s="720"/>
      <c r="K430" s="24">
        <f t="shared" si="78"/>
        <v>0</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0.04</v>
      </c>
      <c r="H431" s="720"/>
      <c r="I431" s="24">
        <f t="shared" si="77"/>
        <v>0</v>
      </c>
      <c r="J431" s="720"/>
      <c r="K431" s="24">
        <f t="shared" si="78"/>
        <v>0</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0.04</v>
      </c>
      <c r="H432" s="720"/>
      <c r="I432" s="24">
        <f t="shared" si="77"/>
        <v>0</v>
      </c>
      <c r="J432" s="720"/>
      <c r="K432" s="24">
        <f t="shared" si="78"/>
        <v>0</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0.04</v>
      </c>
      <c r="H433" s="720"/>
      <c r="I433" s="24">
        <f t="shared" si="77"/>
        <v>0</v>
      </c>
      <c r="J433" s="720"/>
      <c r="K433" s="24">
        <f t="shared" si="78"/>
        <v>0</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0.04</v>
      </c>
      <c r="H434" s="720"/>
      <c r="I434" s="24">
        <f t="shared" si="77"/>
        <v>0</v>
      </c>
      <c r="J434" s="720"/>
      <c r="K434" s="24">
        <f t="shared" si="78"/>
        <v>0</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0.04</v>
      </c>
      <c r="H435" s="720"/>
      <c r="I435" s="24">
        <f t="shared" si="77"/>
        <v>0</v>
      </c>
      <c r="J435" s="720"/>
      <c r="K435" s="24">
        <f t="shared" si="78"/>
        <v>0</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0.04</v>
      </c>
      <c r="H436" s="720"/>
      <c r="I436" s="24">
        <f t="shared" si="77"/>
        <v>0</v>
      </c>
      <c r="J436" s="720"/>
      <c r="K436" s="24">
        <f t="shared" si="78"/>
        <v>0</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0.04</v>
      </c>
      <c r="H437" s="720"/>
      <c r="I437" s="24">
        <f t="shared" si="77"/>
        <v>0</v>
      </c>
      <c r="J437" s="720"/>
      <c r="K437" s="24">
        <f t="shared" si="78"/>
        <v>0</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0.04</v>
      </c>
      <c r="H438" s="720"/>
      <c r="I438" s="24">
        <f t="shared" si="77"/>
        <v>0</v>
      </c>
      <c r="J438" s="720"/>
      <c r="K438" s="24">
        <f t="shared" si="78"/>
        <v>0</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0.04</v>
      </c>
      <c r="H439" s="720"/>
      <c r="I439" s="24">
        <f t="shared" si="77"/>
        <v>0</v>
      </c>
      <c r="J439" s="720"/>
      <c r="K439" s="24">
        <f t="shared" si="78"/>
        <v>0</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0.04</v>
      </c>
      <c r="H440" s="720"/>
      <c r="I440" s="24">
        <f t="shared" si="77"/>
        <v>0</v>
      </c>
      <c r="J440" s="720"/>
      <c r="K440" s="24">
        <f t="shared" si="78"/>
        <v>0</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0.04</v>
      </c>
      <c r="H441" s="720"/>
      <c r="I441" s="24">
        <f t="shared" si="77"/>
        <v>0</v>
      </c>
      <c r="J441" s="720"/>
      <c r="K441" s="24">
        <f t="shared" si="78"/>
        <v>0</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0.04</v>
      </c>
      <c r="H442" s="720"/>
      <c r="I442" s="24">
        <f t="shared" si="77"/>
        <v>0</v>
      </c>
      <c r="J442" s="720"/>
      <c r="K442" s="24">
        <f t="shared" si="78"/>
        <v>0</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0.04</v>
      </c>
      <c r="H443" s="720"/>
      <c r="I443" s="24">
        <f t="shared" si="77"/>
        <v>0</v>
      </c>
      <c r="J443" s="720"/>
      <c r="K443" s="24">
        <f t="shared" si="78"/>
        <v>0</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0.04</v>
      </c>
      <c r="H444" s="720"/>
      <c r="I444" s="24">
        <f t="shared" si="77"/>
        <v>0</v>
      </c>
      <c r="J444" s="720"/>
      <c r="K444" s="24">
        <f t="shared" si="78"/>
        <v>0</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0.04</v>
      </c>
      <c r="H445" s="720"/>
      <c r="I445" s="24">
        <f t="shared" si="77"/>
        <v>0</v>
      </c>
      <c r="J445" s="720"/>
      <c r="K445" s="24">
        <f t="shared" si="78"/>
        <v>0</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0.04</v>
      </c>
      <c r="H446" s="720"/>
      <c r="I446" s="24">
        <f t="shared" si="77"/>
        <v>0</v>
      </c>
      <c r="J446" s="720"/>
      <c r="K446" s="24">
        <f t="shared" si="78"/>
        <v>0</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0.04</v>
      </c>
      <c r="H447" s="720"/>
      <c r="I447" s="24">
        <f t="shared" si="77"/>
        <v>0</v>
      </c>
      <c r="J447" s="720"/>
      <c r="K447" s="24">
        <f t="shared" si="78"/>
        <v>0</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0.04</v>
      </c>
      <c r="H448" s="720"/>
      <c r="I448" s="24">
        <f t="shared" si="77"/>
        <v>0</v>
      </c>
      <c r="J448" s="720"/>
      <c r="K448" s="24">
        <f t="shared" si="78"/>
        <v>0</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0.04</v>
      </c>
      <c r="H449" s="720"/>
      <c r="I449" s="24">
        <f t="shared" si="77"/>
        <v>0</v>
      </c>
      <c r="J449" s="720"/>
      <c r="K449" s="24">
        <f t="shared" si="78"/>
        <v>0</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0.04</v>
      </c>
      <c r="H450" s="720"/>
      <c r="I450" s="24">
        <f t="shared" si="77"/>
        <v>0</v>
      </c>
      <c r="J450" s="720"/>
      <c r="K450" s="24">
        <f t="shared" si="78"/>
        <v>0</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0.04</v>
      </c>
      <c r="H451" s="720"/>
      <c r="I451" s="24">
        <f t="shared" si="77"/>
        <v>0</v>
      </c>
      <c r="J451" s="720"/>
      <c r="K451" s="24">
        <f t="shared" si="78"/>
        <v>0</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0.04</v>
      </c>
      <c r="H452" s="720"/>
      <c r="I452" s="24">
        <f t="shared" si="77"/>
        <v>0</v>
      </c>
      <c r="J452" s="720"/>
      <c r="K452" s="24">
        <f t="shared" si="78"/>
        <v>0</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0.04</v>
      </c>
      <c r="H453" s="720"/>
      <c r="I453" s="24">
        <f t="shared" si="77"/>
        <v>0</v>
      </c>
      <c r="J453" s="720"/>
      <c r="K453" s="24">
        <f t="shared" si="78"/>
        <v>0</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0.04</v>
      </c>
      <c r="H454" s="720"/>
      <c r="I454" s="24">
        <f t="shared" si="77"/>
        <v>0</v>
      </c>
      <c r="J454" s="720"/>
      <c r="K454" s="24">
        <f t="shared" si="78"/>
        <v>0</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0.04</v>
      </c>
      <c r="H455" s="720"/>
      <c r="I455" s="24">
        <f t="shared" si="77"/>
        <v>0</v>
      </c>
      <c r="J455" s="720"/>
      <c r="K455" s="24">
        <f t="shared" si="78"/>
        <v>0</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0.04</v>
      </c>
      <c r="H456" s="720"/>
      <c r="I456" s="24">
        <f t="shared" si="77"/>
        <v>0</v>
      </c>
      <c r="J456" s="720"/>
      <c r="K456" s="24">
        <f t="shared" si="78"/>
        <v>0</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0.04</v>
      </c>
      <c r="H457" s="720"/>
      <c r="I457" s="24">
        <f t="shared" si="77"/>
        <v>0</v>
      </c>
      <c r="J457" s="720"/>
      <c r="K457" s="24">
        <f t="shared" si="78"/>
        <v>0</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0.04</v>
      </c>
      <c r="H458" s="720"/>
      <c r="I458" s="24">
        <f t="shared" si="77"/>
        <v>0</v>
      </c>
      <c r="J458" s="720"/>
      <c r="K458" s="24">
        <f t="shared" si="78"/>
        <v>0</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0.04</v>
      </c>
      <c r="H459" s="720"/>
      <c r="I459" s="24">
        <f t="shared" si="77"/>
        <v>0</v>
      </c>
      <c r="J459" s="720"/>
      <c r="K459" s="24">
        <f t="shared" si="78"/>
        <v>0</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0.04</v>
      </c>
      <c r="H460" s="720"/>
      <c r="I460" s="24">
        <f t="shared" si="77"/>
        <v>0</v>
      </c>
      <c r="J460" s="720"/>
      <c r="K460" s="24">
        <f t="shared" si="78"/>
        <v>0</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0.04</v>
      </c>
      <c r="H461" s="720"/>
      <c r="I461" s="24">
        <f t="shared" si="77"/>
        <v>0</v>
      </c>
      <c r="J461" s="720"/>
      <c r="K461" s="24">
        <f t="shared" si="78"/>
        <v>0</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0.04</v>
      </c>
      <c r="H462" s="720"/>
      <c r="I462" s="24">
        <f t="shared" si="77"/>
        <v>0</v>
      </c>
      <c r="J462" s="720"/>
      <c r="K462" s="24">
        <f t="shared" si="78"/>
        <v>0</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0.04</v>
      </c>
      <c r="H463" s="720"/>
      <c r="I463" s="24">
        <f t="shared" si="77"/>
        <v>0</v>
      </c>
      <c r="J463" s="720"/>
      <c r="K463" s="24">
        <f t="shared" si="78"/>
        <v>0</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0.04</v>
      </c>
      <c r="H464" s="720"/>
      <c r="I464" s="24">
        <f t="shared" si="77"/>
        <v>0</v>
      </c>
      <c r="J464" s="720"/>
      <c r="K464" s="24">
        <f t="shared" si="78"/>
        <v>0</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0.04</v>
      </c>
      <c r="H465" s="720"/>
      <c r="I465" s="24">
        <f t="shared" si="77"/>
        <v>0</v>
      </c>
      <c r="J465" s="720"/>
      <c r="K465" s="24">
        <f t="shared" si="78"/>
        <v>0</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0.04</v>
      </c>
      <c r="H466" s="720"/>
      <c r="I466" s="24">
        <f t="shared" si="77"/>
        <v>0</v>
      </c>
      <c r="J466" s="720"/>
      <c r="K466" s="24">
        <f t="shared" si="78"/>
        <v>0</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0.04</v>
      </c>
      <c r="H467" s="720"/>
      <c r="I467" s="24">
        <f t="shared" si="77"/>
        <v>0</v>
      </c>
      <c r="J467" s="720"/>
      <c r="K467" s="24">
        <f t="shared" si="78"/>
        <v>0</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0.04</v>
      </c>
      <c r="H468" s="720"/>
      <c r="I468" s="24">
        <f t="shared" si="77"/>
        <v>0</v>
      </c>
      <c r="J468" s="720"/>
      <c r="K468" s="24">
        <f t="shared" si="78"/>
        <v>0</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0.04</v>
      </c>
      <c r="H469" s="720"/>
      <c r="I469" s="24">
        <f t="shared" si="77"/>
        <v>0</v>
      </c>
      <c r="J469" s="720"/>
      <c r="K469" s="24">
        <f t="shared" si="78"/>
        <v>0</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0.04</v>
      </c>
      <c r="H470" s="720"/>
      <c r="I470" s="24">
        <f t="shared" si="77"/>
        <v>0</v>
      </c>
      <c r="J470" s="720"/>
      <c r="K470" s="24">
        <f t="shared" si="78"/>
        <v>0</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0.04</v>
      </c>
      <c r="H471" s="720"/>
      <c r="I471" s="24">
        <f t="shared" si="77"/>
        <v>0</v>
      </c>
      <c r="J471" s="720"/>
      <c r="K471" s="24">
        <f t="shared" si="78"/>
        <v>0</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0.04</v>
      </c>
      <c r="H472" s="720"/>
      <c r="I472" s="24">
        <f t="shared" si="77"/>
        <v>0</v>
      </c>
      <c r="J472" s="720"/>
      <c r="K472" s="24">
        <f t="shared" si="78"/>
        <v>0</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0.04</v>
      </c>
      <c r="H473" s="720"/>
      <c r="I473" s="24">
        <f t="shared" si="77"/>
        <v>0</v>
      </c>
      <c r="J473" s="720"/>
      <c r="K473" s="24">
        <f t="shared" si="78"/>
        <v>0</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0.04</v>
      </c>
      <c r="H474" s="720"/>
      <c r="I474" s="24">
        <f t="shared" ref="I474:I524" si="88">(SUMIF($9:$9,H474,$10:$10)-SUMIF($9:$9,$H$24,$10:$10)+100)/100</f>
        <v>0</v>
      </c>
      <c r="J474" s="720"/>
      <c r="K474" s="24">
        <f t="shared" ref="K474:K524" si="89">(SUMIF($11:$11,J474,$12:$12)-SUMIF($11:$11,$J$24,$12:$12)+100)/100</f>
        <v>0</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0.04</v>
      </c>
      <c r="H475" s="720"/>
      <c r="I475" s="24">
        <f t="shared" si="88"/>
        <v>0</v>
      </c>
      <c r="J475" s="720"/>
      <c r="K475" s="24">
        <f t="shared" si="89"/>
        <v>0</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0.04</v>
      </c>
      <c r="H476" s="720"/>
      <c r="I476" s="24">
        <f t="shared" si="88"/>
        <v>0</v>
      </c>
      <c r="J476" s="720"/>
      <c r="K476" s="24">
        <f t="shared" si="89"/>
        <v>0</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0.04</v>
      </c>
      <c r="H477" s="720"/>
      <c r="I477" s="24">
        <f t="shared" si="88"/>
        <v>0</v>
      </c>
      <c r="J477" s="720"/>
      <c r="K477" s="24">
        <f t="shared" si="89"/>
        <v>0</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0.04</v>
      </c>
      <c r="H478" s="720"/>
      <c r="I478" s="24">
        <f t="shared" si="88"/>
        <v>0</v>
      </c>
      <c r="J478" s="720"/>
      <c r="K478" s="24">
        <f t="shared" si="89"/>
        <v>0</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0.04</v>
      </c>
      <c r="H479" s="720"/>
      <c r="I479" s="24">
        <f t="shared" si="88"/>
        <v>0</v>
      </c>
      <c r="J479" s="720"/>
      <c r="K479" s="24">
        <f t="shared" si="89"/>
        <v>0</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0.04</v>
      </c>
      <c r="H480" s="720"/>
      <c r="I480" s="24">
        <f t="shared" si="88"/>
        <v>0</v>
      </c>
      <c r="J480" s="720"/>
      <c r="K480" s="24">
        <f t="shared" si="89"/>
        <v>0</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0.04</v>
      </c>
      <c r="H481" s="720"/>
      <c r="I481" s="24">
        <f t="shared" si="88"/>
        <v>0</v>
      </c>
      <c r="J481" s="720"/>
      <c r="K481" s="24">
        <f t="shared" si="89"/>
        <v>0</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0.04</v>
      </c>
      <c r="H482" s="720"/>
      <c r="I482" s="24">
        <f t="shared" si="88"/>
        <v>0</v>
      </c>
      <c r="J482" s="720"/>
      <c r="K482" s="24">
        <f t="shared" si="89"/>
        <v>0</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0.04</v>
      </c>
      <c r="H483" s="720"/>
      <c r="I483" s="24">
        <f t="shared" si="88"/>
        <v>0</v>
      </c>
      <c r="J483" s="720"/>
      <c r="K483" s="24">
        <f t="shared" si="89"/>
        <v>0</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0.04</v>
      </c>
      <c r="H484" s="720"/>
      <c r="I484" s="24">
        <f t="shared" si="88"/>
        <v>0</v>
      </c>
      <c r="J484" s="720"/>
      <c r="K484" s="24">
        <f t="shared" si="89"/>
        <v>0</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0.04</v>
      </c>
      <c r="H485" s="720"/>
      <c r="I485" s="24">
        <f t="shared" si="88"/>
        <v>0</v>
      </c>
      <c r="J485" s="720"/>
      <c r="K485" s="24">
        <f t="shared" si="89"/>
        <v>0</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0.04</v>
      </c>
      <c r="H486" s="720"/>
      <c r="I486" s="24">
        <f t="shared" si="88"/>
        <v>0</v>
      </c>
      <c r="J486" s="720"/>
      <c r="K486" s="24">
        <f t="shared" si="89"/>
        <v>0</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0.04</v>
      </c>
      <c r="H487" s="720"/>
      <c r="I487" s="24">
        <f t="shared" si="88"/>
        <v>0</v>
      </c>
      <c r="J487" s="720"/>
      <c r="K487" s="24">
        <f t="shared" si="89"/>
        <v>0</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0.04</v>
      </c>
      <c r="H488" s="720"/>
      <c r="I488" s="24">
        <f t="shared" si="88"/>
        <v>0</v>
      </c>
      <c r="J488" s="720"/>
      <c r="K488" s="24">
        <f t="shared" si="89"/>
        <v>0</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0.04</v>
      </c>
      <c r="H489" s="720"/>
      <c r="I489" s="24">
        <f t="shared" si="88"/>
        <v>0</v>
      </c>
      <c r="J489" s="720"/>
      <c r="K489" s="24">
        <f t="shared" si="89"/>
        <v>0</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0.04</v>
      </c>
      <c r="H490" s="720"/>
      <c r="I490" s="24">
        <f t="shared" si="88"/>
        <v>0</v>
      </c>
      <c r="J490" s="720"/>
      <c r="K490" s="24">
        <f t="shared" si="89"/>
        <v>0</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0.04</v>
      </c>
      <c r="H491" s="720"/>
      <c r="I491" s="24">
        <f t="shared" si="88"/>
        <v>0</v>
      </c>
      <c r="J491" s="720"/>
      <c r="K491" s="24">
        <f t="shared" si="89"/>
        <v>0</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0.04</v>
      </c>
      <c r="H492" s="720"/>
      <c r="I492" s="24">
        <f t="shared" si="88"/>
        <v>0</v>
      </c>
      <c r="J492" s="720"/>
      <c r="K492" s="24">
        <f t="shared" si="89"/>
        <v>0</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0.04</v>
      </c>
      <c r="H493" s="720"/>
      <c r="I493" s="24">
        <f t="shared" si="88"/>
        <v>0</v>
      </c>
      <c r="J493" s="720"/>
      <c r="K493" s="24">
        <f t="shared" si="89"/>
        <v>0</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0.04</v>
      </c>
      <c r="H494" s="720"/>
      <c r="I494" s="24">
        <f t="shared" si="88"/>
        <v>0</v>
      </c>
      <c r="J494" s="720"/>
      <c r="K494" s="24">
        <f t="shared" si="89"/>
        <v>0</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0.04</v>
      </c>
      <c r="H495" s="720"/>
      <c r="I495" s="24">
        <f t="shared" si="88"/>
        <v>0</v>
      </c>
      <c r="J495" s="720"/>
      <c r="K495" s="24">
        <f t="shared" si="89"/>
        <v>0</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0.04</v>
      </c>
      <c r="H496" s="720"/>
      <c r="I496" s="24">
        <f t="shared" si="88"/>
        <v>0</v>
      </c>
      <c r="J496" s="720"/>
      <c r="K496" s="24">
        <f t="shared" si="89"/>
        <v>0</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0.04</v>
      </c>
      <c r="H497" s="720"/>
      <c r="I497" s="24">
        <f t="shared" si="88"/>
        <v>0</v>
      </c>
      <c r="J497" s="720"/>
      <c r="K497" s="24">
        <f t="shared" si="89"/>
        <v>0</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0.04</v>
      </c>
      <c r="H498" s="720"/>
      <c r="I498" s="24">
        <f t="shared" si="88"/>
        <v>0</v>
      </c>
      <c r="J498" s="720"/>
      <c r="K498" s="24">
        <f t="shared" si="89"/>
        <v>0</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0.04</v>
      </c>
      <c r="H499" s="720"/>
      <c r="I499" s="24">
        <f t="shared" si="88"/>
        <v>0</v>
      </c>
      <c r="J499" s="720"/>
      <c r="K499" s="24">
        <f t="shared" si="89"/>
        <v>0</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0.04</v>
      </c>
      <c r="H500" s="720"/>
      <c r="I500" s="24">
        <f t="shared" si="88"/>
        <v>0</v>
      </c>
      <c r="J500" s="720"/>
      <c r="K500" s="24">
        <f t="shared" si="89"/>
        <v>0</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0.04</v>
      </c>
      <c r="H501" s="720"/>
      <c r="I501" s="24">
        <f t="shared" si="88"/>
        <v>0</v>
      </c>
      <c r="J501" s="720"/>
      <c r="K501" s="24">
        <f t="shared" si="89"/>
        <v>0</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0.04</v>
      </c>
      <c r="H502" s="720"/>
      <c r="I502" s="24">
        <f t="shared" si="88"/>
        <v>0</v>
      </c>
      <c r="J502" s="720"/>
      <c r="K502" s="24">
        <f t="shared" si="89"/>
        <v>0</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0.04</v>
      </c>
      <c r="H503" s="720"/>
      <c r="I503" s="24">
        <f t="shared" si="88"/>
        <v>0</v>
      </c>
      <c r="J503" s="720"/>
      <c r="K503" s="24">
        <f t="shared" si="89"/>
        <v>0</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0.04</v>
      </c>
      <c r="H504" s="720"/>
      <c r="I504" s="24">
        <f t="shared" si="88"/>
        <v>0</v>
      </c>
      <c r="J504" s="720"/>
      <c r="K504" s="24">
        <f t="shared" si="89"/>
        <v>0</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0.04</v>
      </c>
      <c r="H505" s="720"/>
      <c r="I505" s="24">
        <f t="shared" si="88"/>
        <v>0</v>
      </c>
      <c r="J505" s="720"/>
      <c r="K505" s="24">
        <f t="shared" si="89"/>
        <v>0</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0.04</v>
      </c>
      <c r="H506" s="720"/>
      <c r="I506" s="24">
        <f t="shared" si="88"/>
        <v>0</v>
      </c>
      <c r="J506" s="720"/>
      <c r="K506" s="24">
        <f t="shared" si="89"/>
        <v>0</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0.04</v>
      </c>
      <c r="H507" s="720"/>
      <c r="I507" s="24">
        <f t="shared" si="88"/>
        <v>0</v>
      </c>
      <c r="J507" s="720"/>
      <c r="K507" s="24">
        <f t="shared" si="89"/>
        <v>0</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0.04</v>
      </c>
      <c r="H508" s="720"/>
      <c r="I508" s="24">
        <f t="shared" si="88"/>
        <v>0</v>
      </c>
      <c r="J508" s="720"/>
      <c r="K508" s="24">
        <f t="shared" si="89"/>
        <v>0</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0.04</v>
      </c>
      <c r="H509" s="720"/>
      <c r="I509" s="24">
        <f t="shared" si="88"/>
        <v>0</v>
      </c>
      <c r="J509" s="720"/>
      <c r="K509" s="24">
        <f t="shared" si="89"/>
        <v>0</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0.04</v>
      </c>
      <c r="H510" s="720"/>
      <c r="I510" s="24">
        <f t="shared" si="88"/>
        <v>0</v>
      </c>
      <c r="J510" s="720"/>
      <c r="K510" s="24">
        <f t="shared" si="89"/>
        <v>0</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0.04</v>
      </c>
      <c r="H511" s="720"/>
      <c r="I511" s="24">
        <f t="shared" si="88"/>
        <v>0</v>
      </c>
      <c r="J511" s="720"/>
      <c r="K511" s="24">
        <f t="shared" si="89"/>
        <v>0</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0.04</v>
      </c>
      <c r="H512" s="720"/>
      <c r="I512" s="24">
        <f t="shared" si="88"/>
        <v>0</v>
      </c>
      <c r="J512" s="720"/>
      <c r="K512" s="24">
        <f t="shared" si="89"/>
        <v>0</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0.04</v>
      </c>
      <c r="H513" s="720"/>
      <c r="I513" s="24">
        <f t="shared" si="88"/>
        <v>0</v>
      </c>
      <c r="J513" s="720"/>
      <c r="K513" s="24">
        <f t="shared" si="89"/>
        <v>0</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0.04</v>
      </c>
      <c r="H514" s="720"/>
      <c r="I514" s="24">
        <f t="shared" si="88"/>
        <v>0</v>
      </c>
      <c r="J514" s="720"/>
      <c r="K514" s="24">
        <f t="shared" si="89"/>
        <v>0</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0.04</v>
      </c>
      <c r="H515" s="720"/>
      <c r="I515" s="24">
        <f t="shared" si="88"/>
        <v>0</v>
      </c>
      <c r="J515" s="720"/>
      <c r="K515" s="24">
        <f t="shared" si="89"/>
        <v>0</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0.04</v>
      </c>
      <c r="H516" s="720"/>
      <c r="I516" s="24">
        <f t="shared" si="88"/>
        <v>0</v>
      </c>
      <c r="J516" s="720"/>
      <c r="K516" s="24">
        <f t="shared" si="89"/>
        <v>0</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0.04</v>
      </c>
      <c r="H517" s="720"/>
      <c r="I517" s="24">
        <f t="shared" si="88"/>
        <v>0</v>
      </c>
      <c r="J517" s="720"/>
      <c r="K517" s="24">
        <f t="shared" si="89"/>
        <v>0</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0.04</v>
      </c>
      <c r="H518" s="720"/>
      <c r="I518" s="24">
        <f t="shared" si="88"/>
        <v>0</v>
      </c>
      <c r="J518" s="720"/>
      <c r="K518" s="24">
        <f t="shared" si="89"/>
        <v>0</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0.04</v>
      </c>
      <c r="H519" s="720"/>
      <c r="I519" s="24">
        <f t="shared" si="88"/>
        <v>0</v>
      </c>
      <c r="J519" s="720"/>
      <c r="K519" s="24">
        <f t="shared" si="89"/>
        <v>0</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0.04</v>
      </c>
      <c r="H520" s="720"/>
      <c r="I520" s="24">
        <f t="shared" si="88"/>
        <v>0</v>
      </c>
      <c r="J520" s="720"/>
      <c r="K520" s="24">
        <f t="shared" si="89"/>
        <v>0</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0.04</v>
      </c>
      <c r="H521" s="720"/>
      <c r="I521" s="24">
        <f t="shared" si="88"/>
        <v>0</v>
      </c>
      <c r="J521" s="720"/>
      <c r="K521" s="24">
        <f t="shared" si="89"/>
        <v>0</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0.04</v>
      </c>
      <c r="H522" s="720"/>
      <c r="I522" s="24">
        <f t="shared" si="88"/>
        <v>0</v>
      </c>
      <c r="J522" s="720"/>
      <c r="K522" s="24">
        <f t="shared" si="89"/>
        <v>0</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0.04</v>
      </c>
      <c r="H523" s="720"/>
      <c r="I523" s="24">
        <f t="shared" si="88"/>
        <v>0</v>
      </c>
      <c r="J523" s="720"/>
      <c r="K523" s="24">
        <f t="shared" si="89"/>
        <v>0</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0.04</v>
      </c>
      <c r="H524" s="720"/>
      <c r="I524" s="24">
        <f t="shared" si="88"/>
        <v>0</v>
      </c>
      <c r="J524" s="720"/>
      <c r="K524" s="24">
        <f t="shared" si="89"/>
        <v>0</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3"/>
      <c r="B4" s="2964" t="s">
        <v>1630</v>
      </c>
      <c r="C4" s="2964"/>
      <c r="D4" s="2964"/>
      <c r="E4" s="1963"/>
    </row>
    <row r="5" spans="1:5" ht="16.5" thickTop="1">
      <c r="A5" s="1961"/>
      <c r="B5" s="2962" t="s">
        <v>1622</v>
      </c>
      <c r="C5" s="1964" t="s">
        <v>1623</v>
      </c>
      <c r="D5" s="1043">
        <f ca="1">结果表!H101</f>
        <v>822</v>
      </c>
      <c r="E5" s="1961"/>
    </row>
    <row r="6" spans="1:5" ht="15.75">
      <c r="A6" s="1961"/>
      <c r="B6" s="2962"/>
      <c r="C6" s="1964" t="s">
        <v>1624</v>
      </c>
      <c r="D6" s="1043" t="str">
        <f ca="1">NUMBERSTRING(INT(D5*10000),2)&amp;"元整"</f>
        <v>捌佰贰拾贰万元整</v>
      </c>
      <c r="E6" s="1961"/>
    </row>
    <row r="7" spans="1:5" ht="15.75">
      <c r="A7" s="1961"/>
      <c r="B7" s="2967"/>
      <c r="C7" s="1965" t="s">
        <v>1625</v>
      </c>
      <c r="D7" s="1044">
        <f ca="1">结果表!H102</f>
        <v>65902</v>
      </c>
      <c r="E7" s="1961"/>
    </row>
    <row r="8" spans="1:5" ht="15.75">
      <c r="A8" s="1961"/>
      <c r="B8" s="2968" t="str">
        <f>结果表!E103</f>
        <v>2.估价师知悉的法定优先受偿款</v>
      </c>
      <c r="C8" s="1966" t="s">
        <v>1626</v>
      </c>
      <c r="D8" s="1044">
        <f>结果表!H103</f>
        <v>0</v>
      </c>
      <c r="E8" s="1961"/>
    </row>
    <row r="9" spans="1:5" ht="15.75">
      <c r="A9" s="1961"/>
      <c r="B9" s="2970"/>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1" t="str">
        <f>结果表!E107</f>
        <v>——</v>
      </c>
      <c r="C13" s="1969" t="s">
        <v>1623</v>
      </c>
      <c r="D13" s="1046" t="str">
        <f>结果表!H107</f>
        <v>——</v>
      </c>
      <c r="E13" s="1961"/>
    </row>
    <row r="14" spans="1:5" ht="15.75">
      <c r="A14" s="1961"/>
      <c r="B14" s="2962"/>
      <c r="C14" s="1964" t="s">
        <v>1624</v>
      </c>
      <c r="D14" s="1043" t="e">
        <f>NUMBERSTRING(INT(D13*10000),2)&amp;"元整"</f>
        <v>#VALUE!</v>
      </c>
      <c r="E14" s="1961"/>
    </row>
    <row r="15" spans="1:5" ht="15">
      <c r="A15" s="1961"/>
      <c r="B15" s="2967"/>
      <c r="C15" s="1965" t="s">
        <v>1634</v>
      </c>
      <c r="D15" s="1055" t="e">
        <f>结果表!H108</f>
        <v>#VALUE!</v>
      </c>
      <c r="E15" s="1961"/>
    </row>
    <row r="16" spans="1:5" ht="15">
      <c r="A16" s="1961"/>
      <c r="B16" s="2968" t="str">
        <f>结果表!E109</f>
        <v>3.抵押担保权已注销时的房地产抵押价值</v>
      </c>
      <c r="C16" s="1969" t="s">
        <v>1635</v>
      </c>
      <c r="D16" s="1970">
        <f ca="1">结果表!H109</f>
        <v>822</v>
      </c>
      <c r="E16" s="1961"/>
    </row>
    <row r="17" spans="1:5" ht="15.75">
      <c r="A17" s="1961"/>
      <c r="B17" s="2969"/>
      <c r="C17" s="1964" t="s">
        <v>1636</v>
      </c>
      <c r="D17" s="1043" t="str">
        <f ca="1">NUMBERSTRING(INT(D16*10000),2)&amp;"元整"</f>
        <v>捌佰贰拾贰万元整</v>
      </c>
      <c r="E17" s="1961"/>
    </row>
    <row r="18" spans="1:5" ht="15">
      <c r="A18" s="1961"/>
      <c r="B18" s="2970"/>
      <c r="C18" s="1965" t="s">
        <v>1625</v>
      </c>
      <c r="D18" s="1055">
        <f ca="1">结果表!H110</f>
        <v>65902</v>
      </c>
      <c r="E18" s="1961"/>
    </row>
    <row r="19" spans="1:5" ht="15.75">
      <c r="A19" s="1961"/>
      <c r="B19" s="2961" t="str">
        <f>结果表!E111</f>
        <v>——</v>
      </c>
      <c r="C19" s="1969" t="s">
        <v>1623</v>
      </c>
      <c r="D19" s="1044" t="str">
        <f>结果表!H111</f>
        <v>——</v>
      </c>
      <c r="E19" s="1961"/>
    </row>
    <row r="20" spans="1:5" ht="15.75">
      <c r="A20" s="1961"/>
      <c r="B20" s="2962"/>
      <c r="C20" s="1964" t="s">
        <v>1636</v>
      </c>
      <c r="D20" s="1043" t="e">
        <f>NUMBERSTRING(INT(D19*10000),2)&amp;"元整"</f>
        <v>#VALUE!</v>
      </c>
      <c r="E20" s="1961"/>
    </row>
    <row r="21" spans="1:5" ht="15.75" thickBot="1">
      <c r="A21" s="1961"/>
      <c r="B21" s="2963"/>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29615</v>
      </c>
      <c r="C2" s="2" t="s">
        <v>133</v>
      </c>
      <c r="D2" s="243"/>
      <c r="E2" s="243"/>
      <c r="F2" s="243"/>
      <c r="G2" s="243"/>
    </row>
    <row r="3" spans="1:7" s="244" customFormat="1" ht="18" customHeight="1" thickBot="1">
      <c r="A3" s="247" t="s">
        <v>85</v>
      </c>
      <c r="B3" s="248">
        <f ca="1">ROUND(B2*10000/'数据-汇总表'!E3,0)</f>
        <v>2374329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v>
      </c>
      <c r="D9" s="1035">
        <f>'数据-汇总表'!E5</f>
        <v>124.73</v>
      </c>
      <c r="E9" s="269">
        <f>'数据-取费表'!B27</f>
        <v>200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124.73</v>
      </c>
      <c r="E19" s="255">
        <f>'数据-取费表'!B31</f>
        <v>200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4205</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124.73</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v>
      </c>
      <c r="D42" s="282"/>
      <c r="E42" s="282"/>
      <c r="F42" s="283"/>
      <c r="G42" s="3146" t="s">
        <v>121</v>
      </c>
    </row>
    <row r="43" spans="1:7" ht="13.5" customHeight="1">
      <c r="A43" s="954" t="s">
        <v>792</v>
      </c>
      <c r="B43" s="259" t="s">
        <v>1064</v>
      </c>
      <c r="C43" s="282">
        <f ca="1">ROUND(IF('数据-取费表'!B22&lt;=1,C39*F22*'数据-取费表'!B21/2,C39*(POWER((1+F22),'数据-取费表'!B21/2)-1)),0)</f>
        <v>0</v>
      </c>
      <c r="D43" s="282"/>
      <c r="E43" s="282"/>
      <c r="F43" s="283"/>
      <c r="G43" s="3147"/>
    </row>
    <row r="44" spans="1:7" ht="13.5" customHeight="1">
      <c r="A44" s="954" t="s">
        <v>793</v>
      </c>
      <c r="B44" s="259" t="s">
        <v>1066</v>
      </c>
      <c r="C44" s="282">
        <f ca="1">ROUND(IF('数据-取费表'!B22&lt;=1,C40*F22*'数据-取费表'!B21/2,C40*(POWER((1+F22),'数据-取费表'!B21/2)-1)),4)</f>
        <v>1E-3</v>
      </c>
      <c r="D44" s="282"/>
      <c r="E44" s="282"/>
      <c r="F44" s="283"/>
      <c r="G44" s="3148"/>
    </row>
    <row r="45" spans="1:7" s="258" customFormat="1" ht="13.5" customHeight="1">
      <c r="A45" s="951" t="s">
        <v>786</v>
      </c>
      <c r="B45" s="288" t="s">
        <v>112</v>
      </c>
      <c r="C45" s="289">
        <f>C46</f>
        <v>9</v>
      </c>
      <c r="D45" s="279">
        <f>C47</f>
        <v>4.0000000000000001E-3</v>
      </c>
      <c r="E45" s="280" t="s">
        <v>129</v>
      </c>
      <c r="F45" s="290"/>
      <c r="G45" s="291" t="s">
        <v>1072</v>
      </c>
    </row>
    <row r="46" spans="1:7" s="258" customFormat="1" ht="13.5" customHeight="1">
      <c r="A46" s="954" t="s">
        <v>794</v>
      </c>
      <c r="B46" s="292" t="s">
        <v>1065</v>
      </c>
      <c r="C46" s="293">
        <f>ROUND((C33+C39)*F27,0)</f>
        <v>9</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60</v>
      </c>
      <c r="D49" s="276"/>
      <c r="E49" s="276"/>
      <c r="F49" s="308"/>
      <c r="G49" s="278" t="s">
        <v>1073</v>
      </c>
    </row>
    <row r="50" spans="1:7" s="302" customFormat="1" ht="24">
      <c r="A50" s="951" t="s">
        <v>789</v>
      </c>
      <c r="B50" s="254" t="s">
        <v>124</v>
      </c>
      <c r="C50" s="276"/>
      <c r="D50" s="276"/>
      <c r="E50" s="276"/>
      <c r="F50" s="308">
        <f>IF('数据-取费表'!B24=0,'数据-取费表'!N16,1)</f>
        <v>0.77</v>
      </c>
      <c r="G50" s="291" t="s">
        <v>125</v>
      </c>
    </row>
    <row r="51" spans="1:7" ht="16.5" customHeight="1">
      <c r="A51" s="951" t="s">
        <v>790</v>
      </c>
      <c r="B51" s="254" t="s">
        <v>132</v>
      </c>
      <c r="C51" s="276">
        <f ca="1">ROUND(C49*F50,0)</f>
        <v>46</v>
      </c>
      <c r="D51" s="276"/>
      <c r="E51" s="276"/>
      <c r="F51" s="308"/>
      <c r="G51" s="278" t="s">
        <v>64</v>
      </c>
    </row>
    <row r="52" spans="1:7" s="252" customFormat="1" ht="16.5" thickBot="1">
      <c r="A52" s="309" t="s">
        <v>65</v>
      </c>
      <c r="B52" s="310"/>
      <c r="C52" s="311">
        <f ca="1">C31+C51</f>
        <v>29615</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871</v>
      </c>
      <c r="B1" s="328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43217</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66" sqref="N66"/>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7" t="s">
        <v>1638</v>
      </c>
      <c r="E3" s="1047" t="s">
        <v>1644</v>
      </c>
      <c r="F3" s="1047" t="s">
        <v>1638</v>
      </c>
      <c r="G3" s="1047" t="s">
        <v>1639</v>
      </c>
      <c r="H3" s="1047" t="s">
        <v>1638</v>
      </c>
      <c r="I3" s="1047" t="s">
        <v>1639</v>
      </c>
    </row>
    <row r="4" spans="1:9" ht="45">
      <c r="A4" s="1975" t="str">
        <f>项目基本情况!S2</f>
        <v>北京市海淀区枫涟山庄12号楼2层5单元201号房地产</v>
      </c>
      <c r="B4" s="1047">
        <f>项目基本情况!C17</f>
        <v>124.73</v>
      </c>
      <c r="C4" s="1047">
        <f>项目基本情况!C18</f>
        <v>0</v>
      </c>
      <c r="D4" s="1047" t="e">
        <f ca="1">结果表!D118</f>
        <v>#REF!</v>
      </c>
      <c r="E4" s="1047" t="e">
        <f ca="1">结果表!E118</f>
        <v>#REF!</v>
      </c>
      <c r="F4" s="1047" t="e">
        <f ca="1">结果表!F118</f>
        <v>#REF!</v>
      </c>
      <c r="G4" s="1047" t="e">
        <f ca="1">结果表!G118</f>
        <v>#REF!</v>
      </c>
      <c r="H4" s="1047">
        <f ca="1">结果表!H118</f>
        <v>822</v>
      </c>
      <c r="I4" s="1047">
        <f ca="1">结果表!I118</f>
        <v>65902</v>
      </c>
    </row>
    <row r="5" spans="1:9" ht="30" customHeight="1">
      <c r="A5" s="2973" t="s">
        <v>1640</v>
      </c>
      <c r="B5" s="2973"/>
      <c r="C5" s="2973"/>
      <c r="D5" s="2974" t="e">
        <f ca="1">结果表!D119</f>
        <v>#REF!</v>
      </c>
      <c r="E5" s="2974"/>
      <c r="F5" s="2974" t="e">
        <f ca="1">结果表!F119</f>
        <v>#REF!</v>
      </c>
      <c r="G5" s="2974"/>
      <c r="H5" s="2974" t="str">
        <f ca="1">结果表!H119</f>
        <v>捌佰贰拾贰万元整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
      </c>
      <c r="B8" s="2975"/>
      <c r="C8" s="2975"/>
      <c r="D8" s="2975" t="str">
        <f>结果表!D122</f>
        <v>——</v>
      </c>
      <c r="E8" s="2975"/>
      <c r="F8" s="2975"/>
      <c r="G8" s="2975"/>
      <c r="H8" s="2975"/>
      <c r="I8" s="2975"/>
    </row>
    <row r="9" spans="1:9" ht="15">
      <c r="A9" s="2973" t="s">
        <v>1640</v>
      </c>
      <c r="B9" s="2973"/>
      <c r="C9" s="2973"/>
      <c r="D9" s="2974" t="e">
        <f>结果表!D123</f>
        <v>#VALUE!</v>
      </c>
      <c r="E9" s="2974"/>
      <c r="F9" s="2974"/>
      <c r="G9" s="2974"/>
      <c r="H9" s="2974"/>
      <c r="I9" s="2974"/>
    </row>
    <row r="10" spans="1:9" ht="15.75">
      <c r="A10" s="2975" t="str">
        <f>结果表!A124</f>
        <v>抵押担保权已注销时的房地产抵押价值</v>
      </c>
      <c r="B10" s="2975"/>
      <c r="C10" s="2975"/>
      <c r="D10" s="2975">
        <f ca="1">结果表!D124</f>
        <v>822</v>
      </c>
      <c r="E10" s="2975"/>
      <c r="F10" s="2975"/>
      <c r="G10" s="2975"/>
      <c r="H10" s="2975"/>
      <c r="I10" s="2975"/>
    </row>
    <row r="11" spans="1:9" ht="15">
      <c r="A11" s="2973" t="s">
        <v>1640</v>
      </c>
      <c r="B11" s="2973"/>
      <c r="C11" s="2973"/>
      <c r="D11" s="2974" t="str">
        <f ca="1">结果表!D125</f>
        <v>捌佰贰拾贰万元整</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2" t="s">
        <v>1662</v>
      </c>
      <c r="B1" s="2982"/>
      <c r="C1" s="2982"/>
      <c r="D1" s="2982"/>
    </row>
    <row r="2" spans="1:4" ht="18">
      <c r="A2" s="2983" t="s">
        <v>1646</v>
      </c>
      <c r="B2" s="2983"/>
      <c r="C2" s="2983"/>
      <c r="D2" s="2983"/>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2983" t="s">
        <v>1652</v>
      </c>
      <c r="B6" s="2983"/>
      <c r="C6" s="2983"/>
      <c r="D6" s="2983"/>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1658</v>
      </c>
      <c r="B22" s="2990"/>
      <c r="C22" s="2990"/>
      <c r="D22" s="299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6" t="s">
        <v>1669</v>
      </c>
      <c r="B15" s="2991" t="s">
        <v>136</v>
      </c>
      <c r="C15" s="2992"/>
    </row>
    <row r="16" spans="1:7" ht="13.5">
      <c r="A16" s="2997"/>
      <c r="B16" s="2991" t="s">
        <v>69</v>
      </c>
      <c r="C16" s="2992"/>
    </row>
    <row r="17" spans="1:3" ht="13.5">
      <c r="A17" s="2997"/>
      <c r="B17" s="2994" t="s">
        <v>1670</v>
      </c>
      <c r="C17" s="2002" t="s">
        <v>1669</v>
      </c>
    </row>
    <row r="18" spans="1:3" ht="13.5">
      <c r="A18" s="2997"/>
      <c r="B18" s="2994"/>
      <c r="C18" s="2002" t="s">
        <v>1671</v>
      </c>
    </row>
    <row r="19" spans="1:3" ht="13.5">
      <c r="A19" s="2997"/>
      <c r="B19" s="2994"/>
      <c r="C19" s="2002" t="s">
        <v>1672</v>
      </c>
    </row>
    <row r="20" spans="1:3" ht="13.5">
      <c r="A20" s="2998"/>
      <c r="B20" s="2993" t="s">
        <v>1673</v>
      </c>
      <c r="C20" s="2992"/>
    </row>
    <row r="21" spans="1:3" ht="13.5">
      <c r="A21" s="2003" t="s">
        <v>1674</v>
      </c>
      <c r="B21" s="2004"/>
      <c r="C21" s="2005"/>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2" t="s">
        <v>1680</v>
      </c>
    </row>
    <row r="26" spans="1:3" ht="13.5">
      <c r="A26" s="2995"/>
      <c r="B26" s="2994"/>
      <c r="C26" s="2002" t="s">
        <v>1681</v>
      </c>
    </row>
    <row r="27" spans="1:3" ht="13.5">
      <c r="A27" s="2995"/>
      <c r="B27" s="2994"/>
      <c r="C27" s="2002" t="s">
        <v>1682</v>
      </c>
    </row>
    <row r="28" spans="1:3" ht="13.5">
      <c r="A28" s="2995"/>
      <c r="B28" s="2994"/>
      <c r="C28" s="2002" t="s">
        <v>1683</v>
      </c>
    </row>
    <row r="29" spans="1:3" ht="13.5">
      <c r="A29" s="2995"/>
      <c r="B29" s="2994"/>
      <c r="C29" s="2002" t="s">
        <v>1684</v>
      </c>
    </row>
    <row r="30" spans="1:3" ht="13.5">
      <c r="A30" s="2995"/>
      <c r="B30" s="2994"/>
      <c r="C30" s="2002" t="s">
        <v>1685</v>
      </c>
    </row>
    <row r="31" spans="1:3" ht="13.5">
      <c r="A31" s="2995"/>
      <c r="B31" s="2994"/>
      <c r="C31" s="2002" t="s">
        <v>1686</v>
      </c>
    </row>
    <row r="32" spans="1:3" ht="13.5">
      <c r="A32" s="2995"/>
      <c r="B32" s="2994"/>
      <c r="C32" s="2002" t="s">
        <v>1687</v>
      </c>
    </row>
    <row r="33" spans="1:3" ht="13.5">
      <c r="A33" s="2995"/>
      <c r="B33" s="299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2018-04-27T01:50:04Z</cp:lastPrinted>
  <dcterms:created xsi:type="dcterms:W3CDTF">2015-07-13T07:17:23Z</dcterms:created>
  <dcterms:modified xsi:type="dcterms:W3CDTF">2018-05-18T05:23:51Z</dcterms:modified>
</cp:coreProperties>
</file>