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24A94DE-9694-44DB-A9F6-6CEE95F89F2C}" xr6:coauthVersionLast="47" xr6:coauthVersionMax="47" xr10:uidLastSave="{00000000-0000-0000-0000-000000000000}"/>
  <bookViews>
    <workbookView xWindow="-108" yWindow="-108" windowWidth="20376" windowHeight="1221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1" r:id="rId28"/>
    <sheet name="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 i="4" l="1"/>
  <c r="D33" i="43"/>
  <c r="B55" i="1"/>
  <c r="J49" i="67"/>
  <c r="Y6" i="1"/>
  <c r="B131" i="81"/>
  <c r="B129" i="81"/>
  <c r="B127" i="81"/>
  <c r="G126" i="81"/>
  <c r="D126" i="81"/>
  <c r="E126" i="81" s="1"/>
  <c r="F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I116" i="81"/>
  <c r="J116" i="81" s="1"/>
  <c r="K116" i="81" s="1"/>
  <c r="L116" i="81" s="1"/>
  <c r="M116" i="81" s="1"/>
  <c r="E116" i="81"/>
  <c r="F116" i="81" s="1"/>
  <c r="G116" i="81" s="1"/>
  <c r="H116" i="81" s="1"/>
  <c r="D116" i="81"/>
  <c r="G114" i="81"/>
  <c r="H114" i="81" s="1"/>
  <c r="I114" i="81" s="1"/>
  <c r="J114" i="81" s="1"/>
  <c r="K114" i="81" s="1"/>
  <c r="L114" i="81" s="1"/>
  <c r="M114" i="81" s="1"/>
  <c r="D114" i="81"/>
  <c r="E114" i="81" s="1"/>
  <c r="F114" i="81" s="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H105" i="81"/>
  <c r="F105" i="81"/>
  <c r="G105" i="81" s="1"/>
  <c r="D105" i="81"/>
  <c r="C105" i="8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F30" i="81" s="1"/>
  <c r="B93" i="81"/>
  <c r="E92" i="81"/>
  <c r="F92" i="81" s="1"/>
  <c r="G92" i="81" s="1"/>
  <c r="H92" i="81" s="1"/>
  <c r="I92" i="81" s="1"/>
  <c r="J92" i="81" s="1"/>
  <c r="K92" i="81" s="1"/>
  <c r="L92" i="81" s="1"/>
  <c r="M92" i="81" s="1"/>
  <c r="D92" i="81"/>
  <c r="B91" i="81"/>
  <c r="J28" i="81" s="1"/>
  <c r="F90" i="81"/>
  <c r="G90" i="81" s="1"/>
  <c r="H90" i="81" s="1"/>
  <c r="I90" i="81" s="1"/>
  <c r="J90" i="81" s="1"/>
  <c r="K90" i="81" s="1"/>
  <c r="L90" i="81" s="1"/>
  <c r="M90" i="81" s="1"/>
  <c r="D90" i="81"/>
  <c r="E90" i="81" s="1"/>
  <c r="B89" i="81"/>
  <c r="I88" i="81"/>
  <c r="J88" i="81" s="1"/>
  <c r="K88" i="81" s="1"/>
  <c r="L88" i="81" s="1"/>
  <c r="M88" i="81" s="1"/>
  <c r="E88" i="81"/>
  <c r="F88" i="81" s="1"/>
  <c r="G88" i="81" s="1"/>
  <c r="H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K67" i="81"/>
  <c r="J67" i="81" s="1"/>
  <c r="I67" i="81" s="1"/>
  <c r="H67" i="81" s="1"/>
  <c r="G67" i="81" s="1"/>
  <c r="C64" i="81"/>
  <c r="I55" i="81"/>
  <c r="J55" i="81" s="1"/>
  <c r="G55" i="81"/>
  <c r="H55" i="81" s="1"/>
  <c r="E55" i="81"/>
  <c r="F55" i="81" s="1"/>
  <c r="P50" i="81"/>
  <c r="P49" i="81"/>
  <c r="K49" i="81"/>
  <c r="V48" i="81"/>
  <c r="T48" i="81"/>
  <c r="R48" i="81"/>
  <c r="P48" i="81"/>
  <c r="U47"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AC44" i="81"/>
  <c r="Q44" i="81"/>
  <c r="Z44" i="81" s="1"/>
  <c r="J44" i="81"/>
  <c r="W44" i="81" s="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Q40" i="81"/>
  <c r="Z40" i="81" s="1"/>
  <c r="J40" i="81"/>
  <c r="AC40" i="81" s="1"/>
  <c r="U39" i="81"/>
  <c r="Q39" i="81"/>
  <c r="Z39" i="81" s="1"/>
  <c r="J39" i="81"/>
  <c r="AC39" i="81" s="1"/>
  <c r="H39" i="81"/>
  <c r="AB39" i="81" s="1"/>
  <c r="F39" i="81"/>
  <c r="AA39" i="81" s="1"/>
  <c r="Q38" i="81"/>
  <c r="Z38" i="81" s="1"/>
  <c r="J38" i="81"/>
  <c r="AC38" i="81" s="1"/>
  <c r="H38" i="81"/>
  <c r="AB38" i="81" s="1"/>
  <c r="F38" i="81"/>
  <c r="AA38" i="81" s="1"/>
  <c r="Q37" i="81"/>
  <c r="Z37" i="81" s="1"/>
  <c r="G37" i="81"/>
  <c r="C37" i="81"/>
  <c r="I37" i="81" s="1"/>
  <c r="W36" i="81"/>
  <c r="Q36" i="81"/>
  <c r="Z36" i="81" s="1"/>
  <c r="J36" i="81"/>
  <c r="AC36" i="81" s="1"/>
  <c r="H36" i="81"/>
  <c r="AB36" i="81" s="1"/>
  <c r="F36" i="81"/>
  <c r="AA36" i="81" s="1"/>
  <c r="U35" i="81"/>
  <c r="Q35" i="81"/>
  <c r="Z35" i="81" s="1"/>
  <c r="J35" i="81"/>
  <c r="AC35" i="81" s="1"/>
  <c r="H35" i="81"/>
  <c r="AB35" i="81" s="1"/>
  <c r="F35" i="81"/>
  <c r="AA35" i="81" s="1"/>
  <c r="Q34" i="81"/>
  <c r="Z34" i="81" s="1"/>
  <c r="F34" i="81"/>
  <c r="AA34" i="81" s="1"/>
  <c r="C34" i="81"/>
  <c r="AC33" i="81"/>
  <c r="W33" i="81"/>
  <c r="Q33" i="81"/>
  <c r="Z33" i="81" s="1"/>
  <c r="J33" i="81"/>
  <c r="H33" i="81"/>
  <c r="AB33" i="81" s="1"/>
  <c r="F33" i="81"/>
  <c r="AA33" i="81" s="1"/>
  <c r="AB32" i="81"/>
  <c r="Z32" i="81"/>
  <c r="U32" i="81"/>
  <c r="Q32" i="81"/>
  <c r="J32" i="81"/>
  <c r="AC32" i="81" s="1"/>
  <c r="H32" i="81"/>
  <c r="F32" i="81"/>
  <c r="AA32" i="81" s="1"/>
  <c r="AA31" i="81"/>
  <c r="Q31" i="81"/>
  <c r="Z31" i="81" s="1"/>
  <c r="J31" i="81"/>
  <c r="W31" i="81" s="1"/>
  <c r="H31" i="81"/>
  <c r="AB31" i="81" s="1"/>
  <c r="F31" i="81"/>
  <c r="S31" i="81" s="1"/>
  <c r="AB30" i="81"/>
  <c r="W30" i="81"/>
  <c r="Q30" i="81"/>
  <c r="Z30" i="81" s="1"/>
  <c r="J30" i="81"/>
  <c r="AC30" i="81" s="1"/>
  <c r="H30" i="81"/>
  <c r="U30" i="81" s="1"/>
  <c r="AB29" i="81"/>
  <c r="Q29" i="81"/>
  <c r="Z29" i="81" s="1"/>
  <c r="J29" i="81"/>
  <c r="W29" i="81" s="1"/>
  <c r="H29" i="81"/>
  <c r="U29" i="81" s="1"/>
  <c r="F29" i="81"/>
  <c r="AA29" i="81" s="1"/>
  <c r="Q28" i="81"/>
  <c r="Z28" i="81" s="1"/>
  <c r="F28" i="81"/>
  <c r="S28" i="81" s="1"/>
  <c r="Q27" i="81"/>
  <c r="Z27" i="81" s="1"/>
  <c r="J27" i="81"/>
  <c r="AC27" i="81" s="1"/>
  <c r="H27" i="81"/>
  <c r="AB27" i="81" s="1"/>
  <c r="F27" i="81"/>
  <c r="S27" i="81" s="1"/>
  <c r="Z25" i="81"/>
  <c r="U25" i="81"/>
  <c r="Q25" i="81"/>
  <c r="J25" i="81"/>
  <c r="W25" i="81" s="1"/>
  <c r="H25" i="81"/>
  <c r="AB25" i="81" s="1"/>
  <c r="F25" i="8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S9" i="81" s="1"/>
  <c r="J8" i="81"/>
  <c r="AC8" i="81" s="1"/>
  <c r="H8" i="81"/>
  <c r="U8" i="81" s="1"/>
  <c r="F8" i="81"/>
  <c r="AA8" i="81" s="1"/>
  <c r="D3" i="81"/>
  <c r="G105" i="34"/>
  <c r="H105" i="34" s="1"/>
  <c r="I105" i="34" s="1"/>
  <c r="C105" i="34"/>
  <c r="D105" i="34"/>
  <c r="G37" i="34"/>
  <c r="E37" i="34"/>
  <c r="C37" i="34"/>
  <c r="C34" i="34"/>
  <c r="F105" i="34"/>
  <c r="J67" i="34"/>
  <c r="I67" i="34" s="1"/>
  <c r="H67" i="34" s="1"/>
  <c r="G67" i="34" s="1"/>
  <c r="F67" i="34" s="1"/>
  <c r="E67" i="34" s="1"/>
  <c r="D67" i="34" s="1"/>
  <c r="C67" i="34" s="1"/>
  <c r="K67" i="34"/>
  <c r="F19" i="6"/>
  <c r="B21" i="1"/>
  <c r="N21" i="1"/>
  <c r="N6" i="1" s="1"/>
  <c r="N19" i="1"/>
  <c r="C60" i="78"/>
  <c r="D60" i="78" s="1"/>
  <c r="B55" i="78"/>
  <c r="D55" i="78" s="1"/>
  <c r="D53" i="78"/>
  <c r="D52" i="78"/>
  <c r="B51" i="78"/>
  <c r="B56" i="78" s="1"/>
  <c r="D2" i="81"/>
  <c r="W40" i="81" l="1"/>
  <c r="S8" i="81"/>
  <c r="W8" i="81"/>
  <c r="W27" i="81"/>
  <c r="AA27" i="81"/>
  <c r="S34" i="81"/>
  <c r="F67" i="81"/>
  <c r="E67" i="81" s="1"/>
  <c r="D67" i="81" s="1"/>
  <c r="C67" i="81" s="1"/>
  <c r="F10" i="81"/>
  <c r="H10" i="81"/>
  <c r="J10" i="81"/>
  <c r="AA9" i="81"/>
  <c r="S29" i="81"/>
  <c r="AC28" i="81"/>
  <c r="W28" i="81"/>
  <c r="U9" i="81"/>
  <c r="S12" i="81"/>
  <c r="U13" i="81"/>
  <c r="W14" i="81"/>
  <c r="W15" i="81"/>
  <c r="W17" i="81"/>
  <c r="W19" i="81"/>
  <c r="W21" i="81"/>
  <c r="W23" i="81"/>
  <c r="H28" i="81"/>
  <c r="AC29" i="81"/>
  <c r="AC31" i="81"/>
  <c r="S33" i="81"/>
  <c r="U43" i="81"/>
  <c r="U15" i="81"/>
  <c r="U19" i="81"/>
  <c r="U23" i="81"/>
  <c r="AB8" i="81"/>
  <c r="S11" i="81"/>
  <c r="W13" i="81"/>
  <c r="AA25" i="81"/>
  <c r="S25" i="81"/>
  <c r="AC25" i="81"/>
  <c r="AA28" i="81"/>
  <c r="J37" i="81"/>
  <c r="S38" i="81"/>
  <c r="S46" i="81"/>
  <c r="AA30" i="81"/>
  <c r="S30" i="81"/>
  <c r="F118" i="81"/>
  <c r="G118" i="81" s="1"/>
  <c r="H40" i="81"/>
  <c r="F40" i="81"/>
  <c r="W11" i="81"/>
  <c r="S13" i="81"/>
  <c r="U14" i="81"/>
  <c r="U17" i="81"/>
  <c r="U21" i="81"/>
  <c r="W9" i="81"/>
  <c r="U12" i="81"/>
  <c r="U11" i="81"/>
  <c r="W12" i="81"/>
  <c r="S14" i="81"/>
  <c r="S15" i="81"/>
  <c r="S17" i="81"/>
  <c r="S19" i="81"/>
  <c r="S21" i="81"/>
  <c r="S23" i="81"/>
  <c r="H37" i="81"/>
  <c r="J34" i="81"/>
  <c r="I105" i="81"/>
  <c r="H34" i="81"/>
  <c r="S32" i="81"/>
  <c r="U33" i="81"/>
  <c r="W35" i="81"/>
  <c r="U38" i="81"/>
  <c r="W39" i="81"/>
  <c r="S41" i="81"/>
  <c r="U42" i="81"/>
  <c r="W43" i="81"/>
  <c r="S45" i="81"/>
  <c r="U46" i="81"/>
  <c r="W47" i="81"/>
  <c r="S36" i="81"/>
  <c r="E37" i="81"/>
  <c r="F37" i="81" s="1"/>
  <c r="W38" i="81"/>
  <c r="U41" i="81"/>
  <c r="W42" i="81"/>
  <c r="S44" i="81"/>
  <c r="U45" i="81"/>
  <c r="W46" i="81"/>
  <c r="U27" i="81"/>
  <c r="U31" i="81"/>
  <c r="W32" i="81"/>
  <c r="S35" i="81"/>
  <c r="U36" i="81"/>
  <c r="S39" i="81"/>
  <c r="W41" i="81"/>
  <c r="S43" i="81"/>
  <c r="U44" i="81"/>
  <c r="W45" i="81"/>
  <c r="S47" i="81"/>
  <c r="D51" i="78"/>
  <c r="C51" i="78"/>
  <c r="C56" i="78" s="1"/>
  <c r="C58" i="78" s="1"/>
  <c r="B62" i="78"/>
  <c r="B54" i="78"/>
  <c r="D54" i="78" s="1"/>
  <c r="D56" i="78" s="1"/>
  <c r="AB40" i="81" l="1"/>
  <c r="U40" i="81"/>
  <c r="AC10" i="81"/>
  <c r="W10" i="81"/>
  <c r="AC34" i="81"/>
  <c r="W34" i="81"/>
  <c r="AB10" i="81"/>
  <c r="U10" i="81"/>
  <c r="AA37" i="81"/>
  <c r="S37" i="81"/>
  <c r="AB37" i="81"/>
  <c r="U37" i="81"/>
  <c r="AC37" i="81"/>
  <c r="W37" i="81"/>
  <c r="AA10" i="81"/>
  <c r="S10" i="81"/>
  <c r="AB34" i="81"/>
  <c r="U34" i="81"/>
  <c r="AA40" i="81"/>
  <c r="S40" i="81"/>
  <c r="AB28" i="81"/>
  <c r="U28" i="8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X34" i="71"/>
  <c r="C38" i="71"/>
  <c r="D38" i="71" s="1"/>
  <c r="Y27" i="71"/>
  <c r="Z27" i="71" s="1"/>
  <c r="B28" i="71"/>
  <c r="B27" i="71" s="1"/>
  <c r="B26" i="71"/>
  <c r="D30" i="71"/>
  <c r="C47" i="71"/>
  <c r="D47" i="71"/>
  <c r="P28" i="71"/>
  <c r="E28" i="71" s="1"/>
  <c r="E59" i="71"/>
  <c r="E60" i="71"/>
  <c r="U60" i="71" s="1"/>
  <c r="U68" i="71"/>
  <c r="E67" i="71"/>
  <c r="Q28" i="71"/>
  <c r="C59" i="71"/>
  <c r="D58" i="71"/>
  <c r="C63" i="71"/>
  <c r="C64" i="71" s="1"/>
  <c r="D62" i="71"/>
  <c r="N67" i="71"/>
  <c r="B66" i="71"/>
  <c r="N65" i="71" s="1"/>
  <c r="T68" i="71"/>
  <c r="O68" i="71"/>
  <c r="D68" i="71"/>
  <c r="C67" i="71"/>
  <c r="D67" i="71" s="1"/>
  <c r="Q68" i="71"/>
  <c r="E71" i="71"/>
  <c r="E70" i="71" s="1"/>
  <c r="D72" i="71"/>
  <c r="C75" i="71"/>
  <c r="E75" i="71"/>
  <c r="E74" i="71" s="1"/>
  <c r="D76" i="71"/>
  <c r="E79" i="71"/>
  <c r="E78" i="71" s="1"/>
  <c r="D80" i="71"/>
  <c r="C87" i="71"/>
  <c r="C86" i="71" s="1"/>
  <c r="D86" i="71" s="1"/>
  <c r="F28" i="71"/>
  <c r="F27" i="71" s="1"/>
  <c r="F26" i="71" s="1"/>
  <c r="AA3" i="71"/>
  <c r="O67" i="71"/>
  <c r="D63" i="71"/>
  <c r="D75" i="71"/>
  <c r="C74" i="71"/>
  <c r="D74" i="71" s="1"/>
  <c r="N66" i="7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S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5" i="3" s="1"/>
  <c r="G29" i="6" s="1"/>
  <c r="BP14" i="3"/>
  <c r="BP15" i="3"/>
  <c r="BP16" i="3"/>
  <c r="BP17" i="3"/>
  <c r="E19" i="6"/>
  <c r="B14" i="74" s="1"/>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B130" i="33"/>
  <c r="B128" i="33"/>
  <c r="B126" i="33"/>
  <c r="J44" i="33" s="1"/>
  <c r="B98" i="33"/>
  <c r="B96" i="33"/>
  <c r="B94" i="33"/>
  <c r="B74" i="33"/>
  <c r="F14" i="33" s="1"/>
  <c r="AA14" i="33" s="1"/>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s="1"/>
  <c r="B126" i="21"/>
  <c r="F44" i="21" s="1"/>
  <c r="AA44" i="21" s="1"/>
  <c r="B98" i="21"/>
  <c r="H31" i="21" s="1"/>
  <c r="B96" i="21"/>
  <c r="H30" i="21" s="1"/>
  <c r="B94" i="21"/>
  <c r="J29" i="21" s="1"/>
  <c r="AC29" i="21" s="1"/>
  <c r="B92" i="21"/>
  <c r="H28" i="21" s="1"/>
  <c r="AB28" i="21" s="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S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AA36" i="34" s="1"/>
  <c r="J35" i="34"/>
  <c r="W35" i="34" s="1"/>
  <c r="H39" i="33"/>
  <c r="AB39" i="33"/>
  <c r="F26" i="33"/>
  <c r="AA26" i="33" s="1"/>
  <c r="U33" i="33"/>
  <c r="U35" i="33"/>
  <c r="S40" i="33"/>
  <c r="W39" i="33"/>
  <c r="H39" i="37"/>
  <c r="AB39" i="37" s="1"/>
  <c r="F11" i="40"/>
  <c r="AA11" i="40" s="1"/>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B12" i="35"/>
  <c r="AB12" i="36"/>
  <c r="W32" i="40"/>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s="1"/>
  <c r="AB34" i="37"/>
  <c r="J33" i="37"/>
  <c r="AC33" i="37" s="1"/>
  <c r="U42" i="34"/>
  <c r="H40" i="34"/>
  <c r="U40" i="34" s="1"/>
  <c r="E114" i="34"/>
  <c r="H36" i="34"/>
  <c r="U36" i="34" s="1"/>
  <c r="F37" i="34"/>
  <c r="AA37" i="34" s="1"/>
  <c r="F28" i="34"/>
  <c r="F25" i="34"/>
  <c r="S25" i="34" s="1"/>
  <c r="H23" i="34"/>
  <c r="AB23" i="34" s="1"/>
  <c r="J23" i="34"/>
  <c r="AC23" i="34" s="1"/>
  <c r="F19" i="34"/>
  <c r="AA19" i="34" s="1"/>
  <c r="H17" i="34"/>
  <c r="U17" i="34" s="1"/>
  <c r="F15" i="34"/>
  <c r="AA15" i="34" s="1"/>
  <c r="J15" i="34"/>
  <c r="W15" i="34" s="1"/>
  <c r="H15" i="34"/>
  <c r="AB15" i="34" s="1"/>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s="1"/>
  <c r="F15" i="40"/>
  <c r="S15" i="40" s="1"/>
  <c r="H15" i="40"/>
  <c r="AB15" i="40"/>
  <c r="AA12" i="36"/>
  <c r="AB30" i="36"/>
  <c r="F29" i="35"/>
  <c r="S29" i="35" s="1"/>
  <c r="H29" i="35"/>
  <c r="AB29" i="35" s="1"/>
  <c r="H33" i="37"/>
  <c r="F33" i="37"/>
  <c r="AA33" i="37" s="1"/>
  <c r="U34" i="37"/>
  <c r="S34" i="37"/>
  <c r="AA34" i="37"/>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c r="I113" i="33" s="1"/>
  <c r="J113" i="33" s="1"/>
  <c r="K113" i="33" s="1"/>
  <c r="L113" i="33" s="1"/>
  <c r="M113" i="33" s="1"/>
  <c r="H37" i="33"/>
  <c r="AB37" i="33" s="1"/>
  <c r="H15" i="33"/>
  <c r="AB15" i="33" s="1"/>
  <c r="H11" i="33"/>
  <c r="AB11" i="33" s="1"/>
  <c r="F28" i="40"/>
  <c r="AA28" i="40" s="1"/>
  <c r="AA29" i="35"/>
  <c r="AA42" i="34"/>
  <c r="S42" i="34"/>
  <c r="J37" i="34"/>
  <c r="AC37" i="34" s="1"/>
  <c r="J11" i="33"/>
  <c r="W11" i="33" s="1"/>
  <c r="J42" i="21"/>
  <c r="AC42" i="21" s="1"/>
  <c r="H42" i="21"/>
  <c r="U42" i="21" s="1"/>
  <c r="J44" i="34"/>
  <c r="W44" i="34" s="1"/>
  <c r="F44" i="34"/>
  <c r="AA44" i="34" s="1"/>
  <c r="J10" i="35"/>
  <c r="AC10" i="35" s="1"/>
  <c r="J14" i="21"/>
  <c r="W14" i="21" s="1"/>
  <c r="F14" i="21"/>
  <c r="S14" i="21" s="1"/>
  <c r="H14" i="21"/>
  <c r="U14" i="21" s="1"/>
  <c r="F28" i="21"/>
  <c r="AA28" i="21" s="1"/>
  <c r="J28" i="21"/>
  <c r="W28" i="21" s="1"/>
  <c r="U30" i="21"/>
  <c r="F30" i="21"/>
  <c r="S30" i="21" s="1"/>
  <c r="J30" i="21"/>
  <c r="AC30" i="21" s="1"/>
  <c r="J44" i="21"/>
  <c r="AC44" i="21" s="1"/>
  <c r="H44" i="21"/>
  <c r="U44" i="21" s="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S14" i="33"/>
  <c r="J14" i="33"/>
  <c r="H30" i="33"/>
  <c r="AB30" i="33" s="1"/>
  <c r="F30" i="33"/>
  <c r="J30" i="33"/>
  <c r="H44" i="33"/>
  <c r="AC44" i="33"/>
  <c r="F44" i="33"/>
  <c r="S44" i="33" s="1"/>
  <c r="J46" i="33"/>
  <c r="AC46" i="33" s="1"/>
  <c r="F46" i="33"/>
  <c r="AA46" i="33" s="1"/>
  <c r="H46" i="33"/>
  <c r="AB46" i="33" s="1"/>
  <c r="J13" i="34"/>
  <c r="W13" i="34"/>
  <c r="F13" i="34"/>
  <c r="AA13" i="34" s="1"/>
  <c r="J29" i="34"/>
  <c r="F29" i="34"/>
  <c r="S29" i="34"/>
  <c r="H29" i="34"/>
  <c r="AB29" i="34" s="1"/>
  <c r="AC31" i="34"/>
  <c r="H31" i="34"/>
  <c r="F31" i="34"/>
  <c r="S31" i="34" s="1"/>
  <c r="H45" i="34"/>
  <c r="U45" i="34" s="1"/>
  <c r="J45" i="34"/>
  <c r="W45" i="34" s="1"/>
  <c r="F45" i="34"/>
  <c r="S45" i="34" s="1"/>
  <c r="H47" i="34"/>
  <c r="U47" i="34" s="1"/>
  <c r="F47" i="34"/>
  <c r="S47" i="34" s="1"/>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F13" i="39"/>
  <c r="J13" i="39"/>
  <c r="W13" i="39" s="1"/>
  <c r="H13" i="39"/>
  <c r="H14" i="40"/>
  <c r="AB14" i="40"/>
  <c r="J14" i="40"/>
  <c r="W14" i="40" s="1"/>
  <c r="F14" i="40"/>
  <c r="AA14" i="40" s="1"/>
  <c r="J14" i="37"/>
  <c r="J27" i="37"/>
  <c r="AC27" i="37"/>
  <c r="AA44" i="33"/>
  <c r="U46" i="33"/>
  <c r="J36" i="37"/>
  <c r="AC36" i="37" s="1"/>
  <c r="J10" i="36"/>
  <c r="AC10" i="36" s="1"/>
  <c r="AB30" i="21"/>
  <c r="AA14" i="37"/>
  <c r="W31"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AZ558" i="3" s="1"/>
  <c r="BA556" i="3"/>
  <c r="BA554" i="3"/>
  <c r="BA552" i="3"/>
  <c r="AZ552" i="3" s="1"/>
  <c r="BA548" i="3"/>
  <c r="BA546" i="3"/>
  <c r="BA544" i="3"/>
  <c r="AZ544" i="3" s="1"/>
  <c r="BA542" i="3"/>
  <c r="BA540" i="3"/>
  <c r="BA538" i="3"/>
  <c r="AZ538" i="3" s="1"/>
  <c r="BA536" i="3"/>
  <c r="AZ536" i="3"/>
  <c r="BA534" i="3"/>
  <c r="AZ534" i="3" s="1"/>
  <c r="BA532" i="3"/>
  <c r="BA530" i="3"/>
  <c r="BA528" i="3"/>
  <c r="AZ528" i="3" s="1"/>
  <c r="BA526" i="3"/>
  <c r="BA524" i="3"/>
  <c r="BA522" i="3"/>
  <c r="BA520" i="3"/>
  <c r="AZ520" i="3" s="1"/>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3" i="3"/>
  <c r="BA561" i="3"/>
  <c r="BA559"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49" i="3"/>
  <c r="BA379" i="3"/>
  <c r="AZ379" i="3" s="1"/>
  <c r="BL380" i="3"/>
  <c r="G381" i="3"/>
  <c r="BA383" i="3"/>
  <c r="AZ383" i="3" s="1"/>
  <c r="BL384" i="3"/>
  <c r="G385" i="3"/>
  <c r="BA387" i="3"/>
  <c r="BL388" i="3"/>
  <c r="AZ388" i="3" s="1"/>
  <c r="G389" i="3"/>
  <c r="BA391" i="3"/>
  <c r="AZ391" i="3" s="1"/>
  <c r="BL392" i="3"/>
  <c r="G393" i="3"/>
  <c r="AZ291" i="3"/>
  <c r="BO5" i="3"/>
  <c r="BM5" i="3"/>
  <c r="BJ5" i="3"/>
  <c r="BH5" i="3"/>
  <c r="BF5" i="3"/>
  <c r="BD5" i="3"/>
  <c r="AZ341" i="3"/>
  <c r="AC5" i="3"/>
  <c r="AZ506" i="3"/>
  <c r="AZ496" i="3"/>
  <c r="G548" i="3"/>
  <c r="G538" i="3"/>
  <c r="G520" i="3"/>
  <c r="G502" i="3"/>
  <c r="BS5" i="3"/>
  <c r="BN5" i="3"/>
  <c r="BI5" i="3"/>
  <c r="BE5" i="3"/>
  <c r="G17" i="3"/>
  <c r="BA17" i="3"/>
  <c r="AZ17" i="3" s="1"/>
  <c r="BT5" i="3"/>
  <c r="AZ368" i="3"/>
  <c r="BA15" i="3"/>
  <c r="AZ15" i="3" s="1"/>
  <c r="BB5" i="3"/>
  <c r="BR5" i="3"/>
  <c r="AZ380" i="3"/>
  <c r="AZ392" i="3"/>
  <c r="G509" i="3"/>
  <c r="BL493" i="3"/>
  <c r="AZ493" i="3"/>
  <c r="U36" i="40"/>
  <c r="F83" i="43"/>
  <c r="H85" i="43" s="1"/>
  <c r="F50" i="43"/>
  <c r="H54" i="43" s="1"/>
  <c r="F72" i="43"/>
  <c r="H75" i="43" s="1"/>
  <c r="U17" i="39"/>
  <c r="S14" i="35"/>
  <c r="U43" i="21"/>
  <c r="U35" i="21"/>
  <c r="AC35" i="21"/>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56" i="3"/>
  <c r="AZ69" i="3"/>
  <c r="AZ86" i="3"/>
  <c r="AZ110" i="3"/>
  <c r="F23" i="39"/>
  <c r="AA23" i="39" s="1"/>
  <c r="H27" i="36"/>
  <c r="U27" i="36" s="1"/>
  <c r="F27" i="36"/>
  <c r="AA27" i="36" s="1"/>
  <c r="H33" i="34"/>
  <c r="U33" i="34" s="1"/>
  <c r="F32" i="37"/>
  <c r="S32" i="37" s="1"/>
  <c r="AA32" i="37"/>
  <c r="F20" i="36"/>
  <c r="AA20" i="36" s="1"/>
  <c r="J33" i="34"/>
  <c r="H23" i="39"/>
  <c r="U23" i="39" s="1"/>
  <c r="D48" i="9"/>
  <c r="M52" i="9" s="1"/>
  <c r="K9" i="1"/>
  <c r="M9" i="1" s="1"/>
  <c r="D93" i="9"/>
  <c r="K6" i="1"/>
  <c r="AP6" i="1" s="1"/>
  <c r="AC26" i="33"/>
  <c r="W26" i="33"/>
  <c r="AB34" i="36"/>
  <c r="U34" i="36"/>
  <c r="AC12" i="39"/>
  <c r="W12" i="39"/>
  <c r="AC39" i="40"/>
  <c r="W39" i="40"/>
  <c r="AZ433" i="3"/>
  <c r="W12" i="33"/>
  <c r="AC12" i="33"/>
  <c r="AA32" i="36"/>
  <c r="S32" i="36"/>
  <c r="AZ437" i="3"/>
  <c r="BL14" i="3"/>
  <c r="U30" i="33"/>
  <c r="AC13" i="34"/>
  <c r="AA47" i="34"/>
  <c r="W28" i="37"/>
  <c r="S19" i="39"/>
  <c r="F12" i="33"/>
  <c r="H12" i="39"/>
  <c r="F39" i="40"/>
  <c r="BA14" i="3"/>
  <c r="AZ14" i="3" s="1"/>
  <c r="AZ254" i="3"/>
  <c r="AZ297" i="3"/>
  <c r="B12" i="1"/>
  <c r="E12" i="1" s="1"/>
  <c r="B10" i="1"/>
  <c r="E10" i="1" s="1"/>
  <c r="K12" i="1"/>
  <c r="M12" i="1" s="1"/>
  <c r="S13" i="1"/>
  <c r="AR13" i="1" s="1"/>
  <c r="R13" i="1"/>
  <c r="C42" i="1"/>
  <c r="C24" i="12" s="1"/>
  <c r="AC34" i="33"/>
  <c r="B41" i="1"/>
  <c r="F48" i="9" s="1"/>
  <c r="O52" i="9" s="1"/>
  <c r="AB37" i="40"/>
  <c r="S35" i="40"/>
  <c r="U35" i="40"/>
  <c r="AC36" i="40"/>
  <c r="W38" i="40"/>
  <c r="AA32" i="40"/>
  <c r="S17" i="40"/>
  <c r="S23" i="40"/>
  <c r="AC17" i="40"/>
  <c r="AC15" i="40"/>
  <c r="AA19" i="40"/>
  <c r="S28" i="40"/>
  <c r="U21" i="40"/>
  <c r="AB19" i="40"/>
  <c r="U37" i="39"/>
  <c r="S43" i="39"/>
  <c r="F32" i="39"/>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G63" i="37" s="1"/>
  <c r="H63" i="37" s="1"/>
  <c r="I63" i="37" s="1"/>
  <c r="F11" i="37"/>
  <c r="S11" i="37" s="1"/>
  <c r="W25" i="34"/>
  <c r="AB8" i="34"/>
  <c r="AC42" i="34"/>
  <c r="U39" i="34"/>
  <c r="AA45" i="34"/>
  <c r="U28" i="34"/>
  <c r="AA29"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15"/>
  <c r="F62" i="15" s="1"/>
  <c r="BA13" i="3"/>
  <c r="BL17" i="3"/>
  <c r="J56" i="9"/>
  <c r="J57" i="9" s="1"/>
  <c r="J59" i="9" s="1"/>
  <c r="J61" i="9" s="1"/>
  <c r="A24" i="51"/>
  <c r="B18" i="72" s="1"/>
  <c r="U29" i="34"/>
  <c r="E5" i="6"/>
  <c r="E32" i="6"/>
  <c r="K1" i="12"/>
  <c r="E19" i="69"/>
  <c r="E19" i="68"/>
  <c r="E19" i="11"/>
  <c r="E1" i="73"/>
  <c r="G22" i="69"/>
  <c r="G22" i="68"/>
  <c r="G26" i="12"/>
  <c r="G22" i="11"/>
  <c r="C6" i="43"/>
  <c r="B19" i="53"/>
  <c r="B37" i="72" s="1"/>
  <c r="C7" i="39"/>
  <c r="C67" i="39" s="1"/>
  <c r="C7" i="33"/>
  <c r="C7" i="40"/>
  <c r="C63" i="40" s="1"/>
  <c r="G23" i="43"/>
  <c r="C23" i="43" s="1"/>
  <c r="A4" i="51"/>
  <c r="B6" i="72" s="1"/>
  <c r="L20" i="6"/>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2" i="15"/>
  <c r="F60" i="15" s="1"/>
  <c r="AA39" i="40"/>
  <c r="S39" i="40"/>
  <c r="S12" i="33"/>
  <c r="AA12" i="33"/>
  <c r="J32" i="39"/>
  <c r="H32" i="39"/>
  <c r="AB32" i="39" s="1"/>
  <c r="AA32" i="39"/>
  <c r="S32" i="39"/>
  <c r="AB21" i="39"/>
  <c r="U21" i="39"/>
  <c r="AA21" i="39"/>
  <c r="S21" i="39"/>
  <c r="AC17" i="37"/>
  <c r="S17" i="37"/>
  <c r="J19" i="37"/>
  <c r="W19" i="37" s="1"/>
  <c r="G75" i="37"/>
  <c r="AA23" i="37"/>
  <c r="J23" i="37"/>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S25" i="33"/>
  <c r="AA25" i="33"/>
  <c r="G87" i="33"/>
  <c r="H87" i="33" s="1"/>
  <c r="I87" i="33" s="1"/>
  <c r="J87" i="33" s="1"/>
  <c r="K87" i="33" s="1"/>
  <c r="L87" i="33" s="1"/>
  <c r="M87" i="33" s="1"/>
  <c r="J25" i="33"/>
  <c r="F23" i="33"/>
  <c r="G85" i="33"/>
  <c r="AA19" i="33"/>
  <c r="H19" i="33"/>
  <c r="G81" i="33"/>
  <c r="H17" i="33"/>
  <c r="U17" i="33" s="1"/>
  <c r="F17" i="33"/>
  <c r="S17" i="33" s="1"/>
  <c r="S37" i="21"/>
  <c r="AA23" i="21"/>
  <c r="AB15" i="21"/>
  <c r="J23" i="21"/>
  <c r="AC23" i="21" s="1"/>
  <c r="F85" i="21"/>
  <c r="G85" i="21" s="1"/>
  <c r="H23" i="21"/>
  <c r="AB23" i="21" s="1"/>
  <c r="S13" i="21"/>
  <c r="D6" i="52"/>
  <c r="AP7" i="1"/>
  <c r="AB45" i="21"/>
  <c r="AA32" i="21"/>
  <c r="S32" i="21"/>
  <c r="AC9" i="21"/>
  <c r="AB32" i="21"/>
  <c r="U32" i="21"/>
  <c r="U32" i="39"/>
  <c r="AC32" i="39"/>
  <c r="W32" i="39"/>
  <c r="J63" i="37"/>
  <c r="K63" i="37" s="1"/>
  <c r="L63" i="37" s="1"/>
  <c r="M63" i="37" s="1"/>
  <c r="J11" i="37"/>
  <c r="AC11" i="37" s="1"/>
  <c r="J11" i="34"/>
  <c r="W11" i="34" s="1"/>
  <c r="AB36" i="33"/>
  <c r="W25" i="33"/>
  <c r="AC25"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6" i="73"/>
  <c r="E10" i="76"/>
  <c r="F3" i="73"/>
  <c r="E2" i="69"/>
  <c r="F13" i="15"/>
  <c r="B13" i="76"/>
  <c r="B11" i="76"/>
  <c r="E8" i="76"/>
  <c r="AO13" i="1"/>
  <c r="F5" i="73"/>
  <c r="E13" i="76"/>
  <c r="F6" i="15"/>
  <c r="F4" i="73"/>
  <c r="E2" i="68"/>
  <c r="B7" i="76"/>
  <c r="F20" i="31"/>
  <c r="E12" i="76"/>
  <c r="B9" i="76"/>
  <c r="E7" i="76"/>
  <c r="B12" i="76"/>
  <c r="M26" i="15"/>
  <c r="E9" i="76"/>
  <c r="B8" i="76"/>
  <c r="E11" i="76"/>
  <c r="F7" i="15"/>
  <c r="M6" i="15"/>
  <c r="F6" i="73"/>
  <c r="M28" i="15"/>
  <c r="M23" i="15"/>
  <c r="B10" i="76"/>
  <c r="F7" i="73"/>
  <c r="M9" i="15"/>
  <c r="C7" i="37" l="1"/>
  <c r="C52" i="37" s="1"/>
  <c r="D52" i="37" s="1"/>
  <c r="E52" i="37" s="1"/>
  <c r="F52" i="37" s="1"/>
  <c r="G52" i="37" s="1"/>
  <c r="H52" i="37" s="1"/>
  <c r="I52" i="37" s="1"/>
  <c r="J52" i="37" s="1"/>
  <c r="K52" i="37" s="1"/>
  <c r="L52" i="37" s="1"/>
  <c r="M52" i="37" s="1"/>
  <c r="N52" i="37" s="1"/>
  <c r="O52" i="37" s="1"/>
  <c r="C7" i="81"/>
  <c r="J51" i="67"/>
  <c r="I7" i="34"/>
  <c r="E7" i="34"/>
  <c r="G7" i="34"/>
  <c r="F6" i="1"/>
  <c r="F43" i="34"/>
  <c r="AA43" i="34" s="1"/>
  <c r="J43" i="34"/>
  <c r="AC43" i="34" s="1"/>
  <c r="H43" i="34"/>
  <c r="AB43" i="34" s="1"/>
  <c r="M20" i="67"/>
  <c r="F34" i="67"/>
  <c r="F62" i="67" s="1"/>
  <c r="AA8" i="34"/>
  <c r="AB41" i="34"/>
  <c r="S44" i="34"/>
  <c r="W43" i="34"/>
  <c r="W40" i="34"/>
  <c r="AB40" i="34"/>
  <c r="AA38" i="34"/>
  <c r="U38" i="34"/>
  <c r="AC38" i="34"/>
  <c r="S36" i="34"/>
  <c r="AB36" i="34"/>
  <c r="U34" i="34"/>
  <c r="AA33" i="34"/>
  <c r="U25" i="34"/>
  <c r="U27" i="34"/>
  <c r="AC27" i="34"/>
  <c r="AC44" i="34"/>
  <c r="W41" i="34"/>
  <c r="S37" i="34"/>
  <c r="AC36" i="34"/>
  <c r="AC35" i="34"/>
  <c r="AA35" i="34"/>
  <c r="AB35" i="34"/>
  <c r="AB33" i="34"/>
  <c r="AA25" i="34"/>
  <c r="W23" i="34"/>
  <c r="S19" i="34"/>
  <c r="U23" i="34"/>
  <c r="S23" i="34"/>
  <c r="W19" i="34"/>
  <c r="U19" i="34"/>
  <c r="AB17" i="34"/>
  <c r="AC17" i="34"/>
  <c r="S17" i="34"/>
  <c r="AC15" i="34"/>
  <c r="W8" i="34"/>
  <c r="G1" i="67"/>
  <c r="G1" i="68"/>
  <c r="G1" i="69"/>
  <c r="B6" i="1"/>
  <c r="E6" i="1" s="1"/>
  <c r="F52" i="9"/>
  <c r="F30" i="68"/>
  <c r="F48" i="68" s="1"/>
  <c r="F54" i="9"/>
  <c r="F28" i="15"/>
  <c r="F28" i="67"/>
  <c r="F32" i="67"/>
  <c r="F60" i="67" s="1"/>
  <c r="M18" i="15"/>
  <c r="M18" i="67"/>
  <c r="F30" i="11"/>
  <c r="C48" i="11" s="1"/>
  <c r="D68" i="9"/>
  <c r="F30" i="69"/>
  <c r="F48" i="69" s="1"/>
  <c r="F31" i="12"/>
  <c r="C21" i="68"/>
  <c r="C40" i="68"/>
  <c r="C40" i="69"/>
  <c r="BL13" i="3"/>
  <c r="M47" i="9"/>
  <c r="C7" i="35"/>
  <c r="C48" i="35" s="1"/>
  <c r="D48" i="35" s="1"/>
  <c r="E48" i="35" s="1"/>
  <c r="C7" i="36"/>
  <c r="C46" i="36" s="1"/>
  <c r="D46" i="36" s="1"/>
  <c r="E46" i="36" s="1"/>
  <c r="F46" i="36" s="1"/>
  <c r="G46" i="36" s="1"/>
  <c r="H46" i="36" s="1"/>
  <c r="I46" i="36" s="1"/>
  <c r="C7" i="21"/>
  <c r="C58" i="21" s="1"/>
  <c r="D58" i="21" s="1"/>
  <c r="AB23" i="33"/>
  <c r="U23" i="33"/>
  <c r="AB41" i="33"/>
  <c r="AZ314" i="3"/>
  <c r="W23" i="37"/>
  <c r="AC23" i="37"/>
  <c r="W27" i="33"/>
  <c r="AC27" i="33"/>
  <c r="AB12" i="39"/>
  <c r="U12" i="39"/>
  <c r="AC17" i="21"/>
  <c r="W17" i="21"/>
  <c r="S19" i="37"/>
  <c r="AA19" i="37"/>
  <c r="AC33" i="34"/>
  <c r="W33" i="34"/>
  <c r="AB9" i="21"/>
  <c r="U9" i="21"/>
  <c r="W17" i="33"/>
  <c r="AC17" i="33"/>
  <c r="U25" i="33"/>
  <c r="AB25" i="33"/>
  <c r="AA36" i="33"/>
  <c r="S36" i="33"/>
  <c r="AZ384" i="3"/>
  <c r="AZ143" i="3"/>
  <c r="AZ583" i="3"/>
  <c r="AZ512" i="3"/>
  <c r="AA11" i="36"/>
  <c r="S11" i="36"/>
  <c r="U45" i="33"/>
  <c r="AB45" i="33"/>
  <c r="BL585" i="3"/>
  <c r="BA585" i="3"/>
  <c r="B72" i="43"/>
  <c r="C15" i="39"/>
  <c r="F9" i="34"/>
  <c r="AA9" i="34" s="1"/>
  <c r="J9" i="34"/>
  <c r="AA40" i="34"/>
  <c r="S30" i="40"/>
  <c r="S15" i="37"/>
  <c r="AZ345" i="3"/>
  <c r="AZ372" i="3"/>
  <c r="AZ337" i="3"/>
  <c r="AZ376" i="3"/>
  <c r="AZ309" i="3"/>
  <c r="AC12" i="37"/>
  <c r="AZ575" i="3"/>
  <c r="U41" i="21"/>
  <c r="AB41" i="21"/>
  <c r="BA565" i="3"/>
  <c r="AZ565" i="3" s="1"/>
  <c r="BA564" i="3"/>
  <c r="AZ564" i="3" s="1"/>
  <c r="BL556" i="3"/>
  <c r="AZ556" i="3" s="1"/>
  <c r="BA555" i="3"/>
  <c r="BL554" i="3"/>
  <c r="AB34" i="33"/>
  <c r="AC39" i="34"/>
  <c r="AA12" i="39"/>
  <c r="AA27" i="40"/>
  <c r="AB27" i="40"/>
  <c r="AA34" i="33"/>
  <c r="AZ387" i="3"/>
  <c r="AZ366" i="3"/>
  <c r="AZ362" i="3"/>
  <c r="AZ338" i="3"/>
  <c r="AZ390" i="3"/>
  <c r="AZ371" i="3"/>
  <c r="AZ351" i="3"/>
  <c r="AZ336" i="3"/>
  <c r="AZ305" i="3"/>
  <c r="AZ155" i="3"/>
  <c r="AZ360" i="3"/>
  <c r="AZ539" i="3"/>
  <c r="AZ524" i="3"/>
  <c r="AZ554" i="3"/>
  <c r="AZ570" i="3"/>
  <c r="AB46" i="34"/>
  <c r="J37" i="39"/>
  <c r="F37" i="39"/>
  <c r="AC20" i="36"/>
  <c r="AA39" i="39"/>
  <c r="AC11" i="39"/>
  <c r="F29" i="6"/>
  <c r="AZ318" i="3"/>
  <c r="AZ346" i="3"/>
  <c r="AZ304" i="3"/>
  <c r="AZ306" i="3"/>
  <c r="AZ535" i="3"/>
  <c r="AZ557" i="3"/>
  <c r="AZ513" i="3"/>
  <c r="AZ571" i="3"/>
  <c r="AZ579" i="3"/>
  <c r="AZ542" i="3"/>
  <c r="AZ502" i="3"/>
  <c r="U26" i="33"/>
  <c r="AB26" i="33"/>
  <c r="J27" i="21"/>
  <c r="H27" i="21"/>
  <c r="B97" i="43"/>
  <c r="B75" i="43"/>
  <c r="H31" i="39"/>
  <c r="F31" i="39"/>
  <c r="J12" i="34"/>
  <c r="H12" i="34"/>
  <c r="AA44" i="39"/>
  <c r="S44" i="39"/>
  <c r="AB9" i="40"/>
  <c r="U9" i="40"/>
  <c r="BL550" i="3"/>
  <c r="AZ407" i="3"/>
  <c r="AZ529" i="3"/>
  <c r="AZ537" i="3"/>
  <c r="AZ518" i="3"/>
  <c r="AZ526" i="3"/>
  <c r="AZ546" i="3"/>
  <c r="AZ580" i="3"/>
  <c r="F12" i="34"/>
  <c r="S12" i="34" s="1"/>
  <c r="J33" i="36"/>
  <c r="AC33" i="36" s="1"/>
  <c r="H33" i="36"/>
  <c r="H35" i="39"/>
  <c r="AB34" i="40"/>
  <c r="U34" i="40"/>
  <c r="AA28" i="34"/>
  <c r="S28" i="34"/>
  <c r="H36" i="35"/>
  <c r="H25" i="37"/>
  <c r="F25" i="37"/>
  <c r="AZ451" i="3"/>
  <c r="BA551" i="3"/>
  <c r="AZ551" i="3" s="1"/>
  <c r="BA550" i="3"/>
  <c r="AZ550" i="3" s="1"/>
  <c r="BL548" i="3"/>
  <c r="AZ548" i="3" s="1"/>
  <c r="BL428" i="3"/>
  <c r="BL429" i="3"/>
  <c r="BL432" i="3"/>
  <c r="BL435" i="3"/>
  <c r="BL436" i="3"/>
  <c r="BA439" i="3"/>
  <c r="BA440" i="3"/>
  <c r="AZ440" i="3" s="1"/>
  <c r="BA442" i="3"/>
  <c r="BA445" i="3"/>
  <c r="BA447" i="3"/>
  <c r="AZ447" i="3" s="1"/>
  <c r="BA449" i="3"/>
  <c r="BL453" i="3"/>
  <c r="BL454" i="3"/>
  <c r="AZ458" i="3"/>
  <c r="BL464" i="3"/>
  <c r="AZ487" i="3"/>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76" i="3"/>
  <c r="BL477" i="3"/>
  <c r="BL478"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AZ435" i="3"/>
  <c r="AZ454" i="3"/>
  <c r="BA457" i="3"/>
  <c r="AZ457" i="3" s="1"/>
  <c r="BA459" i="3"/>
  <c r="AZ459" i="3" s="1"/>
  <c r="BA460" i="3"/>
  <c r="AZ460" i="3" s="1"/>
  <c r="BA461" i="3"/>
  <c r="BL465" i="3"/>
  <c r="BL466" i="3"/>
  <c r="AZ466" i="3" s="1"/>
  <c r="G469" i="3"/>
  <c r="G471" i="3"/>
  <c r="BA473" i="3"/>
  <c r="BA480" i="3"/>
  <c r="AZ480" i="3" s="1"/>
  <c r="S27" i="35"/>
  <c r="W33" i="33"/>
  <c r="U9" i="39"/>
  <c r="G585" i="3"/>
  <c r="BL587" i="3"/>
  <c r="AZ587" i="3" s="1"/>
  <c r="BL586" i="3"/>
  <c r="AZ586" i="3" s="1"/>
  <c r="G574" i="3"/>
  <c r="BL16" i="3"/>
  <c r="AZ16" i="3" s="1"/>
  <c r="BA401" i="3"/>
  <c r="AZ401" i="3" s="1"/>
  <c r="BA403" i="3"/>
  <c r="AZ403" i="3" s="1"/>
  <c r="BA404" i="3"/>
  <c r="BA405" i="3"/>
  <c r="G409" i="3"/>
  <c r="BL410" i="3"/>
  <c r="G412" i="3"/>
  <c r="G418" i="3"/>
  <c r="G419" i="3"/>
  <c r="BA422" i="3"/>
  <c r="AZ422" i="3" s="1"/>
  <c r="G429" i="3"/>
  <c r="G430" i="3"/>
  <c r="BL431" i="3"/>
  <c r="AZ431" i="3" s="1"/>
  <c r="G433" i="3"/>
  <c r="BL434" i="3"/>
  <c r="G437" i="3"/>
  <c r="BL438" i="3"/>
  <c r="AZ438" i="3" s="1"/>
  <c r="BL439" i="3"/>
  <c r="BA441" i="3"/>
  <c r="AZ441" i="3" s="1"/>
  <c r="BL445" i="3"/>
  <c r="BL446" i="3"/>
  <c r="AZ446" i="3" s="1"/>
  <c r="BL449" i="3"/>
  <c r="BL450" i="3"/>
  <c r="BL452" i="3"/>
  <c r="G454" i="3"/>
  <c r="G455" i="3"/>
  <c r="BL456" i="3"/>
  <c r="BA471" i="3"/>
  <c r="AZ471" i="3" s="1"/>
  <c r="BA476" i="3"/>
  <c r="AZ476" i="3" s="1"/>
  <c r="BA465" i="3"/>
  <c r="AZ465" i="3" s="1"/>
  <c r="BA467" i="3"/>
  <c r="BA468" i="3"/>
  <c r="AZ468" i="3" s="1"/>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AZ270" i="3"/>
  <c r="BA277" i="3"/>
  <c r="BL277" i="3"/>
  <c r="BA282" i="3"/>
  <c r="AZ282" i="3" s="1"/>
  <c r="BL282" i="3"/>
  <c r="G286" i="3"/>
  <c r="BL286" i="3"/>
  <c r="AZ286" i="3" s="1"/>
  <c r="G289" i="3"/>
  <c r="G290" i="3"/>
  <c r="G291" i="3"/>
  <c r="BA296" i="3"/>
  <c r="BA298" i="3"/>
  <c r="AZ298" i="3" s="1"/>
  <c r="BA116" i="3"/>
  <c r="AZ116" i="3" s="1"/>
  <c r="BL248" i="3"/>
  <c r="AZ248" i="3" s="1"/>
  <c r="BL250" i="3"/>
  <c r="AZ250" i="3" s="1"/>
  <c r="BA259" i="3"/>
  <c r="AZ259" i="3" s="1"/>
  <c r="BL261" i="3"/>
  <c r="BA263" i="3"/>
  <c r="BA267" i="3"/>
  <c r="AZ267" i="3" s="1"/>
  <c r="BA269" i="3"/>
  <c r="AZ269" i="3" s="1"/>
  <c r="BA271" i="3"/>
  <c r="BL271" i="3"/>
  <c r="BA274" i="3"/>
  <c r="AZ274" i="3" s="1"/>
  <c r="BL274" i="3"/>
  <c r="BA276" i="3"/>
  <c r="BL292" i="3"/>
  <c r="BA294" i="3"/>
  <c r="AZ294" i="3" s="1"/>
  <c r="BL295" i="3"/>
  <c r="G299" i="3"/>
  <c r="BL300" i="3"/>
  <c r="BL122" i="3"/>
  <c r="BL480" i="3"/>
  <c r="BA483" i="3"/>
  <c r="BL483" i="3"/>
  <c r="AZ483" i="3" s="1"/>
  <c r="BA486" i="3"/>
  <c r="BL489" i="3"/>
  <c r="BL491" i="3"/>
  <c r="BL492" i="3"/>
  <c r="BA315" i="3"/>
  <c r="AZ315" i="3" s="1"/>
  <c r="BA333" i="3"/>
  <c r="BL346" i="3"/>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301" i="3"/>
  <c r="AZ301" i="3" s="1"/>
  <c r="BL302" i="3"/>
  <c r="AZ302" i="3" s="1"/>
  <c r="BA114" i="3"/>
  <c r="BL127" i="3"/>
  <c r="AZ127" i="3" s="1"/>
  <c r="G128" i="3"/>
  <c r="G150" i="3"/>
  <c r="BA464" i="3"/>
  <c r="BL467" i="3"/>
  <c r="BL468" i="3"/>
  <c r="BL470" i="3"/>
  <c r="G472" i="3"/>
  <c r="G473" i="3"/>
  <c r="BL473" i="3"/>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BA227" i="3"/>
  <c r="AZ227" i="3" s="1"/>
  <c r="BA229" i="3"/>
  <c r="AZ229" i="3" s="1"/>
  <c r="BL229" i="3"/>
  <c r="BL231" i="3"/>
  <c r="BL233" i="3"/>
  <c r="AZ233" i="3" s="1"/>
  <c r="BL235" i="3"/>
  <c r="AZ235" i="3" s="1"/>
  <c r="BL236" i="3"/>
  <c r="BL238" i="3"/>
  <c r="AZ238" i="3" s="1"/>
  <c r="BL243" i="3"/>
  <c r="AZ243" i="3" s="1"/>
  <c r="BA247" i="3"/>
  <c r="AZ247" i="3" s="1"/>
  <c r="BL247" i="3"/>
  <c r="BA251" i="3"/>
  <c r="BL251" i="3"/>
  <c r="BA253" i="3"/>
  <c r="BL260" i="3"/>
  <c r="G262" i="3"/>
  <c r="BL263" i="3"/>
  <c r="G264" i="3"/>
  <c r="BL270" i="3"/>
  <c r="BA272" i="3"/>
  <c r="AZ272" i="3" s="1"/>
  <c r="BL275" i="3"/>
  <c r="AZ275" i="3" s="1"/>
  <c r="G277" i="3"/>
  <c r="G280" i="3"/>
  <c r="BA283" i="3"/>
  <c r="AZ283" i="3" s="1"/>
  <c r="BA284" i="3"/>
  <c r="AZ284" i="3" s="1"/>
  <c r="BL166" i="3"/>
  <c r="AZ38" i="3"/>
  <c r="F66" i="71"/>
  <c r="Q67" i="71"/>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AZ25" i="3" s="1"/>
  <c r="BL27" i="3"/>
  <c r="BA28" i="3"/>
  <c r="AZ28" i="3" s="1"/>
  <c r="BA31" i="3"/>
  <c r="BA32" i="3"/>
  <c r="G38" i="3"/>
  <c r="BA38" i="3"/>
  <c r="BA41" i="3"/>
  <c r="BA42" i="3"/>
  <c r="G47" i="3"/>
  <c r="BL48" i="3"/>
  <c r="BA51" i="3"/>
  <c r="G55" i="3"/>
  <c r="C55" i="71"/>
  <c r="D54" i="71"/>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182" i="3"/>
  <c r="AZ182" i="3" s="1"/>
  <c r="BL185" i="3"/>
  <c r="AZ185" i="3" s="1"/>
  <c r="BL193" i="3"/>
  <c r="BL194" i="3"/>
  <c r="AZ194" i="3" s="1"/>
  <c r="BA198" i="3"/>
  <c r="AZ198" i="3" s="1"/>
  <c r="BL206" i="3"/>
  <c r="BA19" i="3"/>
  <c r="AZ19" i="3" s="1"/>
  <c r="G22" i="3"/>
  <c r="G24" i="3"/>
  <c r="G25" i="3"/>
  <c r="BA27" i="3"/>
  <c r="G30" i="3"/>
  <c r="BL30" i="3"/>
  <c r="BL31" i="3"/>
  <c r="G35" i="3"/>
  <c r="G36" i="3"/>
  <c r="G40" i="3"/>
  <c r="BL40" i="3"/>
  <c r="AZ40" i="3" s="1"/>
  <c r="BL41" i="3"/>
  <c r="BL45" i="3"/>
  <c r="BA48" i="3"/>
  <c r="BA49" i="3"/>
  <c r="AZ64" i="3"/>
  <c r="BL74" i="3"/>
  <c r="AZ74" i="3" s="1"/>
  <c r="D31" i="71"/>
  <c r="C32" i="71"/>
  <c r="C44" i="71"/>
  <c r="D43" i="71"/>
  <c r="BA121" i="3"/>
  <c r="AZ121" i="3" s="1"/>
  <c r="BL121" i="3"/>
  <c r="BA124" i="3"/>
  <c r="AZ124" i="3" s="1"/>
  <c r="BA126" i="3"/>
  <c r="AZ126" i="3" s="1"/>
  <c r="BA129" i="3"/>
  <c r="BL133" i="3"/>
  <c r="AZ133" i="3" s="1"/>
  <c r="BL139" i="3"/>
  <c r="AZ139" i="3" s="1"/>
  <c r="G140" i="3"/>
  <c r="BL141" i="3"/>
  <c r="BL143" i="3"/>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G43" i="3"/>
  <c r="G44" i="3"/>
  <c r="G51" i="3"/>
  <c r="BA52" i="3"/>
  <c r="AZ52" i="3" s="1"/>
  <c r="BA53" i="3"/>
  <c r="BA54" i="3"/>
  <c r="BL55" i="3"/>
  <c r="AZ55" i="3" s="1"/>
  <c r="G58" i="3"/>
  <c r="BA59" i="3"/>
  <c r="BL61" i="3"/>
  <c r="G78" i="3"/>
  <c r="D34" i="71"/>
  <c r="C35" i="71"/>
  <c r="D50" i="71"/>
  <c r="C51" i="71"/>
  <c r="S21" i="33"/>
  <c r="B77" i="43"/>
  <c r="AA28" i="71"/>
  <c r="AB27" i="71"/>
  <c r="AB25" i="71"/>
  <c r="X26" i="71"/>
  <c r="Y25" i="71"/>
  <c r="Z25" i="71" s="1"/>
  <c r="X38" i="71"/>
  <c r="Y29" i="71"/>
  <c r="Z29" i="71" s="1"/>
  <c r="AB32" i="71"/>
  <c r="X33" i="71"/>
  <c r="BL56" i="3"/>
  <c r="BA58" i="3"/>
  <c r="BL59" i="3"/>
  <c r="BL60" i="3"/>
  <c r="BA61" i="3"/>
  <c r="BA68" i="3"/>
  <c r="BA73" i="3"/>
  <c r="AZ73" i="3" s="1"/>
  <c r="BA80" i="3"/>
  <c r="BL84" i="3"/>
  <c r="BA89" i="3"/>
  <c r="G103" i="3"/>
  <c r="BA103" i="3"/>
  <c r="AZ103" i="3" s="1"/>
  <c r="BA104" i="3"/>
  <c r="BA106" i="3"/>
  <c r="BL108" i="3"/>
  <c r="AZ108" i="3" s="1"/>
  <c r="BL111" i="3"/>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A45" i="3"/>
  <c r="AZ45" i="3" s="1"/>
  <c r="BA46" i="3"/>
  <c r="BL49" i="3"/>
  <c r="BL50" i="3"/>
  <c r="AZ50" i="3" s="1"/>
  <c r="BL51" i="3"/>
  <c r="G53" i="3"/>
  <c r="BL53" i="3"/>
  <c r="BA56" i="3"/>
  <c r="BA57" i="3"/>
  <c r="AZ57" i="3" s="1"/>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E19" i="71" s="1"/>
  <c r="E18" i="71" s="1"/>
  <c r="E17" i="71" s="1"/>
  <c r="E16" i="71"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28" i="71"/>
  <c r="AB33" i="71"/>
  <c r="AA30" i="71"/>
  <c r="E35" i="71"/>
  <c r="E36" i="71" s="1"/>
  <c r="U36" i="71" s="1"/>
  <c r="AB31"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70" i="3"/>
  <c r="W35" i="39"/>
  <c r="F27" i="34"/>
  <c r="C21" i="39"/>
  <c r="U9" i="36"/>
  <c r="U14" i="37"/>
  <c r="H12" i="21"/>
  <c r="G526" i="3"/>
  <c r="AZ420" i="3"/>
  <c r="AZ424" i="3"/>
  <c r="AZ434" i="3"/>
  <c r="AZ43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BA34" i="3"/>
  <c r="AZ34" i="3" s="1"/>
  <c r="BA35" i="3"/>
  <c r="AZ35" i="3" s="1"/>
  <c r="BL37" i="3"/>
  <c r="BL42" i="3"/>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B13" i="70"/>
  <c r="C36" i="68"/>
  <c r="D9" i="68"/>
  <c r="C76" i="15"/>
  <c r="F43" i="15"/>
  <c r="M24" i="15"/>
  <c r="M23" i="67"/>
  <c r="F8" i="15"/>
  <c r="M8" i="15"/>
  <c r="F16" i="67"/>
  <c r="M29" i="67"/>
  <c r="D5" i="73"/>
  <c r="M29" i="15"/>
  <c r="F9" i="15"/>
  <c r="L48" i="67"/>
  <c r="D4" i="73"/>
  <c r="J15" i="67"/>
  <c r="M8" i="67"/>
  <c r="M6" i="67"/>
  <c r="F37" i="15"/>
  <c r="F7" i="67"/>
  <c r="D9" i="69"/>
  <c r="F42" i="67"/>
  <c r="F38" i="67"/>
  <c r="F36" i="15"/>
  <c r="F6" i="67"/>
  <c r="M9" i="67"/>
  <c r="M28" i="67"/>
  <c r="L47" i="15"/>
  <c r="F43" i="67"/>
  <c r="F40" i="67"/>
  <c r="F16" i="15"/>
  <c r="M24" i="67"/>
  <c r="F26" i="67"/>
  <c r="F40" i="15"/>
  <c r="L47" i="67"/>
  <c r="F9" i="67"/>
  <c r="D3" i="73"/>
  <c r="C36" i="69"/>
  <c r="M26" i="67"/>
  <c r="F36" i="67"/>
  <c r="M22" i="15"/>
  <c r="F8" i="67"/>
  <c r="F13" i="67"/>
  <c r="F37" i="67"/>
  <c r="L48" i="15"/>
  <c r="D7" i="73"/>
  <c r="M22" i="67"/>
  <c r="J15" i="15"/>
  <c r="F38" i="15"/>
  <c r="F26" i="15"/>
  <c r="C76" i="67"/>
  <c r="F42" i="15"/>
  <c r="U43" i="34" l="1"/>
  <c r="S43" i="34"/>
  <c r="D17" i="53"/>
  <c r="B36" i="72" s="1"/>
  <c r="I7" i="81"/>
  <c r="J7" i="81" s="1"/>
  <c r="C59" i="81"/>
  <c r="D59" i="81" s="1"/>
  <c r="E59" i="81" s="1"/>
  <c r="F59" i="81" s="1"/>
  <c r="G59" i="81" s="1"/>
  <c r="H59" i="81" s="1"/>
  <c r="I59" i="81" s="1"/>
  <c r="J59" i="81" s="1"/>
  <c r="K59" i="81" s="1"/>
  <c r="L59" i="81" s="1"/>
  <c r="M59" i="81" s="1"/>
  <c r="N59" i="81" s="1"/>
  <c r="O59" i="81" s="1"/>
  <c r="G7" i="81"/>
  <c r="H7" i="81" s="1"/>
  <c r="E7" i="81"/>
  <c r="F7" i="81" s="1"/>
  <c r="F26" i="43"/>
  <c r="F64" i="67"/>
  <c r="F51" i="67"/>
  <c r="F65" i="67"/>
  <c r="M7" i="67"/>
  <c r="J6" i="67" s="1"/>
  <c r="J18" i="67" s="1"/>
  <c r="F50" i="67"/>
  <c r="C6" i="67"/>
  <c r="C32" i="67" s="1"/>
  <c r="F31" i="67"/>
  <c r="L59" i="67"/>
  <c r="Q74" i="67" s="1"/>
  <c r="L58" i="67"/>
  <c r="Q60" i="67" s="1"/>
  <c r="N59" i="67"/>
  <c r="M59" i="67"/>
  <c r="F68" i="67"/>
  <c r="C27" i="67"/>
  <c r="F66" i="67"/>
  <c r="F71" i="67"/>
  <c r="Q71" i="67"/>
  <c r="L56" i="67"/>
  <c r="I54" i="67"/>
  <c r="J57" i="67"/>
  <c r="J55" i="67" s="1"/>
  <c r="J58" i="67" s="1"/>
  <c r="Q50" i="67" s="1"/>
  <c r="J53" i="67"/>
  <c r="F1" i="67" s="1"/>
  <c r="H16" i="1"/>
  <c r="C48" i="69"/>
  <c r="C30" i="69"/>
  <c r="N370" i="46"/>
  <c r="J26" i="43"/>
  <c r="Q16" i="1"/>
  <c r="E59" i="40"/>
  <c r="K16" i="1"/>
  <c r="P6" i="1"/>
  <c r="C13" i="12" s="1"/>
  <c r="J7" i="36"/>
  <c r="N59" i="15"/>
  <c r="L58" i="15"/>
  <c r="Q60" i="15" s="1"/>
  <c r="M59" i="15"/>
  <c r="L59" i="15"/>
  <c r="Q74" i="15" s="1"/>
  <c r="F65" i="15"/>
  <c r="F68" i="15"/>
  <c r="C27" i="15"/>
  <c r="I54" i="15"/>
  <c r="J53" i="15"/>
  <c r="L56" i="15" s="1"/>
  <c r="J57" i="15"/>
  <c r="J55" i="15" s="1"/>
  <c r="J58" i="15" s="1"/>
  <c r="Q50" i="15" s="1"/>
  <c r="Q71" i="15"/>
  <c r="F71" i="15"/>
  <c r="F64" i="15"/>
  <c r="C6" i="15"/>
  <c r="C32" i="15" s="1"/>
  <c r="F31" i="15"/>
  <c r="F51" i="15"/>
  <c r="C49" i="15" s="1"/>
  <c r="F66" i="15"/>
  <c r="G26" i="43"/>
  <c r="G5" i="3"/>
  <c r="B3" i="3" s="1"/>
  <c r="E212" i="3" s="1"/>
  <c r="AZ42" i="3"/>
  <c r="AZ32" i="3"/>
  <c r="AZ482" i="3"/>
  <c r="AZ348" i="3"/>
  <c r="AZ63" i="3"/>
  <c r="C40" i="71"/>
  <c r="D39" i="71"/>
  <c r="AZ61" i="3"/>
  <c r="D44" i="71"/>
  <c r="T44" i="71"/>
  <c r="C56" i="71"/>
  <c r="D55" i="71"/>
  <c r="AZ218" i="3"/>
  <c r="AZ277" i="3"/>
  <c r="AZ244" i="3"/>
  <c r="AZ239" i="3"/>
  <c r="AZ404" i="3"/>
  <c r="AZ473" i="3"/>
  <c r="AZ429" i="3"/>
  <c r="AB35" i="39"/>
  <c r="U35" i="39"/>
  <c r="U12" i="34"/>
  <c r="AB12" i="34"/>
  <c r="AA37" i="39"/>
  <c r="S37" i="39"/>
  <c r="AZ37" i="3"/>
  <c r="AZ129" i="3"/>
  <c r="G16" i="1"/>
  <c r="F10" i="39" s="1"/>
  <c r="AA10" i="39" s="1"/>
  <c r="C70" i="71"/>
  <c r="D70" i="71" s="1"/>
  <c r="D71" i="71"/>
  <c r="C52" i="71"/>
  <c r="D51" i="71"/>
  <c r="T32" i="71"/>
  <c r="D32" i="71"/>
  <c r="AZ27" i="3"/>
  <c r="AZ461" i="3"/>
  <c r="AZ425" i="3"/>
  <c r="AA25" i="37"/>
  <c r="S25" i="37"/>
  <c r="AB33" i="36"/>
  <c r="U33" i="36"/>
  <c r="W12" i="34"/>
  <c r="AC12" i="34"/>
  <c r="AC37" i="39"/>
  <c r="W37" i="39"/>
  <c r="AC9" i="34"/>
  <c r="W9" i="34"/>
  <c r="AZ585" i="3"/>
  <c r="T28" i="71"/>
  <c r="D28" i="71"/>
  <c r="U28" i="71" s="1"/>
  <c r="C27" i="71"/>
  <c r="D79" i="71"/>
  <c r="C78" i="71"/>
  <c r="D78" i="71" s="1"/>
  <c r="AZ49" i="3"/>
  <c r="AZ263" i="3"/>
  <c r="U25" i="37"/>
  <c r="AB25" i="37"/>
  <c r="AA31" i="39"/>
  <c r="S31" i="39"/>
  <c r="U27" i="21"/>
  <c r="AB27" i="21"/>
  <c r="J6" i="15"/>
  <c r="J18" i="15" s="1"/>
  <c r="E26" i="43"/>
  <c r="D26" i="43" s="1"/>
  <c r="C25" i="43" s="1"/>
  <c r="AZ81" i="3"/>
  <c r="AZ206" i="3"/>
  <c r="AZ492" i="3"/>
  <c r="AZ66" i="3"/>
  <c r="D83" i="71"/>
  <c r="C82" i="71"/>
  <c r="D82" i="71" s="1"/>
  <c r="O65" i="71"/>
  <c r="D66" i="71"/>
  <c r="O66" i="71"/>
  <c r="AZ58" i="3"/>
  <c r="C36" i="71"/>
  <c r="D35" i="71"/>
  <c r="AZ59" i="3"/>
  <c r="AZ53" i="3"/>
  <c r="AZ51" i="3"/>
  <c r="AZ41" i="3"/>
  <c r="AZ31" i="3"/>
  <c r="AZ251" i="3"/>
  <c r="AZ464" i="3"/>
  <c r="AZ271" i="3"/>
  <c r="AZ397" i="3"/>
  <c r="AZ405" i="3"/>
  <c r="AB36" i="35"/>
  <c r="U36" i="35"/>
  <c r="AB31" i="39"/>
  <c r="U31" i="39"/>
  <c r="W27" i="21"/>
  <c r="AC27" i="21"/>
  <c r="J7" i="37"/>
  <c r="K1" i="73"/>
  <c r="E435" i="3"/>
  <c r="E23" i="3"/>
  <c r="E494" i="3"/>
  <c r="E86" i="3"/>
  <c r="T6" i="3"/>
  <c r="E41" i="3"/>
  <c r="E80" i="3"/>
  <c r="E507" i="3"/>
  <c r="E226" i="3"/>
  <c r="E194" i="3"/>
  <c r="E20" i="3"/>
  <c r="E348" i="3"/>
  <c r="E51" i="3"/>
  <c r="E421" i="3"/>
  <c r="E57" i="3"/>
  <c r="E209" i="3"/>
  <c r="E19" i="3"/>
  <c r="E582" i="3"/>
  <c r="E47" i="3"/>
  <c r="E373" i="3"/>
  <c r="E259" i="3"/>
  <c r="Y6" i="3"/>
  <c r="E488" i="3"/>
  <c r="E167" i="3"/>
  <c r="E98" i="3"/>
  <c r="E122" i="3"/>
  <c r="E306" i="3"/>
  <c r="E532" i="3"/>
  <c r="E288" i="3"/>
  <c r="E475" i="3"/>
  <c r="E257" i="3"/>
  <c r="E397" i="3"/>
  <c r="E379" i="3"/>
  <c r="E432" i="3"/>
  <c r="E546" i="3"/>
  <c r="E272" i="3"/>
  <c r="E291" i="3"/>
  <c r="E29" i="3"/>
  <c r="E53" i="3"/>
  <c r="E153" i="3"/>
  <c r="E426"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U7" i="36"/>
  <c r="F7" i="33"/>
  <c r="E58" i="21"/>
  <c r="AC7" i="36"/>
  <c r="V36" i="36" s="1"/>
  <c r="I36" i="36" s="1"/>
  <c r="W7" i="36"/>
  <c r="F7" i="37"/>
  <c r="M17" i="15"/>
  <c r="P28" i="43"/>
  <c r="B66" i="40" s="1"/>
  <c r="P25" i="43"/>
  <c r="P29" i="43"/>
  <c r="P27" i="43"/>
  <c r="B70" i="39" s="1"/>
  <c r="M11" i="67"/>
  <c r="J10" i="67" s="1"/>
  <c r="F11" i="15"/>
  <c r="M11" i="15"/>
  <c r="J10" i="15" s="1"/>
  <c r="F11" i="67"/>
  <c r="AE11" i="1"/>
  <c r="AE9" i="1"/>
  <c r="F27" i="68"/>
  <c r="AE7" i="1"/>
  <c r="AE8" i="1"/>
  <c r="AE12" i="1"/>
  <c r="AE10" i="1"/>
  <c r="AE6" i="1"/>
  <c r="C16" i="67"/>
  <c r="G1" i="73"/>
  <c r="F27" i="69"/>
  <c r="C16" i="15"/>
  <c r="AB7" i="81" l="1"/>
  <c r="T49" i="81" s="1"/>
  <c r="G49" i="81" s="1"/>
  <c r="U7" i="81"/>
  <c r="AA7" i="81"/>
  <c r="R49" i="81" s="1"/>
  <c r="S7" i="81"/>
  <c r="W7" i="81"/>
  <c r="AC7" i="81"/>
  <c r="V49" i="81" s="1"/>
  <c r="I49" i="81" s="1"/>
  <c r="F45" i="69"/>
  <c r="Q73" i="67"/>
  <c r="F59" i="67"/>
  <c r="C49" i="67"/>
  <c r="Q61" i="67"/>
  <c r="Q61" i="15"/>
  <c r="Q52" i="67"/>
  <c r="M17" i="67"/>
  <c r="J5" i="67"/>
  <c r="J24" i="67" s="1"/>
  <c r="F59" i="15"/>
  <c r="C47" i="69"/>
  <c r="D45" i="69" s="1"/>
  <c r="C29" i="69"/>
  <c r="D27" i="69" s="1"/>
  <c r="F1" i="15"/>
  <c r="J5" i="15"/>
  <c r="J24" i="15" s="1"/>
  <c r="Q52" i="15"/>
  <c r="Q73" i="15"/>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66" i="3"/>
  <c r="E289" i="3"/>
  <c r="E79" i="3"/>
  <c r="E25" i="3"/>
  <c r="E564" i="3"/>
  <c r="E35" i="3"/>
  <c r="E470" i="3"/>
  <c r="E197" i="3"/>
  <c r="E174" i="3"/>
  <c r="E283" i="3"/>
  <c r="E103" i="3"/>
  <c r="E541"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165" i="3"/>
  <c r="E36" i="3"/>
  <c r="E540" i="3"/>
  <c r="E419" i="3"/>
  <c r="E116" i="3"/>
  <c r="E190" i="3"/>
  <c r="E556" i="3"/>
  <c r="E308" i="3"/>
  <c r="E482" i="3"/>
  <c r="E68" i="3"/>
  <c r="E76" i="3"/>
  <c r="E199" i="3"/>
  <c r="E3" i="6"/>
  <c r="E71" i="3"/>
  <c r="E367" i="3"/>
  <c r="U6" i="3"/>
  <c r="E196" i="3"/>
  <c r="E357" i="3"/>
  <c r="E54" i="3"/>
  <c r="W6" i="3"/>
  <c r="E529" i="3"/>
  <c r="E157" i="3"/>
  <c r="E461" i="3"/>
  <c r="E307" i="3"/>
  <c r="E413" i="3"/>
  <c r="E195" i="3"/>
  <c r="E179" i="3"/>
  <c r="E462" i="3"/>
  <c r="E542" i="3"/>
  <c r="E266" i="3"/>
  <c r="E436" i="3"/>
  <c r="E323" i="3"/>
  <c r="E354" i="3"/>
  <c r="E110" i="3"/>
  <c r="E416" i="3"/>
  <c r="E222" i="3"/>
  <c r="E386" i="3"/>
  <c r="E265" i="3"/>
  <c r="E325" i="3"/>
  <c r="E372" i="3"/>
  <c r="E376" i="3"/>
  <c r="E329" i="3"/>
  <c r="E356" i="3"/>
  <c r="E512" i="3"/>
  <c r="AF6" i="3"/>
  <c r="E391" i="3"/>
  <c r="E184" i="3"/>
  <c r="E19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310" i="3"/>
  <c r="E64" i="3"/>
  <c r="E389" i="3"/>
  <c r="E95" i="3"/>
  <c r="E554" i="3"/>
  <c r="E442" i="3"/>
  <c r="E53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300" i="3"/>
  <c r="E425" i="3"/>
  <c r="E363" i="3"/>
  <c r="E56" i="3"/>
  <c r="I3" i="6"/>
  <c r="R6" i="3"/>
  <c r="E510"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267" i="3"/>
  <c r="E409" i="3"/>
  <c r="E241" i="3"/>
  <c r="E417" i="3"/>
  <c r="E449" i="3"/>
  <c r="E575" i="3"/>
  <c r="H10" i="40"/>
  <c r="AB10" i="40" s="1"/>
  <c r="J10" i="40"/>
  <c r="AC10" i="40" s="1"/>
  <c r="S10" i="39"/>
  <c r="H10" i="39"/>
  <c r="U10" i="39" s="1"/>
  <c r="J10" i="39"/>
  <c r="W10" i="39" s="1"/>
  <c r="F10" i="40"/>
  <c r="S10" i="40" s="1"/>
  <c r="E84" i="3"/>
  <c r="E371" i="3"/>
  <c r="E160" i="3"/>
  <c r="E467" i="3"/>
  <c r="E59" i="3"/>
  <c r="E349" i="3"/>
  <c r="E258" i="3"/>
  <c r="E37" i="3"/>
  <c r="E491" i="3"/>
  <c r="AP6" i="3"/>
  <c r="E430" i="3"/>
  <c r="E502" i="3"/>
  <c r="E286" i="3"/>
  <c r="E539" i="3"/>
  <c r="C26" i="71"/>
  <c r="D26" i="71" s="1"/>
  <c r="D27" i="71"/>
  <c r="T52" i="71"/>
  <c r="D52" i="71"/>
  <c r="D56" i="71"/>
  <c r="T56" i="71"/>
  <c r="T36" i="71"/>
  <c r="D36" i="71"/>
  <c r="T40" i="71"/>
  <c r="D40" i="71"/>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F41" i="15"/>
  <c r="M27" i="15"/>
  <c r="F41" i="67"/>
  <c r="E49" i="81" l="1"/>
  <c r="R50" i="81"/>
  <c r="I53" i="81"/>
  <c r="J53" i="81" s="1"/>
  <c r="I54" i="81"/>
  <c r="J54" i="81" s="1"/>
  <c r="G54" i="81"/>
  <c r="H54" i="81" s="1"/>
  <c r="G53" i="81"/>
  <c r="H53" i="81" s="1"/>
  <c r="F69" i="67"/>
  <c r="C48" i="67"/>
  <c r="C60" i="67" s="1"/>
  <c r="R50" i="34"/>
  <c r="F24" i="67"/>
  <c r="C24" i="67" s="1"/>
  <c r="W10" i="40"/>
  <c r="F22" i="68"/>
  <c r="F41" i="68" s="1"/>
  <c r="F25" i="12"/>
  <c r="C26" i="12" s="1"/>
  <c r="D25" i="12" s="1"/>
  <c r="F22" i="11"/>
  <c r="C23" i="11" s="1"/>
  <c r="F24" i="15"/>
  <c r="C24" i="15" s="1"/>
  <c r="F22" i="69"/>
  <c r="F41" i="69" s="1"/>
  <c r="AC6" i="3"/>
  <c r="E6" i="3" s="1"/>
  <c r="D116" i="43"/>
  <c r="AB10" i="39"/>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8"/>
  <c r="D10" i="69"/>
  <c r="C14" i="67"/>
  <c r="C17" i="67"/>
  <c r="C34" i="69"/>
  <c r="C17" i="15"/>
  <c r="C50" i="81" l="1"/>
  <c r="C49" i="81"/>
  <c r="E53" i="81"/>
  <c r="F53" i="81" s="1"/>
  <c r="E54" i="81"/>
  <c r="F54" i="81" s="1"/>
  <c r="C66" i="67"/>
  <c r="E54" i="34"/>
  <c r="F54" i="34" s="1"/>
  <c r="I54" i="34"/>
  <c r="J54" i="34" s="1"/>
  <c r="C44" i="11"/>
  <c r="D41" i="11" s="1"/>
  <c r="C26" i="68"/>
  <c r="D22" i="68" s="1"/>
  <c r="C44" i="69"/>
  <c r="D41" i="69" s="1"/>
  <c r="C26" i="69"/>
  <c r="D22" i="69" s="1"/>
  <c r="C23" i="68"/>
  <c r="C44" i="68"/>
  <c r="D41" i="68"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3" i="81" l="1"/>
  <c r="B2" i="8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6"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6"/>
  <c r="D2" i="3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D20" i="9"/>
  <c r="AO6" i="1"/>
  <c r="AO10" i="1"/>
  <c r="AO9" i="1"/>
  <c r="AO7" i="1"/>
  <c r="AO8" i="1"/>
  <c r="AO11"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c r="D6" i="71"/>
  <c r="C5" i="71"/>
  <c r="D5" i="71" s="1"/>
  <c r="M24" i="43" s="1"/>
  <c r="C42" i="40"/>
  <c r="C43" i="40"/>
  <c r="E47" i="40"/>
  <c r="F47" i="40" s="1"/>
  <c r="E46" i="40"/>
  <c r="F46" i="40" s="1"/>
  <c r="I47" i="40"/>
  <c r="J47" i="40" s="1"/>
  <c r="D34" i="9"/>
  <c r="D35" i="9" l="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E118" i="9"/>
  <c r="E4" i="52" s="1"/>
  <c r="B48" i="72" s="1"/>
  <c r="I118" i="9"/>
  <c r="C105" i="9" l="1"/>
  <c r="H118" i="9"/>
  <c r="H119" i="9" s="1"/>
  <c r="H5" i="52" s="1"/>
  <c r="I4" i="52"/>
  <c r="D118" i="9"/>
  <c r="F4" i="52"/>
  <c r="B51" i="72" s="1"/>
  <c r="H102" i="9"/>
  <c r="E14" i="74" s="1"/>
  <c r="H101" i="9" l="1"/>
  <c r="D14" i="74" s="1"/>
  <c r="F14" i="74" s="1"/>
  <c r="C104" i="9"/>
  <c r="H4" i="52"/>
  <c r="D5" i="53"/>
  <c r="H107" i="9"/>
  <c r="D7" i="53"/>
  <c r="B21" i="72" s="1"/>
  <c r="D4" i="52"/>
  <c r="B47" i="72" s="1"/>
  <c r="D119" i="9"/>
  <c r="D5" i="52" s="1"/>
  <c r="B49" i="72" s="1"/>
  <c r="M48" i="9" l="1"/>
  <c r="D45" i="9"/>
  <c r="C93" i="9" s="1"/>
  <c r="C86" i="9" s="1"/>
  <c r="B5" i="74"/>
  <c r="D5" i="74" s="1"/>
  <c r="M49" i="9"/>
  <c r="L68" i="9" s="1"/>
  <c r="M68" i="9" s="1"/>
  <c r="G14" i="74"/>
  <c r="B6" i="74" s="1"/>
  <c r="D6" i="74" s="1"/>
  <c r="H108" i="9"/>
  <c r="D13" i="53"/>
  <c r="D122" i="9"/>
  <c r="B20" i="72"/>
  <c r="D6" i="53"/>
  <c r="B22" i="72" s="1"/>
  <c r="D55" i="9" l="1"/>
  <c r="M53" i="9" s="1"/>
  <c r="C72" i="9"/>
  <c r="C85" i="9"/>
  <c r="C95" i="9" s="1"/>
  <c r="D53" i="9"/>
  <c r="C78" i="9"/>
  <c r="C73" i="9" s="1"/>
  <c r="C64" i="9"/>
  <c r="C63" i="9" s="1"/>
  <c r="C67" i="9" s="1"/>
  <c r="D52" i="9"/>
  <c r="C5" i="74"/>
  <c r="L67" i="9"/>
  <c r="M67" i="9" s="1"/>
  <c r="L64" i="9"/>
  <c r="M64" i="9" s="1"/>
  <c r="L63" i="9"/>
  <c r="M63" i="9" s="1"/>
  <c r="L65" i="9"/>
  <c r="M65" i="9" s="1"/>
  <c r="L66" i="9"/>
  <c r="M66" i="9" s="1"/>
  <c r="D8" i="52"/>
  <c r="D123" i="9"/>
  <c r="D9" i="52" s="1"/>
  <c r="B30" i="72"/>
  <c r="D14" i="53"/>
  <c r="B32" i="72" s="1"/>
  <c r="C68" i="9"/>
  <c r="D54" i="9" s="1"/>
  <c r="D59" i="9"/>
  <c r="M55" i="9" s="1"/>
  <c r="C6" i="74"/>
  <c r="D15" i="53"/>
  <c r="B31" i="72" s="1"/>
  <c r="C79" i="9" l="1"/>
  <c r="C80" i="9" s="1"/>
  <c r="E80" i="9" s="1"/>
  <c r="E81" i="9" s="1"/>
  <c r="M69" i="9"/>
  <c r="N69" i="9" s="1"/>
  <c r="C81" i="9"/>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68FBEC0D-6DE1-43FA-BDC2-B9CBEB47CF90}">
      <text>
        <r>
          <rPr>
            <b/>
            <sz val="9"/>
            <color indexed="81"/>
            <rFont val="宋体"/>
            <family val="3"/>
            <charset val="134"/>
          </rPr>
          <t>权重验证</t>
        </r>
        <r>
          <rPr>
            <sz val="9"/>
            <color indexed="81"/>
            <rFont val="宋体"/>
            <family val="3"/>
            <charset val="134"/>
          </rPr>
          <t xml:space="preserve">
</t>
        </r>
      </text>
    </comment>
    <comment ref="C59" authorId="1" shapeId="0" xr:uid="{5ABB8BF4-677C-4F88-AF11-DBF3CAD6AAEF}">
      <text>
        <r>
          <rPr>
            <b/>
            <sz val="12"/>
            <color indexed="81"/>
            <rFont val="宋体"/>
            <family val="3"/>
            <charset val="134"/>
          </rPr>
          <t>价值时点所在月度</t>
        </r>
        <r>
          <rPr>
            <sz val="12"/>
            <color indexed="81"/>
            <rFont val="宋体"/>
            <family val="3"/>
            <charset val="134"/>
          </rPr>
          <t xml:space="preserve">
</t>
        </r>
      </text>
    </comment>
    <comment ref="B103" authorId="1" shapeId="0" xr:uid="{6BBB89B6-B8D2-4F4B-9C2E-62A3A009442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<sst xmlns="http://schemas.openxmlformats.org/spreadsheetml/2006/main" count="8312" uniqueCount="3507">
  <si>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</si>
  <si>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</si>
  <si>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</si>
  <si>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</si>
  <si>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</si>
  <si>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</si>
  <si>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</si>
  <si>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</si>
  <si>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</si>
  <si>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</si>
  <si>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</si>
  <si>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</si>
  <si>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</si>
  <si>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</si>
  <si>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</si>
  <si>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</si>
  <si>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</si>
  <si>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</si>
  <si>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</si>
  <si>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</si>
  <si>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</si>
  <si>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</si>
  <si>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</si>
  <si>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</si>
  <si>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</si>
  <si>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</si>
  <si>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</si>
  <si>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</si>
  <si>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</si>
  <si>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</si>
  <si>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</si>
  <si>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</si>
  <si>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</si>
  <si>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</si>
  <si>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</si>
  <si>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</si>
  <si>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</si>
  <si>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</si>
  <si>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</si>
  <si>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</si>
  <si>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</si>
  <si>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</si>
  <si>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</si>
  <si>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</si>
  <si>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</si>
  <si>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</si>
  <si>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</si>
  <si>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</si>
  <si>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</si>
  <si>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</si>
  <si>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</si>
  <si>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</si>
  <si>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</si>
  <si>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</si>
  <si>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</si>
  <si>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</si>
  <si>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</si>
  <si>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</si>
  <si>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</si>
  <si>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</si>
  <si>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</si>
  <si>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</si>
  <si>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</si>
  <si>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</si>
  <si>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</si>
  <si>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</si>
  <si>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</si>
  <si>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</si>
  <si>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</si>
  <si>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</si>
  <si>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</si>
  <si>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</si>
  <si>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</si>
  <si>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</si>
  <si>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</si>
  <si>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</si>
  <si>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</si>
  <si>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</si>
  <si>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</si>
  <si>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</si>
  <si>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</si>
  <si>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</si>
  <si>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</si>
  <si>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</si>
  <si>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</si>
  <si>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</si>
  <si>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</si>
  <si>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</si>
  <si>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</si>
  <si>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</si>
  <si>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</si>
  <si>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</si>
  <si>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</si>
  <si>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</si>
  <si>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</si>
  <si>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</si>
  <si>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</si>
  <si>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</si>
  <si>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</si>
  <si>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</si>
  <si>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</si>
  <si>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</si>
  <si>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</si>
  <si>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</si>
  <si>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</si>
  <si>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</si>
  <si>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</si>
  <si>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</si>
  <si>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</si>
  <si>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</si>
  <si>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</si>
  <si>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</si>
  <si>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</si>
  <si>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</si>
  <si>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</si>
  <si>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</si>
  <si>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</si>
  <si>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</si>
  <si>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</si>
  <si>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</si>
  <si>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</si>
  <si>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</si>
  <si>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</si>
  <si>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</si>
  <si>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</si>
  <si>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</si>
  <si>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</si>
  <si>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</si>
  <si>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</si>
  <si>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</si>
  <si>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</si>
  <si>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</si>
  <si>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</si>
  <si>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</si>
  <si>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</si>
  <si>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</si>
  <si>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</si>
  <si>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</si>
  <si>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</si>
  <si>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</si>
  <si>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</si>
  <si>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</si>
  <si>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</si>
  <si>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</si>
  <si>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</si>
  <si>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</si>
  <si>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</si>
  <si>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</si>
  <si>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</si>
  <si>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</si>
  <si>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</si>
  <si>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</si>
  <si>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</si>
  <si>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</si>
  <si>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</si>
  <si>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</si>
  <si>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</si>
  <si>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</si>
  <si>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</si>
  <si>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</si>
  <si>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</si>
  <si>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</si>
  <si>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</si>
  <si>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</si>
  <si>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</si>
  <si>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</si>
  <si>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</si>
  <si>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</si>
  <si>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</si>
  <si>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</si>
  <si>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</si>
  <si>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</si>
  <si>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</si>
  <si>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</si>
  <si>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</si>
  <si>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</si>
  <si>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</si>
  <si>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</si>
  <si>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</si>
  <si>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</si>
  <si>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</si>
  <si>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</si>
  <si>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</si>
  <si>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</si>
  <si>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</si>
  <si>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</si>
  <si>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</si>
  <si>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</si>
  <si>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</si>
  <si>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</si>
  <si>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</si>
  <si>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</si>
  <si>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</si>
  <si>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</si>
  <si>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</si>
  <si>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</si>
  <si>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</si>
  <si>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</si>
  <si>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</si>
  <si>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</si>
  <si>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</si>
  <si>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</si>
  <si>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</si>
  <si>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</si>
  <si>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</si>
  <si>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</si>
  <si>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</si>
  <si>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</si>
  <si>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</si>
  <si>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</si>
  <si>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</si>
  <si>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</si>
  <si>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</si>
  <si>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</si>
  <si>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</si>
  <si>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</si>
  <si>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</si>
  <si>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</si>
  <si>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</si>
  <si>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</si>
  <si>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</si>
  <si>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</si>
  <si>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</si>
  <si>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</si>
  <si>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</si>
  <si>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</si>
  <si>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</si>
  <si>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</si>
  <si>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</si>
  <si>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</si>
  <si>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</si>
  <si>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</si>
  <si>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</si>
  <si>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</si>
  <si>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</si>
  <si>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</si>
  <si>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</si>
  <si>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</si>
  <si>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</si>
  <si>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</si>
  <si>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</si>
  <si>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</si>
  <si>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</si>
  <si>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</si>
  <si>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</si>
  <si>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</si>
  <si>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</si>
  <si>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</si>
  <si>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</si>
  <si>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</si>
  <si>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</si>
  <si>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</si>
  <si>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</si>
  <si>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</si>
  <si>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</si>
  <si>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</si>
  <si>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</si>
  <si>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</si>
  <si>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</si>
  <si>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</si>
  <si>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</si>
  <si>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</si>
  <si>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</si>
  <si>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</si>
  <si>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</si>
  <si>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</si>
  <si>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</si>
  <si>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</si>
  <si>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</si>
  <si>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</si>
  <si>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</si>
  <si>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</si>
  <si>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</si>
  <si>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</si>
  <si>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</si>
  <si>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</si>
  <si>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</si>
  <si>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</si>
  <si>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</si>
  <si>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</si>
  <si>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</si>
  <si>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</si>
  <si>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</si>
  <si>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</si>
  <si>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</si>
  <si>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</si>
  <si>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</si>
  <si>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</si>
  <si>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</si>
  <si>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</si>
  <si>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</si>
  <si>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</si>
  <si>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</si>
  <si>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</si>
  <si>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</si>
  <si>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</si>
  <si>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</si>
  <si>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</si>
  <si>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</si>
  <si>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</si>
  <si>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</si>
  <si>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</si>
  <si>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</si>
  <si>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</si>
  <si>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</si>
  <si>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</si>
  <si>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</si>
  <si>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</si>
  <si>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</si>
  <si>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</si>
  <si>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</si>
  <si>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</si>
  <si>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</si>
  <si>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</si>
  <si>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</si>
  <si>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</si>
  <si>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</si>
  <si>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</si>
  <si>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</si>
  <si>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</si>
  <si>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</si>
  <si>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</si>
  <si>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</si>
  <si>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</si>
  <si>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</si>
  <si>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</si>
  <si>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</si>
  <si>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</si>
  <si>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</si>
  <si>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</si>
  <si>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</si>
  <si>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</si>
  <si>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</si>
  <si>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</si>
  <si>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</si>
  <si>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</si>
  <si>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</si>
  <si>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</si>
  <si>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</si>
  <si>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</si>
  <si>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</si>
  <si>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</si>
  <si>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</si>
  <si>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</si>
  <si>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</si>
  <si>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</si>
  <si>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</si>
  <si>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</si>
  <si>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</si>
  <si>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</si>
  <si>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</si>
  <si>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</si>
  <si>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</si>
  <si>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</si>
  <si>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</si>
  <si>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</si>
  <si>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</si>
  <si>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</si>
  <si>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</si>
  <si>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</si>
  <si>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</si>
  <si>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</si>
  <si>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</si>
  <si>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</si>
  <si>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</si>
  <si>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</si>
  <si>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</si>
  <si>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</si>
  <si>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</si>
  <si>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</si>
  <si>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</si>
  <si>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</si>
  <si>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</si>
  <si>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</si>
  <si>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</si>
  <si>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</si>
  <si>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</si>
  <si>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</si>
  <si>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</si>
  <si>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</si>
  <si>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</si>
  <si>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</si>
  <si>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</si>
  <si>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</si>
  <si>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</si>
  <si>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</si>
  <si>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</si>
  <si>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</si>
  <si>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</si>
  <si>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</si>
  <si>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</si>
  <si>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</si>
  <si>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</si>
  <si>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</si>
  <si>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</si>
  <si>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</si>
  <si>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</si>
  <si>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</si>
  <si>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</si>
  <si>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</si>
  <si>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</si>
  <si>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</si>
  <si>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</si>
  <si>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</si>
  <si>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</si>
  <si>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</si>
  <si>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</si>
  <si>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</si>
  <si>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</si>
  <si>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</si>
  <si>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</si>
  <si>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</si>
  <si>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</si>
  <si>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</si>
  <si>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</si>
  <si>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</si>
  <si>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</si>
  <si>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</si>
  <si>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</si>
  <si>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</si>
  <si>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</si>
  <si>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</si>
  <si>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</si>
  <si>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</si>
  <si>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</si>
  <si>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</si>
  <si>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</si>
  <si>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</si>
  <si>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</si>
  <si>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</si>
  <si>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</si>
  <si>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</si>
  <si>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</si>
  <si>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</si>
  <si>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</si>
  <si>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</si>
  <si>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</si>
  <si>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</si>
  <si>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</si>
  <si>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</si>
  <si>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</si>
  <si>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</si>
  <si>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</si>
  <si>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</si>
  <si>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</si>
  <si>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</si>
  <si>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</si>
  <si>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</si>
  <si>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</si>
  <si>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</si>
  <si>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</si>
  <si>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</si>
  <si>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</si>
  <si>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</si>
  <si>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</si>
  <si>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</si>
  <si>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</si>
  <si>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</si>
  <si>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</si>
  <si>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</si>
  <si>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</si>
  <si>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</si>
  <si>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</si>
  <si>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</si>
  <si>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</si>
  <si>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</si>
  <si>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</si>
  <si>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</si>
  <si>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</si>
  <si>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</si>
  <si>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</si>
  <si>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</si>
  <si>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</si>
  <si>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</si>
  <si>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</si>
  <si>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</si>
  <si>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</si>
  <si>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</si>
  <si>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</si>
  <si>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</si>
  <si>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</si>
  <si>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</si>
  <si>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</si>
  <si>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</si>
  <si>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</si>
  <si>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</si>
  <si>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</si>
  <si>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</si>
  <si>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</si>
  <si>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</si>
  <si>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</si>
  <si>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</si>
  <si>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</si>
  <si>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</si>
  <si>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</si>
  <si>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</si>
  <si>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</si>
  <si>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</si>
  <si>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</si>
  <si>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</si>
  <si>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</si>
  <si>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</si>
  <si>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</si>
  <si>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</si>
  <si>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</si>
  <si>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</si>
  <si>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</si>
  <si>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</si>
  <si>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</si>
  <si>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</si>
  <si>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</si>
  <si>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</si>
  <si>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</si>
  <si>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</si>
  <si>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</si>
  <si>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</si>
  <si>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</si>
  <si>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</si>
  <si>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</si>
  <si>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</si>
  <si>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</si>
  <si>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</si>
  <si>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</si>
  <si>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</si>
  <si>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</si>
  <si>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</si>
  <si>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</si>
  <si>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</si>
  <si>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</si>
  <si>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</si>
  <si>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</si>
  <si>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</si>
  <si>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</si>
  <si>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</si>
  <si>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</si>
  <si>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</si>
  <si>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</si>
  <si>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</si>
  <si>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</si>
  <si>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</si>
  <si>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</si>
  <si>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</si>
  <si>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</si>
  <si>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</si>
  <si>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</si>
  <si>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</si>
  <si>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</si>
  <si>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</si>
  <si>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</si>
  <si>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</si>
  <si>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</si>
  <si>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</si>
  <si>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</si>
  <si>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</si>
  <si>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</si>
  <si>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</si>
  <si>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</si>
  <si>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</si>
  <si>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</si>
  <si>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</si>
  <si>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</si>
  <si>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</si>
  <si>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</si>
  <si>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</si>
  <si>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</si>
  <si>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</si>
  <si>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</si>
  <si>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</si>
  <si>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</si>
  <si>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</si>
  <si>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</si>
  <si>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</si>
  <si>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</si>
  <si>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</si>
  <si>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</si>
  <si>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</si>
  <si>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</si>
  <si>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</si>
  <si>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</si>
  <si>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</si>
  <si>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</si>
  <si>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</si>
  <si>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</si>
  <si>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</si>
  <si>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</si>
  <si>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</si>
  <si>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</si>
  <si>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</si>
  <si>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</si>
  <si>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</si>
  <si>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</si>
  <si>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</si>
  <si>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</si>
  <si>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</si>
  <si>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</si>
  <si>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</si>
  <si>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</si>
  <si>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</si>
  <si>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</si>
  <si>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</si>
  <si>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</si>
  <si>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</si>
  <si>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</si>
  <si>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</si>
  <si>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</si>
  <si>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</si>
  <si>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</si>
  <si>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</si>
  <si>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</si>
  <si>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</si>
  <si>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</si>
  <si>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</si>
  <si>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</si>
  <si>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</si>
  <si>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</si>
  <si>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</si>
  <si>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</si>
  <si>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</si>
  <si>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</si>
  <si>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</si>
  <si>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</si>
  <si>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</si>
  <si>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</si>
  <si>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</si>
  <si>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</si>
  <si>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</si>
  <si>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</si>
  <si>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</si>
  <si>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</si>
  <si>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</si>
  <si>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</si>
  <si>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</si>
  <si>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</si>
  <si>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</si>
  <si>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</si>
  <si>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</si>
  <si>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</si>
  <si>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</si>
  <si>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</si>
  <si>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</si>
  <si>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</si>
  <si>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</si>
  <si>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</si>
  <si>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</si>
  <si>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</si>
  <si>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</si>
  <si>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</si>
  <si>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</si>
  <si>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</si>
  <si>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</si>
  <si>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</si>
  <si>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</si>
  <si>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</si>
  <si>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</si>
  <si>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</si>
  <si>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</si>
  <si>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</si>
  <si>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</si>
  <si>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</si>
  <si>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</si>
  <si>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</si>
  <si>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</si>
  <si>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</si>
  <si>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</si>
  <si>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</si>
  <si>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</si>
  <si>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</si>
  <si>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</si>
  <si>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</si>
  <si>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</si>
  <si>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</si>
  <si>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</si>
  <si>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</si>
  <si>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</si>
  <si>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</si>
  <si>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</si>
  <si>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</si>
  <si>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</si>
  <si>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</si>
  <si>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</si>
  <si>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</si>
  <si>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</si>
  <si>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</si>
  <si>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</si>
  <si>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</si>
  <si>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</si>
  <si>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</si>
  <si>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</si>
  <si>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</si>
  <si>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</si>
  <si>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</si>
  <si>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</si>
  <si>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</si>
  <si>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</si>
  <si>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</si>
  <si>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</si>
  <si>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</si>
  <si>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</si>
  <si>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</si>
  <si>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</si>
  <si>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</si>
  <si>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</si>
  <si>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</si>
  <si>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</si>
  <si>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</si>
  <si>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</si>
  <si>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</si>
  <si>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</si>
  <si>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</si>
  <si>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</si>
  <si>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</si>
  <si>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</si>
  <si>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</si>
  <si>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</si>
  <si>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</si>
  <si>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</si>
  <si>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</si>
  <si>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</si>
  <si>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</si>
  <si>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</si>
  <si>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</si>
  <si>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</si>
  <si>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</si>
  <si>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</si>
  <si>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</si>
  <si>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</si>
  <si>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</si>
  <si>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</si>
  <si>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</si>
  <si>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</si>
  <si>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</si>
  <si>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</si>
  <si>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</si>
  <si>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</si>
  <si>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</si>
  <si>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</si>
  <si>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</si>
  <si>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</si>
  <si>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</si>
  <si>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</si>
  <si>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</si>
  <si>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</si>
  <si>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</si>
  <si>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</si>
  <si>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</si>
  <si>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</si>
  <si>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</si>
  <si>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</si>
  <si>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</si>
  <si>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</si>
  <si>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</si>
  <si>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</si>
  <si>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</si>
  <si>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</si>
  <si>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</si>
  <si>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</si>
  <si>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</si>
  <si>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</si>
  <si>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</si>
  <si>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</si>
  <si>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</si>
  <si>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</si>
  <si>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</si>
  <si>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</si>
  <si>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</si>
  <si>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</si>
  <si>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</si>
  <si>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</si>
  <si>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</si>
  <si>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</si>
  <si>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</si>
  <si>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</si>
  <si>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</si>
  <si>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</si>
  <si>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</si>
  <si>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</si>
  <si>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</si>
  <si>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</si>
  <si>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</si>
  <si>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</si>
  <si>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</si>
  <si>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</si>
  <si>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</si>
  <si>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</si>
  <si>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</si>
  <si>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</si>
  <si>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</si>
  <si>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</si>
  <si>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</si>
  <si>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</si>
  <si>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</si>
  <si>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</si>
  <si>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</si>
  <si>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</si>
  <si>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</si>
  <si>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</si>
  <si>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</si>
  <si>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</si>
  <si>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</si>
  <si>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</si>
  <si>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</si>
  <si>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</si>
  <si>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</si>
  <si>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</si>
  <si>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</si>
  <si>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</si>
  <si>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</si>
  <si>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</si>
  <si>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</si>
  <si>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</si>
  <si>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</si>
  <si>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</si>
  <si>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</si>
  <si>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</si>
  <si>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</si>
  <si>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</si>
  <si>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</si>
  <si>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</si>
  <si>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</si>
  <si>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</si>
  <si>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</si>
  <si>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</si>
  <si>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</si>
  <si>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</si>
  <si>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</si>
  <si>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</si>
  <si>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</si>
  <si>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</si>
  <si>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</si>
  <si>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</si>
  <si>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</si>
  <si>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</si>
  <si>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</si>
  <si>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</si>
  <si>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</si>
  <si>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</si>
  <si>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</si>
  <si>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</si>
  <si>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</si>
  <si>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</si>
  <si>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</si>
  <si>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</si>
  <si>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</si>
  <si>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</si>
  <si>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</si>
  <si>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</si>
  <si>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</si>
  <si>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</si>
  <si>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</si>
  <si>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</si>
  <si>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</si>
  <si>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</si>
  <si>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</si>
  <si>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</si>
  <si>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</si>
  <si>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</si>
  <si>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</si>
  <si>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</si>
  <si>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</si>
  <si>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</si>
  <si>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</si>
  <si>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</si>
  <si>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</si>
  <si>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</si>
  <si>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</si>
  <si>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</si>
  <si>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</si>
  <si>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</si>
  <si>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</si>
  <si>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</si>
  <si>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</si>
  <si>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</si>
  <si>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</si>
  <si>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</si>
  <si>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</si>
  <si>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</si>
  <si>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</si>
  <si>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</si>
  <si>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</si>
  <si>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</si>
  <si>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</si>
  <si>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</si>
  <si>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</si>
  <si>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</si>
  <si>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</si>
  <si>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</si>
  <si>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</si>
  <si>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</si>
  <si>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</si>
  <si>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</si>
  <si>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</si>
  <si>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</si>
  <si>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</si>
  <si>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</si>
  <si>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</si>
  <si>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</si>
  <si>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</si>
  <si>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</si>
  <si>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</si>
  <si>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</si>
  <si>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</si>
  <si>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</si>
  <si>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</si>
  <si>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</si>
  <si>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</si>
  <si>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</si>
  <si>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</si>
  <si>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</si>
  <si>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</si>
  <si>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</si>
  <si>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</si>
  <si>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</si>
  <si>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</si>
  <si>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</si>
  <si>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</si>
  <si>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</si>
  <si>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</si>
  <si>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</si>
  <si>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</si>
  <si>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</si>
  <si>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</si>
  <si>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</si>
  <si>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</si>
  <si>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</si>
  <si>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</si>
  <si>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</si>
  <si>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</si>
  <si>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</si>
  <si>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</si>
  <si>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</si>
  <si>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</si>
  <si>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</si>
  <si>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</si>
  <si>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</si>
  <si>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</si>
  <si>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</si>
  <si>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</si>
  <si>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</si>
  <si>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</si>
  <si>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</si>
  <si>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</si>
  <si>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</si>
  <si>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</si>
  <si>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</si>
  <si>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</si>
  <si>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</si>
  <si>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</si>
  <si>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</si>
  <si>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</si>
  <si>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</si>
  <si>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</si>
  <si>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</si>
  <si>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</si>
  <si>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</si>
  <si>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</si>
  <si>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</si>
  <si>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</si>
  <si>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</si>
  <si>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</si>
  <si>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</si>
  <si>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</si>
  <si>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</si>
  <si>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</si>
  <si>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</si>
  <si>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</si>
  <si>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</si>
  <si>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</si>
  <si>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</si>
  <si>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</si>
  <si>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</si>
  <si>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</si>
  <si>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</si>
  <si>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</si>
  <si>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</si>
  <si>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</si>
  <si>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</si>
  <si>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</si>
  <si>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</si>
  <si>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</si>
  <si>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</si>
  <si>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</si>
  <si>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</si>
  <si>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</si>
  <si>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</si>
  <si>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</si>
  <si>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</si>
  <si>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</si>
  <si>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</si>
  <si>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</si>
  <si>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</si>
  <si>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</si>
  <si>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</si>
  <si>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</si>
  <si>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</si>
  <si>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</si>
  <si>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</si>
  <si>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</si>
  <si>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</si>
  <si>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</si>
  <si>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</si>
  <si>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</si>
  <si>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</si>
  <si>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</si>
  <si>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</si>
  <si>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</si>
  <si>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</si>
  <si>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</si>
  <si>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</si>
  <si>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</si>
  <si>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</si>
  <si>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</si>
  <si>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</si>
  <si>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</si>
  <si>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</si>
  <si>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</si>
  <si>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</si>
  <si>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</si>
  <si>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</si>
  <si>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</si>
  <si>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</si>
  <si>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</si>
  <si>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</si>
  <si>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</si>
  <si>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</si>
  <si>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</si>
  <si>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</si>
  <si>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</si>
  <si>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</si>
  <si>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</si>
  <si>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</si>
  <si>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</si>
  <si>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</si>
  <si>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</si>
  <si>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</si>
  <si>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</si>
  <si>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</si>
  <si>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</si>
  <si>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</si>
  <si>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</si>
  <si>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</si>
  <si>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</si>
  <si>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</si>
  <si>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</si>
  <si>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</si>
  <si>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</si>
  <si>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</si>
  <si>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</si>
  <si>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</si>
  <si>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</si>
  <si>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</si>
  <si>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</si>
  <si>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</si>
  <si>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</si>
  <si>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</si>
  <si>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</si>
  <si>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</si>
  <si>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</si>
  <si>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</si>
  <si>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</si>
  <si>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</si>
  <si>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</si>
  <si>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</si>
  <si>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</si>
  <si>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</si>
  <si>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</si>
  <si>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</si>
  <si>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</si>
  <si>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</si>
  <si>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</si>
  <si>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</si>
  <si>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</si>
  <si>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</si>
  <si>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</si>
  <si>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</si>
  <si>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</si>
  <si>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</si>
  <si>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</si>
  <si>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</si>
  <si>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</si>
  <si>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</si>
  <si>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</si>
  <si>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</si>
  <si>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</si>
  <si>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</si>
  <si>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</si>
  <si>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</si>
  <si>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</si>
  <si>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</si>
  <si>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</si>
  <si>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</si>
  <si>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</si>
  <si>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</si>
  <si>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</si>
  <si>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</si>
  <si>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</si>
  <si>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</si>
  <si>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</si>
  <si>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</si>
  <si>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</si>
  <si>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</si>
  <si>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</si>
  <si>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</si>
  <si>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</si>
  <si>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</si>
  <si>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</si>
  <si>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</si>
  <si>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</si>
  <si>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</si>
  <si>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</si>
  <si>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</si>
  <si>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</si>
  <si>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</si>
  <si>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</si>
  <si>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</si>
  <si>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</si>
  <si>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</si>
  <si>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</si>
  <si>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</si>
  <si>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</si>
  <si>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</si>
  <si>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</si>
  <si>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</si>
  <si>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</si>
  <si>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</si>
  <si>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</si>
  <si>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</si>
  <si>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</si>
  <si>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</si>
  <si>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</si>
  <si>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</si>
  <si>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</si>
  <si>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</si>
  <si>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</si>
  <si>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</si>
  <si>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</si>
  <si>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</si>
  <si>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</si>
  <si>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</si>
  <si>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</si>
  <si>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</si>
  <si>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</si>
  <si>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</si>
  <si>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</si>
  <si>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</si>
  <si>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</si>
  <si>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</si>
  <si>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</si>
  <si>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</si>
  <si>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</si>
  <si>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</si>
  <si>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</si>
  <si>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</si>
  <si>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</si>
  <si>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</si>
  <si>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</si>
  <si>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</si>
  <si>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</si>
  <si>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</si>
  <si>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</si>
  <si>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</si>
  <si>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</si>
  <si>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</si>
  <si>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</si>
  <si>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</si>
  <si>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</si>
  <si>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</si>
  <si>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</si>
  <si>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</si>
  <si>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</si>
  <si>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</si>
  <si>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</si>
  <si>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</si>
  <si>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</si>
  <si>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</si>
  <si>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</si>
  <si>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</si>
  <si>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</si>
  <si>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</si>
  <si>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</si>
  <si>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</si>
  <si>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</si>
  <si>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</si>
  <si>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</si>
  <si>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</si>
  <si>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</si>
  <si>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</si>
  <si>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</si>
  <si>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</si>
  <si>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</si>
  <si>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</si>
  <si>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</si>
  <si>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</si>
  <si>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</si>
  <si>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</si>
  <si>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</si>
  <si>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</si>
  <si>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</si>
  <si>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</si>
  <si>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</si>
  <si>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</si>
  <si>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</si>
  <si>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</si>
  <si>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</si>
  <si>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</si>
  <si>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</si>
  <si>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</si>
  <si>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</si>
  <si>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</si>
  <si>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</si>
  <si>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</si>
  <si>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</si>
  <si>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</si>
  <si>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</si>
  <si>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</si>
  <si>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</si>
  <si>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</si>
  <si>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</si>
  <si>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</si>
  <si>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</si>
  <si>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</si>
  <si>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</si>
  <si>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</si>
  <si>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</si>
  <si>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</si>
  <si>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</si>
  <si>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</si>
  <si>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</si>
  <si>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</si>
  <si>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</si>
  <si>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</si>
  <si>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</si>
  <si>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</si>
  <si>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</si>
  <si>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</si>
  <si>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</si>
  <si>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</si>
  <si>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</si>
  <si>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</si>
  <si>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</si>
  <si>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</si>
  <si>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</si>
  <si>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</si>
  <si>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</si>
  <si>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</si>
  <si>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</si>
  <si>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</si>
  <si>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</si>
  <si>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</si>
  <si>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</si>
  <si>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</si>
  <si>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</si>
  <si>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</si>
  <si>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</si>
  <si>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</si>
  <si>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</si>
  <si>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</si>
  <si>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</si>
  <si>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</si>
  <si>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</si>
  <si>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</si>
  <si>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</si>
  <si>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</si>
  <si>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</si>
  <si>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</si>
  <si>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</si>
  <si>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</si>
  <si>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</si>
  <si>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</si>
  <si>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</si>
  <si>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</si>
  <si>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</si>
  <si>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</si>
  <si>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</si>
  <si>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</si>
  <si>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</si>
  <si>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</si>
  <si>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</si>
  <si>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</si>
  <si>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</si>
  <si>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</si>
  <si>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</si>
  <si>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</si>
  <si>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</si>
  <si>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</si>
  <si>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</si>
  <si>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</si>
  <si>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</si>
  <si>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</si>
  <si>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</si>
  <si>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</si>
  <si>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</si>
  <si>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</si>
  <si>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</si>
  <si>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</si>
  <si>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</si>
  <si>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</si>
  <si>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</si>
  <si>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</si>
  <si>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</si>
  <si>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</si>
  <si>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</si>
  <si>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</si>
  <si>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</si>
  <si>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</si>
  <si>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</si>
  <si>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</si>
  <si>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</si>
  <si>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</si>
  <si>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</si>
  <si>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</si>
  <si>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</si>
  <si>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</si>
  <si>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</si>
  <si>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</si>
  <si>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</si>
  <si>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</si>
  <si>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</si>
  <si>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</si>
  <si>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</si>
  <si>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</si>
  <si>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</si>
  <si>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</si>
  <si>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</si>
  <si>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</si>
  <si>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</si>
  <si>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</si>
  <si>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</si>
  <si>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</si>
  <si>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</si>
  <si>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</si>
  <si>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</si>
  <si>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</si>
  <si>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</si>
  <si>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</si>
  <si>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</si>
  <si>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</si>
  <si>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</si>
  <si>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</si>
  <si>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</si>
  <si>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</si>
  <si>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</si>
  <si>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</si>
  <si>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</si>
  <si>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</si>
  <si>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</si>
  <si>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</si>
  <si>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</si>
  <si>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</si>
  <si>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</si>
  <si>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</si>
  <si>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</si>
  <si>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</si>
  <si>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</si>
  <si>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</si>
  <si>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</si>
  <si>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</si>
  <si>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</si>
  <si>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</si>
  <si>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</si>
  <si>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</si>
  <si>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</si>
  <si>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</si>
  <si>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</si>
  <si>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</si>
  <si>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</si>
  <si>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</si>
  <si>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</si>
  <si>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</si>
  <si>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</si>
  <si>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</si>
  <si>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</si>
  <si>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</si>
  <si>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</si>
  <si>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</si>
  <si>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</si>
  <si>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</si>
  <si>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</si>
  <si>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</si>
  <si>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</si>
  <si>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</si>
  <si>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</si>
  <si>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</si>
  <si>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</si>
  <si>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</si>
  <si>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</si>
  <si>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</si>
  <si>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</si>
  <si>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</si>
  <si>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</si>
  <si>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</si>
  <si>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</si>
  <si>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</si>
  <si>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</si>
  <si>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</si>
  <si>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</si>
  <si>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</si>
  <si>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</si>
  <si>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</si>
  <si>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</si>
  <si>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</si>
  <si>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</si>
  <si>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</si>
  <si>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</si>
  <si>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</si>
  <si>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</si>
  <si>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</si>
  <si>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</si>
  <si>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</si>
  <si>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</si>
  <si>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</si>
  <si>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</si>
  <si>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</si>
  <si>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</si>
  <si>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</si>
  <si>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</si>
  <si>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</si>
  <si>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</si>
  <si>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</si>
  <si>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</si>
  <si>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</si>
  <si>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</si>
  <si>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</si>
  <si>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</si>
  <si>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</si>
  <si>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</si>
  <si>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</si>
  <si>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</si>
  <si>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</si>
  <si>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</si>
  <si>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</si>
  <si>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</si>
  <si>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</si>
  <si>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</si>
  <si>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</si>
  <si>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</si>
  <si>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</si>
  <si>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</si>
  <si>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</si>
  <si>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</si>
  <si>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</si>
  <si>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</si>
  <si>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</si>
  <si>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</si>
  <si>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</si>
  <si>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</si>
  <si>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</si>
  <si>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</si>
  <si>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</si>
  <si>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</si>
  <si>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</si>
  <si>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</si>
  <si>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</si>
  <si>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</si>
  <si>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</si>
  <si>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</si>
  <si>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</si>
  <si>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</si>
  <si>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</si>
  <si>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</si>
  <si>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</si>
  <si>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</si>
  <si>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</si>
  <si>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</si>
  <si>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</si>
  <si>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</si>
  <si>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</si>
  <si>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</si>
  <si>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</si>
  <si>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</si>
  <si>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</si>
  <si>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</si>
  <si>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</si>
  <si>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</si>
  <si>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</si>
  <si>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</si>
  <si>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</si>
  <si>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</si>
  <si>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</si>
  <si>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</si>
  <si>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</si>
  <si>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</si>
  <si>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</si>
  <si>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</si>
  <si>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</si>
  <si>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</si>
  <si>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</si>
  <si>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</si>
  <si>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</si>
  <si>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</si>
  <si>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</si>
  <si>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</si>
  <si>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</si>
  <si>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</si>
  <si>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</si>
  <si>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</si>
  <si>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</si>
  <si>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</si>
  <si>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</si>
  <si>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</si>
  <si>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</si>
  <si>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</si>
  <si>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</si>
  <si>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</si>
  <si>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</si>
  <si>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</si>
  <si>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</si>
  <si>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</si>
  <si>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</si>
  <si>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</si>
  <si>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</si>
  <si>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</si>
  <si>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</si>
  <si>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</si>
  <si>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</si>
  <si>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</si>
  <si>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</si>
  <si>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</si>
  <si>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</si>
  <si>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</si>
  <si>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</si>
  <si>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</si>
  <si>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</si>
  <si>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</si>
  <si>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</si>
  <si>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</si>
  <si>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</si>
  <si>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</si>
  <si>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</si>
  <si>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</si>
  <si>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</si>
  <si>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</si>
  <si>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</si>
  <si>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</si>
  <si>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</si>
  <si>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</si>
  <si>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</si>
  <si>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</si>
  <si>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</si>
  <si>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</si>
  <si>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</si>
  <si>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</si>
  <si>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</si>
  <si>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</si>
  <si>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</si>
  <si>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</si>
  <si>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</si>
  <si>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</si>
  <si>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</si>
  <si>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</si>
  <si>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</si>
  <si>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</si>
  <si>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</si>
  <si>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</si>
  <si>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</si>
  <si>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</si>
  <si>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</si>
  <si>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</si>
  <si>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</si>
  <si>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</si>
  <si>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</si>
  <si>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</si>
  <si>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</si>
  <si>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</si>
  <si>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</si>
  <si>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</si>
  <si>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</si>
  <si>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</si>
  <si>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</si>
  <si>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</si>
  <si>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</si>
  <si>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</si>
  <si>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</si>
  <si>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</si>
  <si>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</si>
  <si>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</si>
  <si>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</si>
  <si>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</si>
  <si>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</si>
  <si>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</si>
  <si>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</si>
  <si>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</si>
  <si>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</si>
  <si>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</si>
  <si>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</si>
  <si>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</si>
  <si>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</si>
  <si>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</si>
  <si>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</si>
  <si>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</si>
  <si>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</si>
  <si>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</si>
  <si>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</si>
  <si>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</si>
  <si>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</si>
  <si>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</si>
  <si>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</si>
  <si>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</si>
  <si>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</si>
  <si>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</si>
  <si>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</si>
  <si>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</si>
  <si>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</si>
  <si>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</si>
  <si>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</si>
  <si>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</si>
  <si>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</si>
  <si>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</si>
  <si>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</si>
  <si>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</si>
  <si>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</si>
  <si>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</si>
  <si>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</si>
  <si>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</si>
  <si>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</si>
  <si>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</si>
  <si>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</si>
  <si>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</si>
  <si>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</si>
  <si>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</si>
  <si>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</si>
  <si>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</si>
  <si>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</si>
  <si>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</si>
  <si>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</si>
  <si>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</si>
  <si>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</si>
  <si>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</si>
  <si>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</si>
  <si>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</si>
  <si>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</si>
  <si>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</si>
  <si>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</si>
  <si>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</si>
  <si>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</si>
  <si>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</si>
  <si>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</si>
  <si>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</si>
  <si>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</si>
  <si>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</si>
  <si>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</si>
  <si>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</si>
  <si>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</si>
  <si>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</si>
  <si>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</si>
  <si>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</si>
  <si>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</si>
  <si>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</si>
  <si>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</si>
  <si>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</si>
  <si>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</si>
  <si>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</si>
  <si>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</si>
  <si>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</si>
  <si>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</si>
  <si>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</si>
  <si>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</si>
  <si>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</si>
  <si>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</si>
  <si>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</si>
  <si>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</si>
  <si>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</si>
  <si>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</si>
  <si>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</si>
  <si>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</si>
  <si>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</si>
  <si>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</si>
  <si>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</si>
  <si>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</si>
  <si>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</si>
  <si>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</si>
  <si>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</si>
  <si>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</si>
  <si>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</si>
  <si>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</si>
  <si>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</si>
  <si>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</si>
  <si>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</si>
  <si>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</si>
  <si>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</si>
  <si>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</si>
  <si>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</si>
  <si>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</si>
  <si>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</si>
  <si>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</si>
  <si>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</si>
  <si>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</si>
  <si>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</si>
  <si>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</si>
  <si>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</si>
  <si>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</si>
  <si>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</si>
  <si>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</si>
  <si>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</si>
  <si>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</si>
  <si>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</si>
  <si>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</si>
  <si>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</si>
  <si>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</si>
  <si>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</si>
  <si>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</si>
  <si>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</si>
  <si>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</si>
  <si>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</si>
  <si>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</si>
  <si>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</si>
  <si>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</si>
  <si>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</si>
  <si>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</si>
  <si>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</si>
  <si>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</si>
  <si>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</si>
  <si>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</si>
  <si>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</si>
  <si>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</si>
  <si>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</si>
  <si>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</si>
  <si>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</si>
  <si>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</si>
  <si>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</si>
  <si>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</si>
  <si>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</si>
  <si>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</si>
  <si>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</si>
  <si>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</si>
  <si>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</si>
  <si>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</si>
  <si>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</si>
  <si>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</si>
  <si>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</si>
  <si>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</si>
  <si>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</si>
  <si>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</si>
  <si>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</si>
  <si>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</si>
  <si>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</si>
  <si>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</si>
  <si>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</si>
  <si>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</si>
  <si>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</si>
  <si>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</si>
  <si>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</si>
  <si>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</si>
  <si>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</si>
  <si>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</si>
  <si>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</si>
  <si>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</si>
  <si>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</si>
  <si>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</si>
  <si>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</si>
  <si>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</si>
  <si>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</si>
  <si>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</si>
  <si>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</si>
  <si>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</si>
  <si>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</si>
  <si>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</si>
  <si>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</si>
  <si>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</si>
  <si>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</si>
  <si>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</si>
  <si>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</si>
  <si>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</si>
  <si>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</si>
  <si>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</si>
  <si>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</si>
  <si>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</si>
  <si>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</si>
  <si>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</si>
  <si>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</si>
  <si>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</si>
  <si>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</si>
  <si>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</si>
  <si>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</si>
  <si>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</si>
  <si>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</si>
  <si>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</si>
  <si>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</si>
  <si>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</si>
  <si>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</si>
  <si>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</si>
  <si>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</si>
  <si>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</si>
  <si>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</si>
  <si>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</si>
  <si>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</si>
  <si>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</si>
  <si>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</si>
  <si>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</si>
  <si>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</si>
  <si>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</si>
  <si>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</si>
  <si>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</si>
  <si>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</si>
  <si>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</si>
  <si>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</si>
  <si>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</si>
  <si>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</si>
  <si>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</si>
  <si>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</si>
  <si>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</si>
  <si>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</si>
  <si>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</si>
  <si>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</si>
  <si>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</si>
  <si>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</si>
  <si>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</si>
  <si>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</si>
  <si>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</si>
  <si>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</si>
  <si>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</si>
  <si>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</si>
  <si>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</si>
  <si>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</si>
  <si>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</si>
  <si>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</si>
  <si>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</si>
  <si>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</si>
  <si>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</si>
  <si>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</si>
  <si>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</si>
  <si>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</si>
  <si>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</si>
  <si>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</si>
  <si>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</si>
  <si>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</si>
  <si>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</si>
  <si>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</si>
  <si>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</si>
  <si>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</si>
  <si>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</si>
  <si>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</si>
  <si>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</si>
  <si>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</si>
  <si>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</si>
  <si>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</si>
  <si>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</si>
  <si>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</si>
  <si>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</si>
  <si>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</si>
  <si>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</si>
  <si>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</si>
  <si>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</si>
  <si>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</si>
  <si>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</si>
  <si>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</si>
  <si>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</si>
  <si>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</si>
  <si>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</si>
  <si>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</si>
  <si>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</si>
  <si>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</si>
  <si>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</si>
  <si>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</si>
  <si>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</si>
  <si>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</si>
  <si>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</si>
  <si>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</si>
  <si>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</si>
  <si>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</si>
  <si>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</si>
  <si>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</si>
  <si>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</si>
  <si>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</si>
  <si>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</si>
  <si>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</si>
  <si>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</si>
  <si>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</si>
  <si>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</si>
  <si>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</si>
  <si>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</si>
  <si>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</si>
  <si>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</si>
  <si>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</si>
  <si>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</si>
  <si>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</si>
  <si>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</si>
  <si>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</si>
  <si>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</si>
  <si>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</si>
  <si>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</si>
  <si>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</si>
  <si>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</si>
  <si>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</si>
  <si>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</si>
  <si>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</si>
  <si>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</si>
  <si>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</si>
  <si>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</si>
  <si>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</si>
  <si>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</si>
  <si>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</si>
  <si>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</si>
  <si>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</si>
  <si>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</si>
  <si>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</si>
  <si>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</si>
  <si>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</si>
  <si>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</si>
  <si>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</si>
  <si>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</si>
  <si>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</si>
  <si>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</si>
  <si>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</si>
  <si>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</si>
  <si>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</si>
  <si>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</si>
  <si>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</si>
  <si>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</si>
  <si>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</si>
  <si>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</si>
  <si>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</si>
  <si>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</si>
  <si>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</si>
  <si>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</si>
  <si>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</si>
  <si>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</si>
  <si>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</si>
  <si>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</si>
  <si>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</si>
  <si>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</si>
  <si>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</si>
  <si>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</si>
  <si>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</si>
  <si>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</si>
  <si>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</si>
  <si>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</si>
  <si>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</si>
  <si>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</si>
  <si>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</si>
  <si>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</si>
  <si>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</si>
  <si>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</si>
  <si>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</si>
  <si>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</si>
  <si>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</si>
  <si>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</si>
  <si>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</si>
  <si>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</si>
  <si>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</si>
  <si>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</si>
  <si>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</si>
  <si>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</si>
  <si>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</si>
  <si>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</si>
  <si>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</si>
  <si>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</si>
  <si>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</si>
  <si>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</si>
  <si>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</si>
  <si>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</si>
  <si>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</si>
  <si>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</si>
  <si>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</si>
  <si>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</si>
  <si>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</si>
  <si>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</si>
  <si>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</si>
  <si>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</si>
  <si>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</si>
  <si>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</si>
  <si>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</si>
  <si>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</si>
  <si>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</si>
  <si>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</si>
  <si>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</si>
  <si>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</si>
  <si>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</si>
  <si>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</si>
  <si>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</si>
  <si>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</si>
  <si>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</si>
  <si>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</si>
  <si>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</si>
  <si>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</si>
  <si>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</si>
  <si>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</si>
  <si>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</si>
  <si>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</si>
  <si>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</si>
  <si>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</si>
  <si>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</si>
  <si>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</si>
  <si>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</si>
  <si>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</si>
  <si>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</si>
  <si>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</si>
  <si>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</si>
  <si>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</si>
  <si>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</si>
  <si>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</si>
  <si>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</si>
  <si>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</si>
  <si>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</si>
  <si>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</si>
  <si>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</si>
  <si>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</si>
  <si>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</si>
  <si>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</si>
  <si>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</si>
  <si>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</si>
  <si>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</si>
  <si>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</si>
  <si>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</si>
  <si>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</si>
  <si>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</si>
  <si>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</si>
  <si>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</si>
  <si>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</si>
  <si>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</si>
  <si>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</si>
  <si>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</si>
  <si>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</si>
  <si>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</si>
  <si>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</si>
  <si>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</si>
  <si>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</si>
  <si>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</si>
  <si>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</si>
  <si>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</si>
  <si>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</si>
  <si>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</si>
  <si>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</si>
  <si>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</si>
  <si>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</si>
  <si>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</si>
  <si>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</si>
  <si>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</si>
  <si>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</si>
  <si>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</si>
  <si>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</si>
  <si>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</si>
  <si>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</si>
  <si>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</si>
  <si>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</si>
  <si>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</si>
  <si>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</si>
  <si>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</si>
  <si>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</si>
  <si>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</si>
  <si>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</si>
  <si>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</si>
  <si>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</si>
  <si>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</si>
  <si>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</si>
  <si>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</si>
  <si>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</si>
  <si>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</si>
  <si>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</si>
  <si>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</si>
  <si>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</si>
  <si>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</si>
  <si>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</si>
  <si>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</si>
  <si>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</si>
  <si>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</si>
  <si>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</si>
  <si>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</si>
  <si>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</si>
  <si>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</si>
  <si>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</si>
  <si>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</si>
  <si>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</si>
  <si>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</si>
  <si>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</si>
  <si>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</si>
  <si>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</si>
  <si>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</si>
  <si>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</si>
  <si>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</si>
  <si>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</si>
  <si>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</si>
  <si>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</si>
  <si>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</si>
  <si>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</si>
  <si>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</si>
  <si>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</si>
  <si>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</si>
  <si>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</si>
  <si>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</si>
  <si>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</si>
  <si>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</si>
  <si>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</si>
  <si>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</si>
  <si>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</si>
  <si>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</si>
  <si>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</si>
  <si>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</si>
  <si>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</si>
  <si>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</si>
  <si>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</si>
  <si>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</si>
  <si>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</si>
  <si>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</si>
  <si>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</si>
  <si>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</si>
  <si>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</si>
  <si>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</si>
  <si>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</si>
  <si>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</si>
  <si>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</si>
  <si>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</si>
  <si>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</si>
  <si>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</si>
  <si>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</si>
  <si>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</si>
  <si>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</si>
  <si>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</si>
  <si>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</si>
  <si>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</si>
  <si>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</si>
  <si>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</si>
  <si>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</si>
  <si>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</si>
  <si>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</si>
  <si>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</si>
  <si>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</si>
  <si>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</si>
  <si>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</si>
  <si>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</si>
  <si>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</si>
  <si>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</si>
  <si>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</si>
  <si>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</si>
  <si>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</si>
  <si>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</si>
  <si>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</si>
  <si>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</si>
  <si>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</si>
  <si>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</si>
  <si>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</si>
  <si>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</si>
  <si>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</si>
  <si>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</si>
  <si>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</si>
  <si>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</si>
  <si>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</si>
  <si>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</si>
  <si>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</si>
  <si>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</si>
  <si>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</si>
  <si>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</si>
  <si>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</si>
  <si>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</si>
  <si>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</si>
  <si>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</si>
  <si>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</si>
  <si>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</si>
  <si>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</si>
  <si>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</si>
  <si>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</si>
  <si>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</si>
  <si>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</si>
  <si>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</si>
  <si>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</si>
  <si>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</si>
  <si>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</si>
  <si>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</si>
  <si>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</si>
  <si>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</si>
  <si>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</si>
  <si>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</si>
  <si>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</si>
  <si>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</si>
  <si>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</si>
  <si>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</si>
  <si>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</si>
  <si>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</si>
  <si>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</si>
  <si>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</si>
  <si>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</si>
  <si>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</si>
  <si>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</si>
  <si>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</si>
  <si>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</si>
  <si>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</si>
  <si>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</si>
  <si>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</si>
  <si>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</si>
  <si>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</si>
  <si>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</si>
  <si>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</si>
  <si>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</si>
  <si>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</si>
  <si>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</si>
  <si>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</si>
  <si>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</si>
  <si>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</si>
  <si>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</si>
  <si>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</si>
  <si>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</si>
  <si>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</si>
  <si>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</si>
  <si>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</si>
  <si>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</si>
  <si>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</si>
  <si>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</si>
  <si>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</si>
  <si>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</si>
  <si>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</si>
  <si>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</si>
  <si>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</si>
  <si>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</si>
  <si>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</si>
  <si>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</si>
  <si>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</si>
  <si>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</si>
  <si>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</si>
  <si>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</si>
  <si>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</si>
  <si>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</si>
  <si>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</si>
  <si>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</si>
  <si>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</si>
  <si>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</si>
  <si>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</si>
  <si>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</si>
  <si>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</si>
  <si>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</si>
  <si>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</si>
  <si>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</si>
  <si>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</si>
  <si>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</si>
  <si>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</si>
  <si>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</si>
  <si>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</si>
  <si>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</si>
  <si>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</si>
  <si>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</si>
  <si>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</si>
  <si>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</si>
  <si>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</si>
  <si>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</si>
  <si>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</si>
  <si>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</si>
  <si>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</si>
  <si>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</si>
  <si>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</si>
  <si>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</si>
  <si>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</si>
  <si>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</si>
  <si>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</si>
  <si>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</si>
  <si>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</si>
  <si>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</si>
  <si>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</si>
  <si>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</si>
  <si>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</si>
  <si>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</si>
  <si>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</si>
  <si>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</si>
  <si>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</si>
  <si>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</si>
  <si>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</si>
  <si>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</si>
  <si>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</si>
  <si>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</si>
  <si>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</si>
  <si>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</si>
  <si>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</si>
  <si>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</si>
  <si>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</si>
  <si>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</si>
  <si>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</si>
  <si>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</si>
  <si>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</si>
  <si>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</si>
  <si>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</si>
  <si>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</si>
  <si>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</si>
  <si>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</si>
  <si>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</si>
  <si>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</si>
  <si>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</si>
  <si>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</si>
  <si>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</si>
  <si>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</si>
  <si>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</si>
  <si>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</si>
  <si>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</si>
  <si>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</si>
  <si>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</si>
  <si>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</si>
  <si>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</si>
  <si>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</si>
  <si>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</si>
  <si>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</si>
  <si>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</si>
  <si>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</si>
  <si>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</si>
  <si>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</si>
  <si>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</si>
  <si>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</si>
  <si>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</si>
  <si>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</si>
  <si>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</si>
  <si>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</si>
  <si>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</si>
  <si>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</si>
  <si>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</si>
  <si>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</si>
  <si>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</si>
  <si>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</si>
  <si>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</si>
  <si>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</si>
  <si>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</si>
  <si>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</si>
  <si>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</si>
  <si>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</si>
  <si>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</si>
  <si>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</si>
  <si>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</si>
  <si>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</si>
  <si>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</si>
  <si>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</si>
  <si>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</si>
  <si>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</si>
  <si>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</si>
  <si>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</si>
  <si>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</si>
  <si>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</si>
  <si>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</si>
  <si>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</si>
  <si>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</si>
  <si>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</si>
  <si>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</si>
  <si>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</si>
  <si>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</si>
  <si>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</si>
  <si>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</si>
  <si>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</si>
  <si>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</si>
  <si>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</si>
  <si>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</si>
  <si>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</si>
  <si>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</si>
  <si>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</si>
  <si>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</si>
  <si>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</si>
  <si>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</si>
  <si>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</si>
  <si>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</si>
  <si>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</si>
  <si>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</si>
  <si>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</si>
  <si>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</si>
  <si>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</si>
  <si>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</si>
  <si>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</si>
  <si>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</si>
  <si>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</si>
  <si>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</si>
  <si>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</si>
  <si>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</si>
  <si>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</si>
  <si>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</si>
  <si>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</si>
  <si>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</si>
  <si>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</si>
  <si>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</si>
  <si>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</si>
  <si>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</si>
  <si>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</si>
  <si>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</si>
  <si>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</si>
  <si>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</si>
  <si>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</si>
  <si>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</si>
  <si>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</si>
  <si>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</si>
  <si>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</si>
  <si>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</si>
  <si>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</si>
  <si>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</si>
  <si>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</si>
  <si>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</si>
  <si>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</si>
  <si>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</si>
  <si>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</si>
  <si>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</si>
  <si>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</si>
  <si>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</si>
  <si>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</si>
  <si>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</si>
  <si>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</si>
  <si>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</si>
  <si>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</si>
  <si>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</si>
  <si>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</si>
  <si>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</si>
  <si>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</si>
  <si>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</si>
  <si>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</si>
  <si>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</si>
  <si>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</si>
  <si>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</si>
  <si>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</si>
  <si>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</si>
  <si>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</si>
  <si>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</si>
  <si>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</si>
  <si>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</si>
  <si>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</si>
  <si>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</si>
  <si>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</si>
  <si>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</si>
  <si>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</si>
  <si>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</si>
  <si>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</si>
  <si>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</si>
  <si>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</si>
  <si>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</si>
  <si>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</si>
  <si>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</si>
  <si>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</si>
  <si>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</si>
  <si>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</si>
  <si>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</si>
  <si>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</si>
  <si>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</si>
  <si>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</si>
  <si>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</si>
  <si>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</si>
  <si>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</si>
  <si>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</si>
  <si>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</si>
  <si>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</si>
  <si>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</si>
  <si>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</si>
  <si>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</si>
  <si>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</si>
  <si>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</si>
  <si>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</si>
  <si>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</si>
  <si>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</si>
  <si>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</si>
  <si>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</si>
  <si>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</si>
  <si>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</si>
  <si>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</si>
  <si>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</si>
  <si>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</si>
  <si>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</si>
  <si>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</si>
  <si>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</si>
  <si>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</si>
  <si>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</si>
  <si>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</si>
  <si>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</si>
  <si>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</si>
  <si>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</si>
  <si>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</si>
  <si>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</si>
  <si>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</si>
  <si>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</si>
  <si>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</si>
  <si>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</si>
  <si>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</si>
  <si>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</si>
  <si>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</si>
  <si>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</si>
  <si>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</si>
  <si>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</si>
  <si>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</si>
  <si>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</si>
  <si>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</si>
  <si>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</si>
  <si>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</si>
  <si>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</si>
  <si>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</si>
  <si>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</si>
  <si>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</si>
  <si>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</si>
  <si>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</si>
  <si>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</si>
  <si>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</si>
  <si>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</si>
  <si>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</si>
  <si>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</si>
  <si>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</si>
  <si>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</si>
  <si>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</si>
  <si>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</si>
  <si>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</si>
  <si>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</si>
  <si>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</si>
  <si>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</si>
  <si>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</si>
  <si>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</si>
  <si>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</si>
  <si>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</si>
  <si>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</si>
  <si>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</si>
  <si>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</si>
  <si>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</si>
  <si>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</si>
  <si>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</si>
  <si>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</si>
  <si>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</si>
  <si>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</si>
  <si>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</si>
  <si>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</si>
  <si>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</si>
  <si>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</si>
  <si>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</si>
  <si>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</si>
  <si>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</si>
  <si>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</si>
  <si>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</si>
  <si>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</si>
  <si>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</si>
  <si>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</si>
  <si>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</si>
  <si>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</si>
  <si>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</si>
  <si>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</si>
  <si>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</si>
  <si>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</si>
  <si>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</si>
  <si>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</si>
  <si>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</si>
  <si>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</si>
  <si>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</si>
  <si>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</si>
  <si>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</si>
  <si>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</si>
  <si>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</si>
  <si>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</si>
  <si>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</si>
  <si>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</si>
  <si>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</si>
  <si>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</si>
  <si>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</si>
  <si>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</si>
  <si>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</si>
  <si>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</si>
  <si>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</si>
  <si>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</si>
  <si>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</si>
  <si>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</si>
  <si>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</si>
  <si>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</si>
  <si>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</si>
  <si>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</si>
  <si>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</si>
  <si>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</si>
  <si>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</si>
  <si>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</si>
  <si>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</si>
  <si>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</si>
  <si>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</si>
  <si>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</si>
  <si>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</si>
  <si>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</si>
  <si>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</si>
  <si>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</si>
  <si>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</si>
  <si>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</si>
  <si>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</si>
  <si>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</si>
  <si>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</si>
  <si>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</si>
  <si>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</si>
  <si>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</si>
  <si>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</si>
  <si>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</si>
  <si>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</si>
  <si>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</si>
  <si>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</si>
  <si>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</si>
  <si>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</si>
  <si>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</si>
  <si>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</si>
  <si>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</si>
  <si>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</si>
  <si>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</si>
  <si>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</si>
  <si>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</si>
  <si>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</si>
  <si>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</si>
  <si>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</si>
  <si>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</si>
  <si>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</si>
  <si>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</si>
  <si>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</si>
  <si>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</si>
  <si>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</si>
  <si>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</si>
  <si>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</si>
  <si>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</si>
  <si>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</si>
  <si>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</si>
  <si>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</si>
  <si>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</si>
  <si>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</si>
  <si>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</si>
  <si>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</si>
  <si>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</si>
  <si>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</si>
  <si>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</si>
  <si>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</si>
  <si>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</si>
  <si>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</si>
  <si>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</si>
  <si>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</si>
  <si>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</si>
  <si>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</si>
  <si>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</si>
  <si>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</si>
  <si>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</si>
  <si>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</si>
  <si>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</si>
  <si>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</si>
  <si>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</si>
  <si>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</si>
  <si>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</si>
  <si>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</si>
  <si>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</si>
  <si>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</si>
  <si>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</si>
  <si>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</si>
  <si>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</si>
  <si>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</si>
  <si>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</si>
  <si>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</si>
  <si>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</si>
  <si>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</si>
  <si>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</si>
  <si>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</si>
  <si>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</si>
  <si>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</si>
  <si>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</si>
  <si>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</si>
  <si>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</si>
  <si>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</si>
  <si>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</si>
  <si>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</si>
  <si>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</si>
  <si>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</si>
  <si>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</si>
  <si>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</si>
  <si>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</si>
  <si>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</si>
  <si>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</si>
  <si>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</si>
  <si>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</si>
  <si>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</si>
  <si>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</si>
  <si>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</si>
  <si>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</si>
  <si>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</si>
  <si>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</si>
  <si>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</si>
  <si>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</si>
  <si>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</si>
  <si>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</si>
  <si>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</si>
  <si>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</si>
  <si>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</si>
  <si>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</si>
  <si>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</si>
  <si>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</si>
  <si>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</si>
  <si>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</si>
  <si>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</si>
  <si>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</si>
  <si>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</si>
  <si>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</si>
  <si>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</si>
  <si>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</si>
  <si>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</si>
  <si>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</si>
  <si>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</si>
  <si>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</si>
  <si>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</si>
  <si>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</si>
  <si>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</si>
  <si>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</si>
  <si>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</si>
  <si>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</si>
  <si>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</si>
  <si>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</si>
  <si>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</si>
  <si>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</si>
  <si>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</si>
  <si>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</si>
  <si>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</si>
  <si>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</si>
  <si>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</si>
  <si>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</si>
  <si>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</si>
  <si>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</si>
  <si>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</si>
  <si>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</si>
  <si>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</si>
  <si>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</si>
  <si>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</si>
  <si>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</si>
  <si>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</si>
  <si>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</si>
  <si>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</si>
  <si>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</si>
  <si>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</si>
  <si>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</si>
  <si>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</si>
  <si>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</si>
  <si>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</si>
  <si>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</si>
  <si>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</si>
  <si>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</si>
  <si>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</si>
  <si>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</si>
  <si>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</si>
  <si>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</si>
  <si>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</si>
  <si>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</si>
  <si>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</si>
  <si>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</si>
  <si>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</si>
  <si>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</si>
  <si>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</si>
  <si>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</si>
  <si>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</si>
  <si>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</si>
  <si>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</si>
  <si>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</si>
  <si>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</si>
  <si>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</si>
  <si>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</si>
  <si>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</si>
  <si>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</si>
  <si>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</si>
  <si>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</si>
  <si>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</si>
  <si>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</si>
  <si>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</si>
  <si>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</si>
  <si>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</si>
  <si>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</si>
  <si>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</si>
  <si>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</si>
  <si>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</si>
  <si>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</si>
  <si>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</si>
  <si>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</si>
  <si>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</si>
  <si>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</si>
  <si>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</si>
  <si>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</si>
  <si>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</si>
  <si>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</si>
  <si>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</si>
  <si>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</si>
  <si>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</si>
  <si>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</si>
  <si>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</si>
  <si>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</si>
  <si>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</si>
  <si>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</si>
  <si>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</si>
  <si>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</si>
  <si>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</si>
  <si>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</si>
  <si>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</si>
  <si>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</si>
  <si>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</si>
  <si>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</si>
  <si>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</si>
  <si>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</si>
  <si>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</si>
  <si>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</si>
  <si>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</si>
  <si>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</si>
  <si>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</si>
  <si>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</si>
  <si>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</si>
  <si>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</si>
  <si>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</si>
  <si>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</si>
  <si>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</si>
  <si>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</si>
  <si>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</si>
  <si>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</si>
  <si>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</si>
  <si>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</si>
  <si>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</si>
  <si>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</si>
  <si>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</si>
  <si>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</si>
  <si>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</si>
  <si>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</si>
  <si>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</si>
  <si>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</si>
  <si>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</si>
  <si>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</si>
  <si>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</si>
  <si>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</si>
  <si>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</si>
  <si>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</si>
  <si>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</si>
  <si>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</si>
  <si>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</si>
  <si>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</si>
  <si>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</si>
  <si>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</si>
  <si>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</si>
  <si>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</si>
  <si>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</si>
  <si>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</si>
  <si>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</si>
  <si>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</si>
  <si>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</si>
  <si>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</si>
  <si>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</si>
  <si>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</si>
  <si>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</si>
  <si>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</si>
  <si>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</si>
  <si>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</si>
  <si>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</si>
  <si>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</si>
  <si>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</si>
  <si>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</si>
  <si>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</si>
  <si>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</si>
  <si>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</si>
  <si>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</si>
  <si>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</si>
  <si>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</si>
  <si>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</si>
  <si>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</si>
  <si>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</si>
  <si>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</si>
  <si>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</si>
  <si>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</si>
  <si>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</si>
  <si>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</si>
  <si>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</si>
  <si>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</si>
  <si>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</si>
  <si>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</si>
  <si>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</si>
  <si>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</si>
  <si>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</si>
  <si>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</si>
  <si>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</si>
  <si>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</si>
  <si>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</si>
  <si>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</si>
  <si>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</si>
  <si>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</si>
  <si>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</si>
  <si>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</si>
  <si>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</si>
  <si>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</si>
  <si>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</si>
  <si>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</si>
  <si>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</si>
  <si>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</si>
  <si>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</si>
  <si>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</si>
  <si>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</si>
  <si>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</si>
  <si>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</si>
  <si>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</si>
  <si>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</si>
  <si>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</si>
  <si>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</si>
  <si>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</si>
  <si>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</si>
  <si>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</si>
  <si>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</si>
  <si>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</si>
  <si>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</si>
  <si>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</si>
  <si>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</si>
  <si>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</si>
  <si>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</si>
  <si>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</si>
  <si>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</si>
  <si>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</si>
  <si>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</si>
  <si>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</si>
  <si>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</si>
  <si>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</si>
  <si>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</si>
  <si>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</si>
  <si>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</si>
  <si>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</si>
  <si>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</si>
  <si>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</si>
  <si>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</si>
  <si>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</si>
  <si>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</si>
  <si>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</si>
  <si>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</si>
  <si>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</si>
  <si>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</si>
  <si>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</si>
  <si>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</si>
  <si>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</si>
  <si>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</si>
  <si>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</si>
  <si>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</si>
  <si>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</si>
  <si>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</si>
  <si>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</si>
  <si>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</si>
  <si>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</si>
  <si>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</si>
  <si>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</si>
  <si>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</si>
  <si>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</si>
  <si>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</si>
  <si>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</si>
  <si>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</si>
  <si>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</si>
  <si>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</si>
  <si>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</si>
  <si>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</si>
  <si>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</si>
  <si>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</si>
  <si>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</si>
  <si>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</si>
  <si>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</si>
  <si>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</si>
  <si>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</si>
  <si>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</si>
  <si>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</si>
  <si>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</si>
  <si>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</si>
  <si>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</si>
  <si>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</si>
  <si>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</si>
  <si>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</si>
  <si>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</si>
  <si>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</si>
  <si>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</si>
  <si>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</si>
  <si>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</si>
  <si>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</si>
  <si>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</si>
  <si>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</si>
  <si>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</si>
  <si>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</si>
  <si>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</si>
  <si>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</si>
  <si>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</si>
  <si>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</si>
  <si>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</si>
  <si>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</si>
  <si>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</si>
  <si>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</si>
  <si>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</si>
  <si>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</si>
  <si>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</si>
  <si>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</si>
  <si>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</si>
  <si>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</si>
  <si>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</si>
  <si>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</si>
  <si>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</si>
  <si>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</si>
  <si>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</si>
  <si>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</si>
  <si>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</si>
  <si>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</si>
  <si>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</si>
  <si>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</si>
  <si>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</si>
  <si>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</si>
  <si>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</si>
  <si>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</si>
  <si>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</si>
  <si>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</si>
  <si>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</si>
  <si>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</si>
  <si>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</si>
  <si>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</si>
  <si>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</si>
  <si>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</si>
  <si>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</si>
  <si>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</si>
  <si>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</si>
  <si>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</si>
  <si>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</si>
  <si>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</si>
  <si>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</si>
  <si>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</si>
  <si>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</si>
  <si>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</si>
  <si>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</si>
  <si>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</si>
  <si>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</si>
  <si>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</si>
  <si>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</si>
  <si>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</si>
  <si>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</si>
  <si>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</si>
  <si>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</si>
  <si>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</si>
  <si>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</si>
  <si>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</si>
  <si>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</si>
  <si>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</si>
  <si>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</si>
  <si>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</si>
  <si>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</si>
  <si>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</si>
  <si>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</si>
  <si>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</si>
  <si>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</si>
  <si>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</si>
  <si>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</si>
  <si>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</si>
  <si>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</si>
  <si>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</si>
  <si>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</si>
  <si>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</si>
  <si>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</si>
  <si>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</si>
  <si>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</si>
  <si>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</si>
  <si>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</si>
  <si>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</si>
  <si>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</si>
  <si>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</si>
  <si>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</si>
  <si>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</si>
  <si>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</si>
  <si>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</si>
  <si>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</si>
  <si>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</si>
  <si>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</si>
  <si>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</si>
  <si>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</si>
  <si>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</si>
  <si>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</si>
  <si>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</si>
  <si>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</si>
  <si>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</si>
  <si>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</si>
  <si>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</si>
  <si>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</si>
  <si>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</si>
  <si>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</si>
  <si>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</si>
  <si>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</si>
  <si>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</si>
  <si>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</si>
  <si>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</si>
  <si>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</si>
  <si>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</si>
  <si>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</si>
  <si>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</si>
  <si>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</si>
  <si>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</si>
  <si>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</si>
  <si>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</si>
  <si>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</si>
  <si>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</si>
  <si>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</si>
  <si>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</si>
  <si>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</si>
  <si>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</si>
  <si>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</si>
  <si>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</si>
  <si>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</si>
  <si>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</si>
  <si>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</si>
  <si>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</si>
  <si>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</si>
  <si>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</si>
  <si>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</si>
  <si>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</si>
  <si>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</si>
  <si>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</si>
  <si>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</si>
  <si>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</si>
  <si>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</si>
  <si>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</si>
  <si>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</si>
  <si>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</si>
  <si>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</si>
  <si>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</si>
  <si>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</si>
  <si>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</si>
  <si>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</si>
  <si>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</si>
  <si>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</si>
  <si>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</si>
  <si>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</si>
  <si>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</si>
  <si>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</si>
  <si>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</si>
  <si>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</si>
  <si>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</si>
  <si>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</si>
  <si>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</si>
  <si>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</si>
  <si>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</si>
  <si>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</si>
  <si>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</si>
  <si>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</si>
  <si>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</si>
  <si>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</si>
  <si>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</si>
  <si>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</si>
  <si>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</si>
  <si>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</si>
  <si>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</si>
  <si>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</si>
  <si>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</si>
  <si>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</si>
  <si>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</si>
  <si>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</si>
  <si>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</si>
  <si>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</si>
  <si>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</si>
  <si>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</si>
  <si>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</si>
  <si>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</si>
  <si>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</si>
  <si>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</si>
  <si>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</si>
  <si>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</si>
  <si>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</si>
  <si>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</si>
  <si>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</si>
  <si>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</si>
  <si>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</si>
  <si>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</si>
  <si>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</si>
  <si>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</si>
  <si>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</si>
  <si>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</si>
  <si>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</si>
  <si>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</si>
  <si>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</si>
  <si>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</si>
  <si>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</si>
  <si>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</si>
  <si>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</si>
  <si>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</si>
  <si>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</si>
  <si>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</si>
  <si>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</si>
  <si>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</si>
  <si>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</si>
  <si>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</si>
  <si>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</si>
  <si>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</si>
  <si>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</si>
  <si>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</si>
  <si>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</si>
  <si>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</si>
  <si>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</si>
  <si>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</si>
  <si>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</si>
  <si>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</si>
  <si>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</si>
  <si>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</si>
  <si>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</si>
  <si>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</si>
  <si>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</si>
  <si>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</si>
  <si>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</si>
  <si>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</si>
  <si>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</si>
  <si>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</si>
  <si>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</si>
  <si>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</si>
  <si>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</si>
  <si>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</si>
  <si>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</si>
  <si>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</si>
  <si>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</si>
  <si>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</si>
  <si>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</si>
  <si>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</si>
  <si>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</si>
  <si>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</si>
  <si>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</si>
  <si>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</si>
  <si>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</si>
  <si>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</si>
  <si>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</si>
  <si>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</si>
  <si>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</si>
  <si>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</si>
  <si>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</si>
  <si>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</si>
  <si>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</si>
  <si>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</si>
  <si>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</si>
  <si>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</si>
  <si>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</si>
  <si>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</si>
  <si>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</si>
  <si>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</si>
  <si>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</si>
  <si>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</si>
  <si>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</si>
  <si>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</si>
  <si>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</si>
  <si>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</si>
  <si>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</si>
  <si>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</si>
  <si>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</si>
  <si>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</si>
  <si>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</si>
  <si>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</si>
  <si>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</si>
  <si>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</si>
  <si>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</si>
  <si>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</si>
  <si>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</si>
  <si>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</si>
  <si>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</si>
  <si>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</si>
  <si>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</si>
  <si>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</si>
  <si>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</si>
  <si>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</si>
  <si>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</si>
  <si>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</si>
  <si>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</si>
  <si>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</si>
  <si>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</si>
  <si>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</si>
  <si>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</si>
  <si>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</si>
  <si>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</si>
  <si>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</si>
  <si>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</si>
  <si>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</si>
  <si>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</si>
  <si>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</si>
  <si>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</si>
  <si>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</si>
  <si>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</si>
  <si>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</si>
  <si>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</si>
  <si>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</si>
  <si>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</si>
  <si>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</si>
  <si>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</si>
  <si>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</si>
  <si>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</si>
  <si>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</si>
  <si>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</si>
  <si>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</si>
  <si>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</si>
  <si>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</si>
  <si>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</si>
  <si>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</si>
  <si>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</si>
  <si>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</si>
  <si>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</si>
  <si>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</si>
  <si>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</si>
  <si>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</si>
  <si>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</si>
  <si>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</si>
  <si>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</si>
  <si>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</si>
  <si>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</si>
  <si>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</si>
  <si>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</si>
  <si>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</si>
  <si>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</si>
  <si>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</si>
  <si>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</si>
  <si>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</si>
  <si>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</si>
  <si>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</si>
  <si>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</si>
  <si>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</si>
  <si>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</si>
  <si>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</si>
  <si>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</si>
  <si>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</si>
  <si>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</si>
  <si>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</si>
  <si>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</si>
  <si>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</si>
  <si>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</si>
  <si>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</si>
  <si>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</si>
  <si>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</si>
  <si>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</si>
  <si>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</si>
  <si>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</si>
  <si>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</si>
  <si>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</si>
  <si>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</si>
  <si>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</si>
  <si>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</si>
  <si>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</si>
  <si>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</si>
  <si>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</si>
  <si>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</si>
  <si>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</si>
  <si>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</si>
  <si>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</si>
  <si>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</si>
  <si>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</si>
  <si>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</si>
  <si>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</si>
  <si>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</si>
  <si>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</si>
  <si>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</si>
  <si>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</si>
  <si>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</si>
  <si>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</si>
  <si>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</si>
  <si>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</si>
  <si>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</si>
  <si>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</si>
  <si>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</si>
  <si>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</si>
  <si>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</si>
  <si>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</si>
  <si>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</si>
  <si>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</si>
  <si>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</si>
  <si>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</si>
  <si>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</si>
  <si>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</si>
  <si>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</si>
  <si>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</si>
  <si>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</si>
  <si>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</si>
  <si>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</si>
  <si>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</si>
  <si>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</si>
  <si>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</si>
  <si>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</si>
  <si>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</si>
  <si>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</si>
  <si>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</si>
  <si>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</si>
  <si>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</si>
  <si>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</si>
  <si>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</si>
  <si>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</si>
  <si>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</si>
  <si>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</si>
  <si>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</si>
  <si>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</si>
  <si>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</si>
  <si>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</si>
  <si>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</si>
  <si>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</si>
  <si>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</si>
  <si>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</si>
  <si>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</si>
  <si>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</si>
  <si>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</si>
  <si>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</si>
  <si>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</si>
  <si>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</si>
  <si>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</si>
  <si>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</si>
  <si>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</si>
  <si>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</si>
  <si>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</si>
  <si>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</si>
  <si>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</si>
  <si>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</si>
  <si>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</si>
  <si>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</si>
  <si>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</si>
  <si>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</si>
  <si>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</si>
  <si>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</si>
  <si>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</si>
  <si>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</si>
  <si>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</si>
  <si>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</si>
  <si>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</si>
  <si>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</si>
  <si>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</si>
  <si>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</si>
  <si>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</si>
  <si>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</si>
  <si>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</si>
  <si>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</si>
  <si>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</si>
  <si>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</si>
  <si>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</si>
  <si>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</si>
  <si>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</si>
  <si>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</si>
  <si>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</si>
  <si>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</si>
  <si>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</si>
  <si>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</si>
  <si>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</si>
  <si>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</si>
  <si>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</si>
  <si>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</si>
  <si>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</si>
  <si>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</si>
  <si>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</si>
  <si>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</si>
  <si>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否</t>
  </si>
  <si>
    <t>现房</t>
  </si>
  <si>
    <t>办公项目</t>
  </si>
  <si>
    <t>是</t>
  </si>
  <si>
    <t>地上</t>
  </si>
  <si>
    <r>
      <t>19C</t>
    </r>
    <r>
      <rPr>
        <sz val="10"/>
        <color indexed="8"/>
        <rFont val="宋体"/>
        <family val="3"/>
        <charset val="134"/>
      </rPr>
      <t>、</t>
    </r>
    <r>
      <rPr>
        <sz val="10"/>
        <color indexed="8"/>
        <rFont val="Arial"/>
        <family val="2"/>
      </rPr>
      <t>D</t>
    </r>
    <r>
      <rPr>
        <sz val="10"/>
        <color indexed="8"/>
        <rFont val="宋体"/>
        <family val="3"/>
        <charset val="134"/>
      </rPr>
      <t>、</t>
    </r>
    <r>
      <rPr>
        <sz val="10"/>
        <color indexed="8"/>
        <rFont val="Arial"/>
        <family val="2"/>
      </rPr>
      <t>E</t>
    </r>
    <phoneticPr fontId="3" type="noConversion"/>
  </si>
  <si>
    <t>成新度</t>
  </si>
  <si>
    <t>建成年代</t>
    <phoneticPr fontId="3" type="noConversion"/>
  </si>
  <si>
    <t>根据产权证</t>
    <phoneticPr fontId="3" type="noConversion"/>
  </si>
  <si>
    <t>直线</t>
    <phoneticPr fontId="3" type="noConversion"/>
  </si>
  <si>
    <t>观察</t>
    <phoneticPr fontId="3" type="noConversion"/>
  </si>
  <si>
    <t>综合</t>
    <phoneticPr fontId="3" type="noConversion"/>
  </si>
  <si>
    <t>办公</t>
    <phoneticPr fontId="7" type="noConversion"/>
  </si>
  <si>
    <t>单套模式</t>
  </si>
  <si>
    <t>售价</t>
  </si>
  <si>
    <t>蒲林华</t>
    <phoneticPr fontId="134" type="noConversion"/>
  </si>
  <si>
    <t>报价40000，成交价可能在30000出头，租金6-6.5之间，含物业含税</t>
    <phoneticPr fontId="134" type="noConversion"/>
  </si>
  <si>
    <r>
      <t>公司产权税5</t>
    </r>
    <r>
      <rPr>
        <sz val="11"/>
        <color theme="1"/>
        <rFont val="宋体"/>
        <family val="3"/>
        <charset val="134"/>
        <scheme val="minor"/>
      </rPr>
      <t>.6%</t>
    </r>
    <phoneticPr fontId="134" type="noConversion"/>
  </si>
  <si>
    <r>
      <t>个人产权税1</t>
    </r>
    <r>
      <rPr>
        <sz val="11"/>
        <color theme="1"/>
        <rFont val="宋体"/>
        <family val="3"/>
        <charset val="134"/>
        <scheme val="minor"/>
      </rPr>
      <t>2%</t>
    </r>
    <phoneticPr fontId="134" type="noConversion"/>
  </si>
  <si>
    <t>国兴大厦</t>
    <phoneticPr fontId="3" type="noConversion"/>
  </si>
  <si>
    <t>正常</t>
  </si>
  <si>
    <t>挂牌价</t>
  </si>
  <si>
    <t>挂牌价</t>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</si>
  <si>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</si>
  <si>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</si>
  <si>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</si>
  <si>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</si>
  <si>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</si>
  <si>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</si>
  <si>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</si>
  <si>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</si>
  <si>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</si>
  <si>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</si>
  <si>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t>办公</t>
    <phoneticPr fontId="31" type="noConversion"/>
  </si>
  <si>
    <t>较好</t>
  </si>
  <si>
    <t>七通</t>
  </si>
  <si>
    <t>高楼层</t>
  </si>
  <si>
    <t>高楼层</t>
    <phoneticPr fontId="31" type="noConversion"/>
  </si>
  <si>
    <t>中楼层</t>
  </si>
  <si>
    <t>中楼层</t>
    <phoneticPr fontId="31" type="noConversion"/>
  </si>
  <si>
    <t>低楼层</t>
  </si>
  <si>
    <t>低楼层</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</si>
  <si>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</si>
  <si>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</si>
  <si>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</si>
  <si>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</si>
  <si>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</si>
  <si>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</si>
  <si>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</si>
  <si>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</si>
  <si>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</si>
  <si>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</si>
  <si>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</si>
  <si>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</si>
  <si>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</si>
  <si>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</si>
  <si>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</si>
  <si>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</si>
  <si>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</si>
  <si>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</si>
  <si>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</si>
  <si>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</si>
  <si>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</si>
  <si>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自管</t>
    <phoneticPr fontId="31" type="noConversion"/>
  </si>
  <si>
    <t>七通</t>
    <phoneticPr fontId="31" type="noConversion"/>
  </si>
  <si>
    <t>五通</t>
    <phoneticPr fontId="31" type="noConversion"/>
  </si>
  <si>
    <t>六通</t>
    <phoneticPr fontId="31" type="noConversion"/>
  </si>
  <si>
    <t>标准层高</t>
  </si>
  <si>
    <t>标准层高</t>
    <phoneticPr fontId="31" type="noConversion"/>
  </si>
  <si>
    <t>租金</t>
  </si>
  <si>
    <t>比较法-办公</t>
  </si>
  <si>
    <t>收益法 (元)</t>
  </si>
  <si>
    <t>押一</t>
  </si>
  <si>
    <t>非生产用房</t>
  </si>
  <si>
    <t>https://www.rmfysszc.gov.cn/statichtml/rm_xmdetail/9622270.shtml</t>
  </si>
  <si>
    <r>
      <t>2025.1.10</t>
    </r>
    <r>
      <rPr>
        <sz val="10"/>
        <color indexed="8"/>
        <rFont val="宋体"/>
        <family val="3"/>
        <charset val="134"/>
      </rPr>
      <t>法拍单价</t>
    </r>
    <r>
      <rPr>
        <sz val="10"/>
        <color indexed="8"/>
        <rFont val="Arial"/>
        <family val="2"/>
      </rPr>
      <t>38000</t>
    </r>
    <r>
      <rPr>
        <sz val="10"/>
        <color indexed="8"/>
        <rFont val="宋体"/>
        <family val="3"/>
        <charset val="134"/>
      </rPr>
      <t>，已流拍</t>
    </r>
    <phoneticPr fontId="8" type="noConversion"/>
  </si>
  <si>
    <t>楼面单价</t>
  </si>
  <si>
    <t>自定义</t>
  </si>
  <si>
    <t>商务金融用地</t>
  </si>
  <si>
    <t>自定义容积率</t>
  </si>
  <si>
    <t>与级别开发程度不一致</t>
  </si>
  <si>
    <t>通路</t>
  </si>
  <si>
    <t>通电</t>
  </si>
  <si>
    <t>通讯</t>
  </si>
  <si>
    <t>通上水</t>
  </si>
  <si>
    <t>通下水</t>
  </si>
  <si>
    <t>平整</t>
  </si>
  <si>
    <t>好</t>
  </si>
  <si>
    <t>级别平均</t>
    <phoneticPr fontId="7" type="noConversion"/>
  </si>
  <si>
    <t>未包含在土地购买价格中</t>
  </si>
  <si>
    <t>已包含在土地取得成本中</t>
  </si>
  <si>
    <t>景熙国际</t>
    <phoneticPr fontId="3" type="noConversion"/>
  </si>
  <si>
    <t>北京市</t>
  </si>
  <si>
    <t>企业</t>
  </si>
  <si>
    <r>
      <rPr>
        <sz val="10"/>
        <color theme="9" tint="-0.249977111117893"/>
        <rFont val="宋体"/>
        <family val="3"/>
        <charset val="134"/>
      </rPr>
      <t>海淀区首体南路</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19C</t>
    </r>
    <r>
      <rPr>
        <sz val="10"/>
        <color theme="9" tint="-0.249977111117893"/>
        <rFont val="宋体"/>
        <family val="3"/>
        <charset val="134"/>
      </rPr>
      <t>、D、E</t>
    </r>
    <phoneticPr fontId="6" type="noConversion"/>
  </si>
  <si>
    <t>北京龙泰鸿业担保有限公司</t>
    <phoneticPr fontId="6" type="noConversion"/>
  </si>
  <si>
    <t>郑燚</t>
  </si>
  <si>
    <t>抵押</t>
  </si>
  <si>
    <t>房地产抵押价值</t>
  </si>
  <si>
    <t>六通</t>
  </si>
  <si>
    <t>六通</t>
    <phoneticPr fontId="31" type="noConversion"/>
  </si>
  <si>
    <r>
      <t>2015.1</t>
    </r>
    <r>
      <rPr>
        <sz val="10"/>
        <color indexed="8"/>
        <rFont val="宋体"/>
        <family val="3"/>
        <charset val="134"/>
      </rPr>
      <t>月份出过咨询意见函，单价：</t>
    </r>
    <r>
      <rPr>
        <sz val="10"/>
        <color indexed="8"/>
        <rFont val="Arial"/>
        <family val="2"/>
      </rPr>
      <t>36244</t>
    </r>
    <r>
      <rPr>
        <sz val="10"/>
        <color indexed="8"/>
        <rFont val="宋体"/>
        <family val="3"/>
        <charset val="134"/>
      </rPr>
      <t>元</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</si>
</sst>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2" fillId="6"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12" borderId="0" xfId="0" applyFont="1" applyFill="1" applyProtection="1">
      <alignment vertical="center"/>
      <protection locked="0"/>
    </xf>
    <xf numFmtId="179" fontId="100" fillId="0" borderId="23" xfId="0" applyNumberFormat="1" applyFont="1" applyBorder="1" applyAlignment="1" applyProtection="1">
      <alignment horizontal="center" vertical="center"/>
      <protection locked="0"/>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58" fillId="22" borderId="3" xfId="0" applyFont="1" applyFill="1" applyBorder="1" applyAlignment="1" applyProtection="1">
      <alignment horizontal="center" vertical="center" wrapText="1"/>
      <protection locked="0"/>
    </xf>
    <xf numFmtId="0" fontId="44" fillId="9" borderId="13" xfId="0" applyFont="1" applyFill="1" applyBorder="1" applyAlignment="1" applyProtection="1">
      <alignment horizontal="center" vertical="center" wrapText="1"/>
      <protection locked="0"/>
    </xf>
    <xf numFmtId="0" fontId="53" fillId="5" borderId="15" xfId="0" applyFont="1" applyFill="1" applyBorder="1" applyAlignment="1" applyProtection="1">
      <alignment horizontal="center" vertical="center" wrapText="1"/>
      <protection locked="0"/>
    </xf>
    <xf numFmtId="0" fontId="44" fillId="8" borderId="1" xfId="0" applyFont="1" applyFill="1" applyBorder="1" applyAlignment="1">
      <alignment horizontal="left" vertical="center" wrapText="1"/>
    </xf>
    <xf numFmtId="0" fontId="46" fillId="8" borderId="24" xfId="0" applyFont="1" applyFill="1" applyBorder="1" applyAlignment="1">
      <alignment horizontal="left" vertical="center"/>
    </xf>
    <xf numFmtId="0" fontId="94" fillId="2" borderId="2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542095</xdr:colOff>
      <xdr:row>43</xdr:row>
      <xdr:rowOff>44777</xdr:rowOff>
    </xdr:to>
    <xdr:pic>
      <xdr:nvPicPr>
        <xdr:cNvPr id="2" name="图片 1">
          <a:extLst>
            <a:ext uri="{FF2B5EF4-FFF2-40B4-BE49-F238E27FC236}">
              <a16:creationId xmlns:a16="http://schemas.microsoft.com/office/drawing/2014/main" id="{425C0A27-6EDC-EFF6-CB10-452A3ED8D0C9}"/>
            </a:ext>
          </a:extLst>
        </xdr:cNvPr>
        <xdr:cNvPicPr>
          <a:picLocks noChangeAspect="1"/>
        </xdr:cNvPicPr>
      </xdr:nvPicPr>
      <xdr:blipFill>
        <a:blip xmlns:r="http://schemas.openxmlformats.org/officeDocument/2006/relationships" r:embed="rId1"/>
        <a:stretch>
          <a:fillRect/>
        </a:stretch>
      </xdr:blipFill>
      <xdr:spPr>
        <a:xfrm>
          <a:off x="0" y="0"/>
          <a:ext cx="6638095" cy="7542857"/>
        </a:xfrm>
        <a:prstGeom prst="rect">
          <a:avLst/>
        </a:prstGeom>
      </xdr:spPr>
    </xdr:pic>
    <xdr:clientData/>
  </xdr:twoCellAnchor>
  <xdr:twoCellAnchor editAs="oneCell">
    <xdr:from>
      <xdr:col>0</xdr:col>
      <xdr:colOff>0</xdr:colOff>
      <xdr:row>44</xdr:row>
      <xdr:rowOff>0</xdr:rowOff>
    </xdr:from>
    <xdr:to>
      <xdr:col>10</xdr:col>
      <xdr:colOff>475429</xdr:colOff>
      <xdr:row>80</xdr:row>
      <xdr:rowOff>6796</xdr:rowOff>
    </xdr:to>
    <xdr:pic>
      <xdr:nvPicPr>
        <xdr:cNvPr id="3" name="图片 2">
          <a:extLst>
            <a:ext uri="{FF2B5EF4-FFF2-40B4-BE49-F238E27FC236}">
              <a16:creationId xmlns:a16="http://schemas.microsoft.com/office/drawing/2014/main" id="{64987C03-CA21-82E1-FA67-55C1094207CD}"/>
            </a:ext>
          </a:extLst>
        </xdr:cNvPr>
        <xdr:cNvPicPr>
          <a:picLocks noChangeAspect="1"/>
        </xdr:cNvPicPr>
      </xdr:nvPicPr>
      <xdr:blipFill>
        <a:blip xmlns:r="http://schemas.openxmlformats.org/officeDocument/2006/relationships" r:embed="rId2"/>
        <a:stretch>
          <a:fillRect/>
        </a:stretch>
      </xdr:blipFill>
      <xdr:spPr>
        <a:xfrm>
          <a:off x="0" y="7680960"/>
          <a:ext cx="6571429" cy="6590476"/>
        </a:xfrm>
        <a:prstGeom prst="rect">
          <a:avLst/>
        </a:prstGeom>
      </xdr:spPr>
    </xdr:pic>
    <xdr:clientData/>
  </xdr:twoCellAnchor>
  <xdr:twoCellAnchor editAs="oneCell">
    <xdr:from>
      <xdr:col>11</xdr:col>
      <xdr:colOff>30480</xdr:colOff>
      <xdr:row>4</xdr:row>
      <xdr:rowOff>60960</xdr:rowOff>
    </xdr:from>
    <xdr:to>
      <xdr:col>28</xdr:col>
      <xdr:colOff>143470</xdr:colOff>
      <xdr:row>44</xdr:row>
      <xdr:rowOff>79093</xdr:rowOff>
    </xdr:to>
    <xdr:pic>
      <xdr:nvPicPr>
        <xdr:cNvPr id="4" name="图片 3">
          <a:extLst>
            <a:ext uri="{FF2B5EF4-FFF2-40B4-BE49-F238E27FC236}">
              <a16:creationId xmlns:a16="http://schemas.microsoft.com/office/drawing/2014/main" id="{E239F8BF-38FB-3468-35B6-76BF25626251}"/>
            </a:ext>
          </a:extLst>
        </xdr:cNvPr>
        <xdr:cNvPicPr>
          <a:picLocks noChangeAspect="1"/>
        </xdr:cNvPicPr>
      </xdr:nvPicPr>
      <xdr:blipFill>
        <a:blip xmlns:r="http://schemas.openxmlformats.org/officeDocument/2006/relationships" r:embed="rId3"/>
        <a:stretch>
          <a:fillRect/>
        </a:stretch>
      </xdr:blipFill>
      <xdr:spPr>
        <a:xfrm>
          <a:off x="6736080" y="792480"/>
          <a:ext cx="10476190" cy="7333333"/>
        </a:xfrm>
        <a:prstGeom prst="rect">
          <a:avLst/>
        </a:prstGeom>
      </xdr:spPr>
    </xdr:pic>
    <xdr:clientData/>
  </xdr:twoCellAnchor>
  <xdr:twoCellAnchor editAs="oneCell">
    <xdr:from>
      <xdr:col>10</xdr:col>
      <xdr:colOff>476576</xdr:colOff>
      <xdr:row>81</xdr:row>
      <xdr:rowOff>0</xdr:rowOff>
    </xdr:from>
    <xdr:to>
      <xdr:col>24</xdr:col>
      <xdr:colOff>53906</xdr:colOff>
      <xdr:row>112</xdr:row>
      <xdr:rowOff>149534</xdr:rowOff>
    </xdr:to>
    <xdr:pic>
      <xdr:nvPicPr>
        <xdr:cNvPr id="6" name="图片 5">
          <a:extLst>
            <a:ext uri="{FF2B5EF4-FFF2-40B4-BE49-F238E27FC236}">
              <a16:creationId xmlns:a16="http://schemas.microsoft.com/office/drawing/2014/main" id="{AEC1CAEA-5B96-61A5-7125-A6E96FA5F3D4}"/>
            </a:ext>
          </a:extLst>
        </xdr:cNvPr>
        <xdr:cNvPicPr>
          <a:picLocks noChangeAspect="1"/>
        </xdr:cNvPicPr>
      </xdr:nvPicPr>
      <xdr:blipFill>
        <a:blip xmlns:r="http://schemas.openxmlformats.org/officeDocument/2006/relationships" r:embed="rId4"/>
        <a:stretch>
          <a:fillRect/>
        </a:stretch>
      </xdr:blipFill>
      <xdr:spPr>
        <a:xfrm>
          <a:off x="6572576" y="14447520"/>
          <a:ext cx="8111730" cy="5818814"/>
        </a:xfrm>
        <a:prstGeom prst="rect">
          <a:avLst/>
        </a:prstGeom>
      </xdr:spPr>
    </xdr:pic>
    <xdr:clientData/>
  </xdr:twoCellAnchor>
  <xdr:twoCellAnchor editAs="oneCell">
    <xdr:from>
      <xdr:col>11</xdr:col>
      <xdr:colOff>0</xdr:colOff>
      <xdr:row>44</xdr:row>
      <xdr:rowOff>0</xdr:rowOff>
    </xdr:from>
    <xdr:to>
      <xdr:col>28</xdr:col>
      <xdr:colOff>255848</xdr:colOff>
      <xdr:row>76</xdr:row>
      <xdr:rowOff>166888</xdr:rowOff>
    </xdr:to>
    <xdr:pic>
      <xdr:nvPicPr>
        <xdr:cNvPr id="7" name="图片 6">
          <a:extLst>
            <a:ext uri="{FF2B5EF4-FFF2-40B4-BE49-F238E27FC236}">
              <a16:creationId xmlns:a16="http://schemas.microsoft.com/office/drawing/2014/main" id="{009A451F-3F03-43D6-514F-64285EA64184}"/>
            </a:ext>
          </a:extLst>
        </xdr:cNvPr>
        <xdr:cNvPicPr>
          <a:picLocks noChangeAspect="1"/>
        </xdr:cNvPicPr>
      </xdr:nvPicPr>
      <xdr:blipFill>
        <a:blip xmlns:r="http://schemas.openxmlformats.org/officeDocument/2006/relationships" r:embed="rId5"/>
        <a:stretch>
          <a:fillRect/>
        </a:stretch>
      </xdr:blipFill>
      <xdr:spPr>
        <a:xfrm>
          <a:off x="6705600" y="8046720"/>
          <a:ext cx="10619048" cy="6019048"/>
        </a:xfrm>
        <a:prstGeom prst="rect">
          <a:avLst/>
        </a:prstGeom>
      </xdr:spPr>
    </xdr:pic>
    <xdr:clientData/>
  </xdr:twoCellAnchor>
  <xdr:twoCellAnchor editAs="oneCell">
    <xdr:from>
      <xdr:col>0</xdr:col>
      <xdr:colOff>190501</xdr:colOff>
      <xdr:row>81</xdr:row>
      <xdr:rowOff>45720</xdr:rowOff>
    </xdr:from>
    <xdr:to>
      <xdr:col>10</xdr:col>
      <xdr:colOff>166603</xdr:colOff>
      <xdr:row>107</xdr:row>
      <xdr:rowOff>12336</xdr:rowOff>
    </xdr:to>
    <xdr:pic>
      <xdr:nvPicPr>
        <xdr:cNvPr id="8" name="图片 7">
          <a:extLst>
            <a:ext uri="{FF2B5EF4-FFF2-40B4-BE49-F238E27FC236}">
              <a16:creationId xmlns:a16="http://schemas.microsoft.com/office/drawing/2014/main" id="{48DC8AA7-45BF-ED0F-C801-D3B00022D139}"/>
            </a:ext>
          </a:extLst>
        </xdr:cNvPr>
        <xdr:cNvPicPr>
          <a:picLocks noChangeAspect="1"/>
        </xdr:cNvPicPr>
      </xdr:nvPicPr>
      <xdr:blipFill>
        <a:blip xmlns:r="http://schemas.openxmlformats.org/officeDocument/2006/relationships" r:embed="rId6"/>
        <a:stretch>
          <a:fillRect/>
        </a:stretch>
      </xdr:blipFill>
      <xdr:spPr>
        <a:xfrm>
          <a:off x="190501" y="14859000"/>
          <a:ext cx="6072102" cy="4721496"/>
        </a:xfrm>
        <a:prstGeom prst="rect">
          <a:avLst/>
        </a:prstGeom>
      </xdr:spPr>
    </xdr:pic>
    <xdr:clientData/>
  </xdr:twoCellAnchor>
  <xdr:twoCellAnchor editAs="oneCell">
    <xdr:from>
      <xdr:col>0</xdr:col>
      <xdr:colOff>0</xdr:colOff>
      <xdr:row>109</xdr:row>
      <xdr:rowOff>144780</xdr:rowOff>
    </xdr:from>
    <xdr:to>
      <xdr:col>11</xdr:col>
      <xdr:colOff>300807</xdr:colOff>
      <xdr:row>139</xdr:row>
      <xdr:rowOff>126636</xdr:rowOff>
    </xdr:to>
    <xdr:pic>
      <xdr:nvPicPr>
        <xdr:cNvPr id="9" name="图片 8">
          <a:extLst>
            <a:ext uri="{FF2B5EF4-FFF2-40B4-BE49-F238E27FC236}">
              <a16:creationId xmlns:a16="http://schemas.microsoft.com/office/drawing/2014/main" id="{9B80938A-1438-2A45-86F4-5B112ADD2A9A}"/>
            </a:ext>
          </a:extLst>
        </xdr:cNvPr>
        <xdr:cNvPicPr>
          <a:picLocks noChangeAspect="1"/>
        </xdr:cNvPicPr>
      </xdr:nvPicPr>
      <xdr:blipFill>
        <a:blip xmlns:r="http://schemas.openxmlformats.org/officeDocument/2006/relationships" r:embed="rId7"/>
        <a:stretch>
          <a:fillRect/>
        </a:stretch>
      </xdr:blipFill>
      <xdr:spPr>
        <a:xfrm>
          <a:off x="0" y="20078700"/>
          <a:ext cx="7006407" cy="5468256"/>
        </a:xfrm>
        <a:prstGeom prst="rect">
          <a:avLst/>
        </a:prstGeom>
      </xdr:spPr>
    </xdr:pic>
    <xdr:clientData/>
  </xdr:twoCellAnchor>
  <xdr:twoCellAnchor editAs="oneCell">
    <xdr:from>
      <xdr:col>0</xdr:col>
      <xdr:colOff>0</xdr:colOff>
      <xdr:row>143</xdr:row>
      <xdr:rowOff>121920</xdr:rowOff>
    </xdr:from>
    <xdr:to>
      <xdr:col>13</xdr:col>
      <xdr:colOff>128057</xdr:colOff>
      <xdr:row>179</xdr:row>
      <xdr:rowOff>176188</xdr:rowOff>
    </xdr:to>
    <xdr:pic>
      <xdr:nvPicPr>
        <xdr:cNvPr id="10" name="图片 9">
          <a:extLst>
            <a:ext uri="{FF2B5EF4-FFF2-40B4-BE49-F238E27FC236}">
              <a16:creationId xmlns:a16="http://schemas.microsoft.com/office/drawing/2014/main" id="{DE149578-3D29-8517-E870-D2495506F98F}"/>
            </a:ext>
          </a:extLst>
        </xdr:cNvPr>
        <xdr:cNvPicPr>
          <a:picLocks noChangeAspect="1"/>
        </xdr:cNvPicPr>
      </xdr:nvPicPr>
      <xdr:blipFill>
        <a:blip xmlns:r="http://schemas.openxmlformats.org/officeDocument/2006/relationships" r:embed="rId8"/>
        <a:stretch>
          <a:fillRect/>
        </a:stretch>
      </xdr:blipFill>
      <xdr:spPr>
        <a:xfrm>
          <a:off x="0" y="26273760"/>
          <a:ext cx="8052857" cy="6637948"/>
        </a:xfrm>
        <a:prstGeom prst="rect">
          <a:avLst/>
        </a:prstGeom>
      </xdr:spPr>
    </xdr:pic>
    <xdr:clientData/>
  </xdr:twoCellAnchor>
  <xdr:twoCellAnchor editAs="oneCell">
    <xdr:from>
      <xdr:col>0</xdr:col>
      <xdr:colOff>0</xdr:colOff>
      <xdr:row>179</xdr:row>
      <xdr:rowOff>45720</xdr:rowOff>
    </xdr:from>
    <xdr:to>
      <xdr:col>11</xdr:col>
      <xdr:colOff>332533</xdr:colOff>
      <xdr:row>205</xdr:row>
      <xdr:rowOff>166692</xdr:rowOff>
    </xdr:to>
    <xdr:pic>
      <xdr:nvPicPr>
        <xdr:cNvPr id="11" name="图片 10">
          <a:extLst>
            <a:ext uri="{FF2B5EF4-FFF2-40B4-BE49-F238E27FC236}">
              <a16:creationId xmlns:a16="http://schemas.microsoft.com/office/drawing/2014/main" id="{A788CDE5-AF16-7933-A966-F552DABB33E7}"/>
            </a:ext>
          </a:extLst>
        </xdr:cNvPr>
        <xdr:cNvPicPr>
          <a:picLocks noChangeAspect="1"/>
        </xdr:cNvPicPr>
      </xdr:nvPicPr>
      <xdr:blipFill>
        <a:blip xmlns:r="http://schemas.openxmlformats.org/officeDocument/2006/relationships" r:embed="rId9"/>
        <a:stretch>
          <a:fillRect/>
        </a:stretch>
      </xdr:blipFill>
      <xdr:spPr>
        <a:xfrm>
          <a:off x="0" y="32781240"/>
          <a:ext cx="7038133" cy="4875852"/>
        </a:xfrm>
        <a:prstGeom prst="rect">
          <a:avLst/>
        </a:prstGeom>
      </xdr:spPr>
    </xdr:pic>
    <xdr:clientData/>
  </xdr:twoCellAnchor>
  <xdr:twoCellAnchor editAs="oneCell">
    <xdr:from>
      <xdr:col>0</xdr:col>
      <xdr:colOff>0</xdr:colOff>
      <xdr:row>207</xdr:row>
      <xdr:rowOff>0</xdr:rowOff>
    </xdr:from>
    <xdr:to>
      <xdr:col>11</xdr:col>
      <xdr:colOff>602667</xdr:colOff>
      <xdr:row>239</xdr:row>
      <xdr:rowOff>109478</xdr:rowOff>
    </xdr:to>
    <xdr:pic>
      <xdr:nvPicPr>
        <xdr:cNvPr id="12" name="图片 11">
          <a:extLst>
            <a:ext uri="{FF2B5EF4-FFF2-40B4-BE49-F238E27FC236}">
              <a16:creationId xmlns:a16="http://schemas.microsoft.com/office/drawing/2014/main" id="{C810FE01-3695-C33B-08CF-89073C92D527}"/>
            </a:ext>
          </a:extLst>
        </xdr:cNvPr>
        <xdr:cNvPicPr>
          <a:picLocks noChangeAspect="1"/>
        </xdr:cNvPicPr>
      </xdr:nvPicPr>
      <xdr:blipFill>
        <a:blip xmlns:r="http://schemas.openxmlformats.org/officeDocument/2006/relationships" r:embed="rId10"/>
        <a:stretch>
          <a:fillRect/>
        </a:stretch>
      </xdr:blipFill>
      <xdr:spPr>
        <a:xfrm>
          <a:off x="0" y="37856160"/>
          <a:ext cx="7308267" cy="5961638"/>
        </a:xfrm>
        <a:prstGeom prst="rect">
          <a:avLst/>
        </a:prstGeom>
      </xdr:spPr>
    </xdr:pic>
    <xdr:clientData/>
  </xdr:twoCellAnchor>
  <xdr:twoCellAnchor editAs="oneCell">
    <xdr:from>
      <xdr:col>13</xdr:col>
      <xdr:colOff>0</xdr:colOff>
      <xdr:row>208</xdr:row>
      <xdr:rowOff>0</xdr:rowOff>
    </xdr:from>
    <xdr:to>
      <xdr:col>22</xdr:col>
      <xdr:colOff>580267</xdr:colOff>
      <xdr:row>253</xdr:row>
      <xdr:rowOff>56114</xdr:rowOff>
    </xdr:to>
    <xdr:pic>
      <xdr:nvPicPr>
        <xdr:cNvPr id="13" name="图片 12">
          <a:extLst>
            <a:ext uri="{FF2B5EF4-FFF2-40B4-BE49-F238E27FC236}">
              <a16:creationId xmlns:a16="http://schemas.microsoft.com/office/drawing/2014/main" id="{6A7F304E-FECF-C58F-CD14-3BA46350AB28}"/>
            </a:ext>
          </a:extLst>
        </xdr:cNvPr>
        <xdr:cNvPicPr>
          <a:picLocks noChangeAspect="1"/>
        </xdr:cNvPicPr>
      </xdr:nvPicPr>
      <xdr:blipFill>
        <a:blip xmlns:r="http://schemas.openxmlformats.org/officeDocument/2006/relationships" r:embed="rId11"/>
        <a:stretch>
          <a:fillRect/>
        </a:stretch>
      </xdr:blipFill>
      <xdr:spPr>
        <a:xfrm>
          <a:off x="7924800" y="38039040"/>
          <a:ext cx="6066667" cy="8285714"/>
        </a:xfrm>
        <a:prstGeom prst="rect">
          <a:avLst/>
        </a:prstGeom>
      </xdr:spPr>
    </xdr:pic>
    <xdr:clientData/>
  </xdr:twoCellAnchor>
  <xdr:twoCellAnchor editAs="oneCell">
    <xdr:from>
      <xdr:col>13</xdr:col>
      <xdr:colOff>510540</xdr:colOff>
      <xdr:row>254</xdr:row>
      <xdr:rowOff>45720</xdr:rowOff>
    </xdr:from>
    <xdr:to>
      <xdr:col>34</xdr:col>
      <xdr:colOff>470845</xdr:colOff>
      <xdr:row>289</xdr:row>
      <xdr:rowOff>63968</xdr:rowOff>
    </xdr:to>
    <xdr:pic>
      <xdr:nvPicPr>
        <xdr:cNvPr id="14" name="图片 13">
          <a:extLst>
            <a:ext uri="{FF2B5EF4-FFF2-40B4-BE49-F238E27FC236}">
              <a16:creationId xmlns:a16="http://schemas.microsoft.com/office/drawing/2014/main" id="{D34437E4-2C5D-EFF3-E43E-1BC3776BFC97}"/>
            </a:ext>
          </a:extLst>
        </xdr:cNvPr>
        <xdr:cNvPicPr>
          <a:picLocks noChangeAspect="1"/>
        </xdr:cNvPicPr>
      </xdr:nvPicPr>
      <xdr:blipFill>
        <a:blip xmlns:r="http://schemas.openxmlformats.org/officeDocument/2006/relationships" r:embed="rId12"/>
        <a:stretch>
          <a:fillRect/>
        </a:stretch>
      </xdr:blipFill>
      <xdr:spPr>
        <a:xfrm>
          <a:off x="8435340" y="46497240"/>
          <a:ext cx="12761905" cy="6419048"/>
        </a:xfrm>
        <a:prstGeom prst="rect">
          <a:avLst/>
        </a:prstGeom>
      </xdr:spPr>
    </xdr:pic>
    <xdr:clientData/>
  </xdr:twoCellAnchor>
  <xdr:twoCellAnchor editAs="oneCell">
    <xdr:from>
      <xdr:col>28</xdr:col>
      <xdr:colOff>0</xdr:colOff>
      <xdr:row>0</xdr:row>
      <xdr:rowOff>0</xdr:rowOff>
    </xdr:from>
    <xdr:to>
      <xdr:col>37</xdr:col>
      <xdr:colOff>465981</xdr:colOff>
      <xdr:row>31</xdr:row>
      <xdr:rowOff>140244</xdr:rowOff>
    </xdr:to>
    <xdr:pic>
      <xdr:nvPicPr>
        <xdr:cNvPr id="15" name="图片 14">
          <a:extLst>
            <a:ext uri="{FF2B5EF4-FFF2-40B4-BE49-F238E27FC236}">
              <a16:creationId xmlns:a16="http://schemas.microsoft.com/office/drawing/2014/main" id="{0048E543-C154-2A1E-B5D8-268C1175BE91}"/>
            </a:ext>
          </a:extLst>
        </xdr:cNvPr>
        <xdr:cNvPicPr>
          <a:picLocks noChangeAspect="1"/>
        </xdr:cNvPicPr>
      </xdr:nvPicPr>
      <xdr:blipFill>
        <a:blip xmlns:r="http://schemas.openxmlformats.org/officeDocument/2006/relationships" r:embed="rId13"/>
        <a:stretch>
          <a:fillRect/>
        </a:stretch>
      </xdr:blipFill>
      <xdr:spPr>
        <a:xfrm>
          <a:off x="17068800" y="0"/>
          <a:ext cx="5952381" cy="5809524"/>
        </a:xfrm>
        <a:prstGeom prst="rect">
          <a:avLst/>
        </a:prstGeom>
      </xdr:spPr>
    </xdr:pic>
    <xdr:clientData/>
  </xdr:twoCellAnchor>
  <xdr:twoCellAnchor editAs="oneCell">
    <xdr:from>
      <xdr:col>0</xdr:col>
      <xdr:colOff>0</xdr:colOff>
      <xdr:row>239</xdr:row>
      <xdr:rowOff>7620</xdr:rowOff>
    </xdr:from>
    <xdr:to>
      <xdr:col>11</xdr:col>
      <xdr:colOff>278182</xdr:colOff>
      <xdr:row>268</xdr:row>
      <xdr:rowOff>58108</xdr:rowOff>
    </xdr:to>
    <xdr:pic>
      <xdr:nvPicPr>
        <xdr:cNvPr id="16" name="图片 15">
          <a:extLst>
            <a:ext uri="{FF2B5EF4-FFF2-40B4-BE49-F238E27FC236}">
              <a16:creationId xmlns:a16="http://schemas.microsoft.com/office/drawing/2014/main" id="{BD007230-866B-F932-4112-33554F8CF850}"/>
            </a:ext>
          </a:extLst>
        </xdr:cNvPr>
        <xdr:cNvPicPr>
          <a:picLocks noChangeAspect="1"/>
        </xdr:cNvPicPr>
      </xdr:nvPicPr>
      <xdr:blipFill>
        <a:blip xmlns:r="http://schemas.openxmlformats.org/officeDocument/2006/relationships" r:embed="rId14"/>
        <a:stretch>
          <a:fillRect/>
        </a:stretch>
      </xdr:blipFill>
      <xdr:spPr>
        <a:xfrm>
          <a:off x="0" y="43715940"/>
          <a:ext cx="6983782" cy="53540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北京市海淀区首体南路22号楼19C、D、E房地产抵押价值预评估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受贵公司委托，我公司对北京市海淀区首体南路22号楼19C、D、E房地产抵押价值进行了预评估。</v>
      </c>
    </row>
    <row r="7" spans="1:2">
      <c r="A7" s="1119" t="s">
        <v>566</v>
      </c>
      <c r="B7" s="1120" t="str">
        <f>'预评函-1'!A7</f>
        <v>估价对象为北京市海淀区首体南路22号楼19C、D、E房地产，为北京龙泰鸿业担保有限公司所有。根据《国有土地使用证》[]，估价对象（分摊）出让国有建设用地使用权面积为0平方米，建筑面积为759.02平方米。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首体南路22号楼19C、D、E房地产,属北京龙泰鸿业担保有限公司开发建设的办公项目，该项目尚在开发建设中。根据《国有土地使用证》[]，估价对象（分摊）出让国有建设用地使用权面积为0平方米，规划建筑面积为759.02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首体南路22号楼19C、D、E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2025年2月6日（评估专业人员实地查勘之日）</v>
      </c>
    </row>
    <row r="13" spans="1:2">
      <c r="A13" s="1119" t="s">
        <v>529</v>
      </c>
      <c r="B13" s="1120" t="str">
        <f>'预评函-1'!A18</f>
        <v>本次估价的“房地产价值”是指在正常市场情况下，在价值时点2025年2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2752.6619000000001</v>
      </c>
    </row>
    <row r="21" spans="1:2">
      <c r="A21" s="1119" t="s">
        <v>537</v>
      </c>
      <c r="B21" s="1120">
        <f ca="1">'预评函-2'!D7</f>
        <v>36266</v>
      </c>
    </row>
    <row r="22" spans="1:2">
      <c r="A22" s="1119" t="s">
        <v>538</v>
      </c>
      <c r="B22" s="1120" t="str">
        <f ca="1">'预评函-2'!D6</f>
        <v>贰仟柒佰伍拾贰万陆仟陆佰壹拾玖元整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2752.6619000000001</v>
      </c>
    </row>
    <row r="31" spans="1:2">
      <c r="A31" s="1119" t="s">
        <v>576</v>
      </c>
      <c r="B31" s="1120">
        <f ca="1">'预评函-2'!D15</f>
        <v>36266</v>
      </c>
    </row>
    <row r="32" spans="1:2">
      <c r="A32" s="1119" t="s">
        <v>543</v>
      </c>
      <c r="B32" s="1120" t="str">
        <f ca="1">'预评函-2'!D14</f>
        <v>贰仟柒佰伍拾贰万陆仟陆佰壹拾玖元整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北京市海淀区首体南路22号楼19C、D、E房地产</v>
      </c>
    </row>
    <row r="42" spans="1:2" ht="31.2">
      <c r="A42" s="1119" t="s">
        <v>590</v>
      </c>
      <c r="B42" s="1120" t="str">
        <f>'预评函-3'!B2</f>
        <v>建筑面积</v>
      </c>
    </row>
    <row r="43" spans="1:2">
      <c r="A43" s="1119" t="s">
        <v>591</v>
      </c>
      <c r="B43" s="1120">
        <f>'预评函-3'!B4</f>
        <v>759.02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首体南路22号楼19C、D、E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10" t="s">
        <v>2580</v>
      </c>
      <c r="J2" s="3210"/>
      <c r="K2" s="3210"/>
      <c r="L2" s="3210"/>
      <c r="M2" s="3210"/>
      <c r="N2" s="3210"/>
      <c r="O2" s="3210"/>
      <c r="P2" s="3210"/>
      <c r="Q2" s="3210"/>
      <c r="R2" s="3210"/>
    </row>
    <row r="3" spans="1:18">
      <c r="A3" s="2759" t="s">
        <v>2501</v>
      </c>
      <c r="B3" s="2760">
        <f>项目基本情况!D3</f>
        <v>45694</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1.86</v>
      </c>
      <c r="D5" s="2764">
        <f>IF(ISERROR(ROUND(POWER(1+E5,A5-C5)*(POWER(1+E5,C5)-1)/(POWER(1+E5,A5)-1),3)),0,ROUND(POWER(1+E5,A5-C5)*(POWER(1+E5,C5)-1)/(POWER(1+E5,A5)-1),4))</f>
        <v>8.8900000000000007E-2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11.87</v>
      </c>
      <c r="D6" s="2764">
        <f>IF(ISERROR(ROUND(POWER(1+E6,A6-C6)*(POWER(1+E6,C6)-1)/(POWER(1+E6,A6)-1),3)),0,ROUND(POWER(1+E6,A6-C6)*(POWER(1+E6,C6)-1)/(POWER(1+E6,A6)-1),4))</f>
        <v>0.43319999999999997</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31.88</v>
      </c>
      <c r="D7" s="2764">
        <f>IF(ISERROR(ROUND(POWER(1+E7,A7-C7)*(POWER(1+E7,C7)-1)/(POWER(1+E7,A7)-1),3)),0,ROUND(POWER(1+E7,A7-C7)*(POWER(1+E7,C7)-1)/(POWER(1+E7,A7)-1),4))</f>
        <v>0.76259999999999994</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5" thickBot="1">
      <c r="A18" s="2769" t="s">
        <v>2516</v>
      </c>
      <c r="B18" s="2770">
        <f>ROUND(B17*F11/F12,2)</f>
        <v>5541.87</v>
      </c>
      <c r="C18" s="2770">
        <f>ROUND(F11/F12,4)</f>
        <v>1.1521999999999999</v>
      </c>
      <c r="D18" s="2771"/>
      <c r="E18" s="2771"/>
      <c r="F18" s="2772"/>
    </row>
    <row r="19" spans="1:14" ht="15" thickBot="1"/>
    <row r="20" spans="1:14" s="2805" customFormat="1" ht="1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3390</v>
      </c>
    </row>
    <row r="50" spans="1:4">
      <c r="A50" s="3141" t="s">
        <v>3391</v>
      </c>
      <c r="B50" s="3141" t="s">
        <v>3392</v>
      </c>
      <c r="C50" s="3141" t="s">
        <v>3393</v>
      </c>
      <c r="D50" s="3141" t="s">
        <v>3394</v>
      </c>
    </row>
    <row r="51" spans="1:4">
      <c r="A51" s="3141" t="s">
        <v>3395</v>
      </c>
      <c r="B51" s="2761">
        <f>B52+B53</f>
        <v>15000</v>
      </c>
      <c r="C51" s="3142">
        <f>D51/B51</f>
        <v>2666.6666666666665</v>
      </c>
      <c r="D51" s="2761">
        <f>D52+D53</f>
        <v>40000000</v>
      </c>
    </row>
    <row r="52" spans="1:4">
      <c r="A52" s="3143" t="s">
        <v>3396</v>
      </c>
      <c r="B52" s="3144">
        <v>10000</v>
      </c>
      <c r="C52" s="3144">
        <v>1500</v>
      </c>
      <c r="D52" s="3145">
        <f>C52*B52</f>
        <v>15000000</v>
      </c>
    </row>
    <row r="53" spans="1:4">
      <c r="A53" s="3143" t="s">
        <v>3397</v>
      </c>
      <c r="B53" s="3144">
        <v>5000</v>
      </c>
      <c r="C53" s="3144">
        <v>5000</v>
      </c>
      <c r="D53" s="3145">
        <f>C53*B53</f>
        <v>25000000</v>
      </c>
    </row>
    <row r="54" spans="1:4">
      <c r="A54" s="3141" t="s">
        <v>3398</v>
      </c>
      <c r="B54" s="2761">
        <f>B51</f>
        <v>15000</v>
      </c>
      <c r="C54" s="2767">
        <v>700</v>
      </c>
      <c r="D54" s="2761">
        <f t="shared" ref="D54:D55" si="5">C54*B54</f>
        <v>10500000</v>
      </c>
    </row>
    <row r="55" spans="1:4">
      <c r="A55" s="3141" t="s">
        <v>3399</v>
      </c>
      <c r="B55" s="2761">
        <f>B51</f>
        <v>15000</v>
      </c>
      <c r="C55" s="2767">
        <v>1500</v>
      </c>
      <c r="D55" s="2761">
        <f t="shared" si="5"/>
        <v>22500000</v>
      </c>
    </row>
    <row r="56" spans="1:4">
      <c r="A56" s="3141" t="s">
        <v>3400</v>
      </c>
      <c r="B56" s="2761">
        <f>B51</f>
        <v>15000</v>
      </c>
      <c r="C56" s="3146">
        <f>C51+C54+C55</f>
        <v>4866.6666666666661</v>
      </c>
      <c r="D56" s="2761">
        <f>D51+D54+D55</f>
        <v>73000000</v>
      </c>
    </row>
    <row r="58" spans="1:4">
      <c r="A58" s="3141" t="s">
        <v>3401</v>
      </c>
      <c r="B58" s="3147">
        <v>0.05</v>
      </c>
      <c r="C58" s="2761">
        <f>C56*(1+B58)</f>
        <v>5110</v>
      </c>
      <c r="D58" s="2761">
        <f>D56*B58</f>
        <v>3650000</v>
      </c>
    </row>
    <row r="60" spans="1:4">
      <c r="A60" s="3141" t="s">
        <v>3402</v>
      </c>
      <c r="B60" s="2767">
        <v>3500</v>
      </c>
      <c r="C60" s="2767">
        <f>C53</f>
        <v>5000</v>
      </c>
      <c r="D60" s="2761">
        <f>C60*B60</f>
        <v>17500000</v>
      </c>
    </row>
    <row r="62" spans="1:4">
      <c r="A62" s="3141" t="s">
        <v>3403</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9" t="s">
        <v>2168</v>
      </c>
      <c r="B1" s="3211" t="str">
        <f>IF(B10="北京市","北京市",C10)&amp;F10&amp;IF(结果表!G1="在建","出让国有建设用地使用权及在建建筑物",IF(结果表!G1="土地","出让国有建设用地使用权",))&amp;B9&amp;"预评估"</f>
        <v>北京市海淀区首体南路22号楼19C、D、E房地产抵押价值预评估</v>
      </c>
      <c r="C1" s="3212"/>
      <c r="D1" s="3212"/>
      <c r="E1" s="3212"/>
      <c r="F1" s="3212"/>
      <c r="G1" s="3212"/>
      <c r="H1" s="3212"/>
      <c r="I1" s="3213"/>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北京市海淀区首体南路22号楼19C、D、E房地产抵押价值</v>
      </c>
      <c r="T1" s="1617"/>
      <c r="U1" s="1617"/>
      <c r="V1" s="1617"/>
      <c r="W1" s="1617"/>
      <c r="X1" s="1617"/>
      <c r="Y1" s="1617"/>
      <c r="Z1" s="1617"/>
      <c r="AA1" s="1617"/>
      <c r="AB1" s="1617"/>
    </row>
    <row r="2" spans="1:30">
      <c r="A2" s="2180" t="s">
        <v>2169</v>
      </c>
      <c r="B2" s="122"/>
      <c r="D2" s="2444"/>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北京市海淀区首体南路22号楼19C、D、E房地产</v>
      </c>
      <c r="T2" s="1617"/>
      <c r="U2" s="1617"/>
      <c r="V2" s="1617"/>
      <c r="W2" s="1617"/>
      <c r="X2" s="1617"/>
      <c r="Y2" s="1617"/>
      <c r="Z2" s="1617"/>
      <c r="AA2" s="1617"/>
      <c r="AB2" s="1617"/>
    </row>
    <row r="3" spans="1:30">
      <c r="A3" s="294" t="s">
        <v>2170</v>
      </c>
      <c r="B3" s="2183">
        <v>45694</v>
      </c>
      <c r="C3" s="2184" t="s">
        <v>2171</v>
      </c>
      <c r="D3" s="2183">
        <f>B3</f>
        <v>45694</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8" thickBot="1">
      <c r="A4" s="1027" t="s">
        <v>2172</v>
      </c>
      <c r="B4" s="2185" t="s">
        <v>3501</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 ca="1">CONCATENATE(B4,"（注册号：",C4,")、",D4,"（注册号：",E4,")")</f>
        <v>郑燚（注册号：1120070131)、（注册号：0)</v>
      </c>
      <c r="L4" s="2182"/>
      <c r="M4" s="2182"/>
      <c r="N4" s="2180"/>
      <c r="O4" s="1465"/>
      <c r="P4" s="2180"/>
      <c r="Q4" s="2180"/>
      <c r="R4" s="2180"/>
      <c r="S4" s="1560"/>
      <c r="T4" s="1617"/>
      <c r="U4" s="1617"/>
      <c r="V4" s="1617"/>
      <c r="W4" s="1617"/>
      <c r="X4" s="1617"/>
      <c r="Y4" s="1617"/>
      <c r="Z4" s="1617"/>
      <c r="AA4" s="1617"/>
      <c r="AB4" s="1617"/>
    </row>
    <row r="5" spans="1:30" ht="13.8"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3502</v>
      </c>
      <c r="C8" s="2199"/>
      <c r="D8" s="3214" t="s">
        <v>2177</v>
      </c>
      <c r="E8" s="2200" t="s">
        <v>3503</v>
      </c>
      <c r="F8" s="2201"/>
      <c r="G8" s="2439"/>
      <c r="H8" s="2439"/>
      <c r="I8" s="2439"/>
      <c r="J8" s="2242"/>
      <c r="K8" s="2397"/>
      <c r="L8" s="2396"/>
      <c r="M8" s="2396"/>
      <c r="N8" s="2242"/>
      <c r="O8" s="1669"/>
      <c r="P8" s="2242"/>
      <c r="Q8" s="2242"/>
      <c r="R8" s="2242"/>
    </row>
    <row r="9" spans="1:30" ht="13.8" thickBot="1">
      <c r="A9" s="2202" t="s">
        <v>2178</v>
      </c>
      <c r="B9" s="2203" t="s">
        <v>3503</v>
      </c>
      <c r="C9" s="2204"/>
      <c r="D9" s="3215"/>
      <c r="E9" s="2203" t="s">
        <v>43</v>
      </c>
      <c r="F9" s="2205"/>
      <c r="G9" s="2440"/>
      <c r="H9" s="2440"/>
      <c r="I9" s="2440"/>
      <c r="J9" s="2242"/>
      <c r="K9" s="2399"/>
      <c r="L9" s="2396"/>
      <c r="M9" s="2396"/>
      <c r="N9" s="2242"/>
      <c r="O9" s="1669"/>
      <c r="P9" s="2242"/>
      <c r="Q9" s="2242"/>
      <c r="R9" s="2242"/>
    </row>
    <row r="10" spans="1:30" ht="13.8" thickTop="1">
      <c r="A10" s="2206" t="s">
        <v>2179</v>
      </c>
      <c r="B10" s="2207" t="s">
        <v>3497</v>
      </c>
      <c r="C10" s="2208"/>
      <c r="D10" s="2191"/>
      <c r="E10" s="2209" t="s">
        <v>2180</v>
      </c>
      <c r="F10" s="3161" t="s">
        <v>3499</v>
      </c>
      <c r="G10" s="2441"/>
      <c r="H10" s="2442"/>
      <c r="I10" s="2443"/>
      <c r="J10" s="2242"/>
      <c r="K10" s="2399"/>
      <c r="L10" s="2396"/>
      <c r="M10" s="2396"/>
      <c r="N10" s="2242"/>
      <c r="O10" s="1669"/>
      <c r="P10" s="2242"/>
      <c r="Q10" s="2242"/>
      <c r="R10" s="2242"/>
    </row>
    <row r="11" spans="1:30" ht="36">
      <c r="A11" s="2210" t="s">
        <v>2181</v>
      </c>
      <c r="B11" s="2211" t="s">
        <v>3498</v>
      </c>
      <c r="C11" s="3162" t="s">
        <v>3500</v>
      </c>
      <c r="D11" s="2212"/>
      <c r="E11" s="2180"/>
      <c r="F11" s="2180"/>
      <c r="G11" s="2180"/>
      <c r="H11" s="2180"/>
      <c r="I11" s="2180"/>
      <c r="J11" s="2798"/>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2576</v>
      </c>
      <c r="J12" s="2799"/>
      <c r="K12" s="2396"/>
      <c r="L12" s="2396"/>
      <c r="M12" s="2242"/>
      <c r="N12" s="1669"/>
      <c r="O12" s="2242"/>
      <c r="P12" s="2242"/>
      <c r="Q12" s="2242"/>
      <c r="AD12" s="1617"/>
    </row>
    <row r="13" spans="1:30">
      <c r="A13" s="3118" t="s">
        <v>3332</v>
      </c>
      <c r="B13" s="2215" t="s">
        <v>2190</v>
      </c>
      <c r="C13" s="803"/>
      <c r="D13" s="803"/>
      <c r="E13" s="803">
        <v>54605</v>
      </c>
      <c r="F13" s="803"/>
      <c r="G13" s="803"/>
      <c r="H13" s="803"/>
      <c r="I13" s="803"/>
      <c r="J13" s="2799"/>
      <c r="K13" s="2396"/>
      <c r="L13" s="2396"/>
      <c r="M13" s="2242"/>
      <c r="N13" s="1669"/>
      <c r="O13" s="2242"/>
      <c r="P13" s="2242"/>
      <c r="Q13" s="2242"/>
      <c r="AD13" s="1617"/>
    </row>
    <row r="14" spans="1:30">
      <c r="A14" s="1018"/>
      <c r="B14" s="2215" t="s">
        <v>2191</v>
      </c>
      <c r="C14" s="2216"/>
      <c r="D14" s="2216"/>
      <c r="E14" s="2216">
        <v>50</v>
      </c>
      <c r="F14" s="2216"/>
      <c r="G14" s="2216"/>
      <c r="H14" s="2216"/>
      <c r="I14" s="2216"/>
      <c r="J14" s="2800"/>
      <c r="K14" s="2396"/>
      <c r="L14" s="2396"/>
      <c r="M14" s="2242"/>
      <c r="N14" s="1669"/>
      <c r="O14" s="2242"/>
      <c r="P14" s="2242"/>
      <c r="Q14" s="2242"/>
      <c r="AD14" s="1617"/>
    </row>
    <row r="15" spans="1:30">
      <c r="A15" s="312"/>
      <c r="B15" s="2217" t="s">
        <v>2192</v>
      </c>
      <c r="C15" s="2218" t="str">
        <f>IF(A13="出让",IF(C13="","",ROUNDDOWN(MIN((C13-$D$3)/365,C14),2)),C14)</f>
        <v/>
      </c>
      <c r="D15" s="2218" t="str">
        <f>IF(A13="出让",IF(D13="","",ROUNDDOWN(MIN((D13-$D$3)/365,D14),2)),D14)</f>
        <v/>
      </c>
      <c r="E15" s="2218">
        <f>IF(A13="出让",IF(E13="","",ROUNDDOWN(MIN((E13-$D$3)/365,E14),2)),E14)</f>
        <v>24.41</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21"/>
      <c r="C16" s="3222"/>
      <c r="D16" s="3223"/>
      <c r="E16" s="2219" t="s">
        <v>2194</v>
      </c>
      <c r="F16" s="3224"/>
      <c r="G16" s="3225"/>
      <c r="H16" s="3225"/>
      <c r="I16" s="3226"/>
      <c r="J16" s="2242"/>
      <c r="K16" s="2400"/>
      <c r="L16" s="1669"/>
      <c r="M16" s="1669"/>
      <c r="N16" s="2242"/>
      <c r="O16" s="1669"/>
      <c r="P16" s="2242"/>
      <c r="Q16" s="2242"/>
      <c r="R16" s="2242"/>
    </row>
    <row r="17" spans="1:28">
      <c r="A17" s="305" t="s">
        <v>2195</v>
      </c>
      <c r="B17" s="294" t="s">
        <v>2196</v>
      </c>
      <c r="C17" s="8">
        <f>'数据-汇总表'!E3</f>
        <v>759.02</v>
      </c>
      <c r="D17" s="1256" t="s">
        <v>2197</v>
      </c>
      <c r="E17" s="3227" t="s">
        <v>2198</v>
      </c>
      <c r="F17" s="3228"/>
      <c r="G17" s="3228"/>
      <c r="H17" s="3228"/>
      <c r="I17" s="3229"/>
      <c r="J17" s="2242"/>
      <c r="K17" s="2401"/>
      <c r="L17" s="1669"/>
      <c r="M17" s="1669"/>
      <c r="N17" s="2242"/>
      <c r="O17" s="1669"/>
      <c r="P17" s="2242"/>
      <c r="Q17" s="2242"/>
      <c r="R17" s="2242"/>
      <c r="S17" s="2242"/>
      <c r="T17" s="2242"/>
      <c r="U17" s="2242"/>
      <c r="V17" s="2242"/>
    </row>
    <row r="18" spans="1:28" ht="24.6" thickBot="1">
      <c r="A18" s="2220" t="s">
        <v>2199</v>
      </c>
      <c r="B18" s="1027" t="s">
        <v>2200</v>
      </c>
      <c r="C18" s="2221">
        <f>'数据-汇总表'!D3</f>
        <v>0</v>
      </c>
      <c r="D18" s="1029" t="s">
        <v>2201</v>
      </c>
      <c r="E18" s="3230" t="s">
        <v>2202</v>
      </c>
      <c r="F18" s="3231"/>
      <c r="G18" s="3231"/>
      <c r="H18" s="3231"/>
      <c r="I18" s="3232"/>
      <c r="J18" s="2242"/>
      <c r="K18" s="2401"/>
      <c r="L18" s="1669"/>
      <c r="M18" s="1669"/>
      <c r="N18" s="2242"/>
      <c r="O18" s="1669"/>
      <c r="P18" s="2242"/>
      <c r="Q18" s="2242"/>
      <c r="R18" s="2242"/>
      <c r="S18" s="2242"/>
      <c r="T18" s="2242"/>
      <c r="U18" s="2242"/>
      <c r="V18" s="2242"/>
    </row>
    <row r="19" spans="1:28" ht="37.200000000000003" thickTop="1" thickBot="1">
      <c r="A19" s="319" t="s">
        <v>1055</v>
      </c>
      <c r="B19" s="299" t="s">
        <v>2203</v>
      </c>
      <c r="C19" s="3165" t="s">
        <v>3405</v>
      </c>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17" t="s">
        <v>2206</v>
      </c>
      <c r="C20" s="3218"/>
      <c r="D20" s="3219" t="s">
        <v>2207</v>
      </c>
      <c r="E20" s="3220"/>
      <c r="F20" s="2427" t="s">
        <v>1056</v>
      </c>
      <c r="G20" s="2439"/>
      <c r="H20" s="2439"/>
      <c r="I20" s="2439"/>
      <c r="J20" s="2242"/>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2"/>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2"/>
      <c r="N21" s="2180"/>
      <c r="O21" s="1465"/>
      <c r="P21" s="2180"/>
      <c r="Q21" s="2180"/>
      <c r="R21" s="2180"/>
      <c r="S21" s="2180"/>
      <c r="T21" s="2180"/>
      <c r="U21" s="2180"/>
      <c r="V21" s="2180"/>
      <c r="W21" s="1617"/>
      <c r="X21" s="1617"/>
      <c r="Y21" s="1617"/>
      <c r="Z21" s="1617"/>
      <c r="AA21" s="1617"/>
      <c r="AB21" s="1617"/>
    </row>
    <row r="22" spans="1:28" ht="36.6" thickBot="1">
      <c r="A22" s="2414"/>
      <c r="B22" s="2417" t="s">
        <v>2211</v>
      </c>
      <c r="C22" s="2293" t="s">
        <v>1058</v>
      </c>
      <c r="D22" s="2439"/>
      <c r="E22" s="2439"/>
      <c r="F22" s="2439"/>
      <c r="G22" s="2439"/>
      <c r="H22" s="2439"/>
      <c r="I22" s="2439"/>
      <c r="J22" s="2242"/>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34" t="s">
        <v>2214</v>
      </c>
      <c r="B27" s="312" t="s">
        <v>2215</v>
      </c>
      <c r="C27" s="2222" t="s">
        <v>3407</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34"/>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34"/>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35"/>
      <c r="B30" s="294" t="s">
        <v>2218</v>
      </c>
      <c r="C30" s="3236"/>
      <c r="D30" s="3237"/>
      <c r="E30" s="2439"/>
      <c r="F30" s="2439"/>
      <c r="G30" s="2439"/>
      <c r="H30" s="2439"/>
      <c r="I30" s="2439"/>
      <c r="J30" s="2242"/>
      <c r="K30" s="2399"/>
      <c r="L30" s="2396"/>
      <c r="M30" s="2396"/>
      <c r="N30" s="2242"/>
      <c r="O30" s="1669"/>
      <c r="P30" s="2242"/>
      <c r="Q30" s="2242"/>
      <c r="R30" s="2242"/>
      <c r="S30" s="2242"/>
      <c r="T30" s="2242"/>
      <c r="U30" s="2242"/>
      <c r="V30" s="2242"/>
    </row>
    <row r="31" spans="1:28">
      <c r="A31" s="3238" t="s">
        <v>2219</v>
      </c>
      <c r="B31" s="2228" t="s">
        <v>3406</v>
      </c>
      <c r="C31" s="12" t="str">
        <f>IF(B31="现房","成新及维护状况正常否",IF(B31="在建","工程状态是否正常",IF(B31="土地","是否闲置","-")))</f>
        <v>成新及维护状况正常否</v>
      </c>
      <c r="D31" s="1281"/>
      <c r="E31" s="2229"/>
      <c r="F31" s="2439"/>
      <c r="G31" s="2439"/>
      <c r="H31" s="2439"/>
      <c r="I31" s="2439"/>
      <c r="J31" s="2242"/>
      <c r="K31" s="2398"/>
      <c r="L31" s="2396"/>
      <c r="M31" s="2396"/>
      <c r="N31" s="2242"/>
      <c r="O31" s="1669"/>
      <c r="P31" s="2242"/>
      <c r="Q31" s="2242"/>
      <c r="R31" s="2242"/>
      <c r="S31" s="2242"/>
      <c r="T31" s="2242"/>
      <c r="U31" s="2242"/>
      <c r="V31" s="2242"/>
    </row>
    <row r="32" spans="1:28">
      <c r="A32" s="3239"/>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69"/>
      <c r="P32" s="2242"/>
      <c r="Q32" s="2242"/>
      <c r="R32" s="2242"/>
      <c r="S32" s="2242"/>
      <c r="T32" s="2242"/>
      <c r="U32" s="2242"/>
      <c r="V32" s="2242"/>
    </row>
    <row r="33" spans="1:30">
      <c r="A33" s="3239"/>
      <c r="B33" s="2231"/>
      <c r="C33" s="1477" t="str">
        <f>IF(B33="现房","成新及维护状况是否正常",IF(B33="在建","工程状态是否正常",IF(B33="土地","是否闲置","-")))</f>
        <v>-</v>
      </c>
      <c r="D33" s="1274"/>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9"/>
      <c r="C34" s="1869"/>
      <c r="D34" s="1869"/>
      <c r="E34" s="1869"/>
      <c r="F34" s="1869"/>
      <c r="G34" s="1869"/>
      <c r="H34" s="1869"/>
      <c r="I34" s="2439"/>
      <c r="J34" s="2242"/>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2"/>
      <c r="V34" s="2242"/>
    </row>
    <row r="35" spans="1:30">
      <c r="A35" s="2233"/>
      <c r="B35" s="3233" t="s">
        <v>2229</v>
      </c>
      <c r="C35" s="3233"/>
      <c r="D35" s="3233"/>
      <c r="E35" s="3233"/>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2"/>
      <c r="V35" s="2242"/>
    </row>
    <row r="36" spans="1:30">
      <c r="A36" s="2181"/>
      <c r="B36" s="8" t="s">
        <v>2185</v>
      </c>
      <c r="C36" s="8" t="s">
        <v>2186</v>
      </c>
      <c r="D36" s="8" t="s">
        <v>2184</v>
      </c>
      <c r="E36" s="8" t="s">
        <v>2189</v>
      </c>
      <c r="F36" s="2797" t="s">
        <v>2579</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t="s">
        <v>184</v>
      </c>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2231</v>
      </c>
      <c r="B38" s="2235"/>
      <c r="C38" s="2235" t="s">
        <v>162</v>
      </c>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1"/>
      <c r="D41" s="2180"/>
      <c r="E41" s="2180"/>
      <c r="F41" s="2180"/>
      <c r="G41" s="2180"/>
      <c r="H41" s="2180"/>
      <c r="I41" s="1465"/>
      <c r="J41" s="2242"/>
      <c r="K41" s="2399"/>
      <c r="L41" s="2396"/>
      <c r="M41" s="2396"/>
      <c r="N41" s="2242"/>
      <c r="O41" s="1669"/>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4"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759.02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9"/>
      <c r="C5" s="1259"/>
      <c r="D5" s="1260"/>
      <c r="E5" s="13" t="s">
        <v>0</v>
      </c>
      <c r="F5" s="13">
        <f>SUM(F13:F587)</f>
        <v>0</v>
      </c>
      <c r="G5" s="13">
        <f>SUM(G13:G587)</f>
        <v>759.02</v>
      </c>
      <c r="H5" s="13">
        <f t="shared" ref="H5:AT5" si="0">SUM(H13:H656)</f>
        <v>759.02</v>
      </c>
      <c r="I5" s="13">
        <f t="shared" si="0"/>
        <v>759.02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759.02</v>
      </c>
      <c r="BA5" s="15">
        <f t="shared" si="1"/>
        <v>759.02</v>
      </c>
      <c r="BB5" s="15">
        <f t="shared" si="1"/>
        <v>759.02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60"/>
      <c r="AU7" s="1478" t="s">
        <v>1080</v>
      </c>
      <c r="AV7" s="20" t="s">
        <v>1081</v>
      </c>
      <c r="AW7" s="1465" t="s">
        <v>1082</v>
      </c>
      <c r="AX7" s="20" t="s">
        <v>1075</v>
      </c>
      <c r="AY7" s="1259"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9"/>
      <c r="K8" s="1269"/>
      <c r="L8" s="1269"/>
      <c r="M8" s="1269"/>
      <c r="N8" s="1269"/>
      <c r="O8" s="1269"/>
      <c r="P8" s="1269"/>
      <c r="Q8" s="1269"/>
      <c r="R8" s="1269"/>
      <c r="S8" s="1269"/>
      <c r="T8" s="1269"/>
      <c r="U8" s="1269"/>
      <c r="V8" s="1485"/>
      <c r="W8" s="1269"/>
      <c r="X8" s="1269"/>
      <c r="Y8" s="1269"/>
      <c r="Z8" s="1269"/>
      <c r="AA8" s="1485"/>
      <c r="AB8" s="1486"/>
      <c r="AC8" s="761" t="s">
        <v>1086</v>
      </c>
      <c r="AD8" s="1487"/>
      <c r="AE8" s="1479"/>
      <c r="AF8" s="1269"/>
      <c r="AG8" s="1269"/>
      <c r="AH8" s="1269"/>
      <c r="AI8" s="1269"/>
      <c r="AJ8" s="1269"/>
      <c r="AK8" s="1269"/>
      <c r="AL8" s="1269"/>
      <c r="AM8" s="1269"/>
      <c r="AN8" s="1269"/>
      <c r="AO8" s="1269"/>
      <c r="AP8" s="1269"/>
      <c r="AQ8" s="1269"/>
      <c r="AR8" s="1269"/>
      <c r="AS8" s="1269"/>
      <c r="AT8" s="1007" t="s">
        <v>1087</v>
      </c>
      <c r="AU8" s="1481" t="s">
        <v>1088</v>
      </c>
      <c r="AV8" s="1007"/>
      <c r="AW8" s="1466"/>
      <c r="AX8" s="1007"/>
      <c r="AY8" s="1465"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8" customFormat="1" ht="13.2">
      <c r="A9" s="1481"/>
      <c r="B9" s="1481"/>
      <c r="C9" s="1481"/>
      <c r="D9" s="1481"/>
      <c r="E9" s="1481"/>
      <c r="F9" s="1481"/>
      <c r="G9" s="1007"/>
      <c r="H9" s="1489" t="s">
        <v>1091</v>
      </c>
      <c r="I9" s="1490" t="s">
        <v>3409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9"/>
      <c r="BN9" s="1484"/>
      <c r="BO9" s="1269"/>
      <c r="BP9" s="1269"/>
      <c r="BQ9" s="1269"/>
      <c r="BR9" s="1269"/>
      <c r="BS9" s="1269"/>
      <c r="BT9" s="23"/>
    </row>
    <row r="10" spans="1:72" s="1488" customFormat="1" ht="13.2">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70"/>
      <c r="AF11" s="1503" t="s">
        <v>1101</v>
      </c>
      <c r="AG11" s="1270"/>
      <c r="AH11" s="1503" t="s">
        <v>1102</v>
      </c>
      <c r="AI11" s="1504"/>
      <c r="AJ11" s="1503" t="s">
        <v>1102</v>
      </c>
      <c r="AK11" s="1270"/>
      <c r="AL11" s="1268"/>
      <c r="AM11" s="1270"/>
      <c r="AN11" s="1268"/>
      <c r="AO11" s="1270"/>
      <c r="AP11" s="1268"/>
      <c r="AQ11" s="1270"/>
      <c r="AR11" s="1268"/>
      <c r="AS11" s="1270"/>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8"/>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5">
        <f>AR11</f>
        <v>0</v>
      </c>
    </row>
    <row r="13" spans="1:72" s="1467" customFormat="1" ht="26.4">
      <c r="A13" s="628"/>
      <c r="B13" s="628"/>
      <c r="C13" s="628" t="s">
        <v>3410</v>
      </c>
      <c r="D13" s="1512" t="s">
        <v>3408</v>
      </c>
      <c r="E13" s="13">
        <f>IF($C$3="是",ROUND($A$3*G13/$B$3,2),ROUND($A$3*(G13-AT13)/$B$3,2))</f>
        <v>0</v>
      </c>
      <c r="F13" s="29"/>
      <c r="G13" s="30">
        <f>H13+AC13+AT13</f>
        <v>759.02</v>
      </c>
      <c r="H13" s="17">
        <f>SUMIF(I$12:AB$12,"总值",I13:AB13)</f>
        <v>759.02</v>
      </c>
      <c r="I13" s="1513">
        <v>759.02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19C、D、E</v>
      </c>
      <c r="AY13" s="1260">
        <f>ROUND($AY$6*AZ13/$AZ$5,2)</f>
        <v>0</v>
      </c>
      <c r="AZ13" s="13">
        <f>BA13+BL13</f>
        <v>759.02</v>
      </c>
      <c r="BA13" s="13">
        <f>SUM(BB13:BK13)</f>
        <v>759.02</v>
      </c>
      <c r="BB13" s="13">
        <f>IF($D13="是",I13-J13,0)</f>
        <v>759.02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2" t="s">
        <v>1108</v>
      </c>
      <c r="F2" s="2436"/>
      <c r="G2" s="2429"/>
      <c r="H2" s="2430"/>
      <c r="I2" s="2144" t="s">
        <v>1132</v>
      </c>
      <c r="J2" s="2436"/>
      <c r="K2" s="2436"/>
      <c r="L2" s="2436"/>
      <c r="M2" s="2436"/>
      <c r="N2" s="2437"/>
      <c r="O2" s="2436"/>
      <c r="P2" s="2436"/>
    </row>
    <row r="3" spans="1:16" ht="15" thickBot="1">
      <c r="A3" s="3250" t="s">
        <v>1105</v>
      </c>
      <c r="B3" s="3250"/>
      <c r="C3" s="3250"/>
      <c r="D3" s="41">
        <f>'数据-基础表'!AY6</f>
        <v>0</v>
      </c>
      <c r="E3" s="41">
        <f>'数据-基础表'!AZ5</f>
        <v>759.02</v>
      </c>
      <c r="F3" s="2436"/>
      <c r="G3" s="42"/>
      <c r="H3" s="43" t="s">
        <v>1106</v>
      </c>
      <c r="I3" s="802" t="e">
        <f>ROUND('数据-基础表'!B3/'数据-基础表'!A3,2)</f>
        <v>#DIV/0!</v>
      </c>
      <c r="J3" s="2436"/>
      <c r="K3" s="2436"/>
      <c r="L3" s="2436"/>
      <c r="M3" s="2436"/>
      <c r="N3" s="2437"/>
      <c r="O3" s="2436"/>
      <c r="P3" s="2436"/>
    </row>
    <row r="4" spans="1:16" ht="14.4">
      <c r="A4" s="3251"/>
      <c r="B4" s="3252"/>
      <c r="C4" s="3253"/>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54" t="s">
        <v>1110</v>
      </c>
      <c r="C5" s="3254"/>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6"/>
      <c r="B6" s="3254" t="s">
        <v>1111</v>
      </c>
      <c r="C6" s="3254"/>
      <c r="D6" s="43">
        <f>ROUND($D$3*E6/$E$3,2)</f>
        <v>0</v>
      </c>
      <c r="E6" s="44">
        <f>E3-E5</f>
        <v>759.02</v>
      </c>
      <c r="F6" s="2436"/>
      <c r="G6" s="1528" t="s">
        <v>1112</v>
      </c>
      <c r="H6" s="45" t="s">
        <v>1113</v>
      </c>
      <c r="I6" s="2432" t="e">
        <f>ROUND(F31/D31,2)</f>
        <v>#DIV/0!</v>
      </c>
      <c r="J6" s="2436"/>
      <c r="K6" s="2436"/>
      <c r="L6" s="2436"/>
      <c r="M6" s="2436"/>
      <c r="N6" s="2436"/>
      <c r="O6" s="2436"/>
      <c r="P6" s="2436"/>
    </row>
    <row r="7" spans="1:16" ht="15" thickBot="1">
      <c r="A7" s="3246"/>
      <c r="B7" s="3247"/>
      <c r="C7" s="3248"/>
      <c r="D7" s="1523" t="s">
        <v>1107</v>
      </c>
      <c r="E7" s="1527" t="s">
        <v>1114</v>
      </c>
      <c r="F7" s="2436"/>
      <c r="G7" s="2433" t="s">
        <v>1115</v>
      </c>
      <c r="H7" s="95"/>
      <c r="I7" s="2434">
        <v>3.5</v>
      </c>
      <c r="J7" s="3159" t="s">
        <v>3493</v>
      </c>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759.02</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759.02</v>
      </c>
      <c r="F16" s="2436"/>
      <c r="G16" s="2436"/>
      <c r="H16" s="1530" t="s">
        <v>1135</v>
      </c>
      <c r="I16" s="1531"/>
      <c r="J16" s="1071"/>
      <c r="K16" s="3243" t="s">
        <v>1135</v>
      </c>
      <c r="L16" s="3244"/>
      <c r="M16" s="3244"/>
      <c r="N16" s="3244"/>
      <c r="O16" s="3244"/>
      <c r="P16" s="3245"/>
    </row>
    <row r="17" spans="1:19" ht="14.4">
      <c r="A17" s="1532" t="s">
        <v>1136</v>
      </c>
      <c r="B17" s="1533" t="s">
        <v>1137</v>
      </c>
      <c r="C17" s="1534" t="s">
        <v>1138</v>
      </c>
      <c r="D17" s="1535" t="s">
        <v>1126</v>
      </c>
      <c r="E17" s="1536" t="s">
        <v>1127</v>
      </c>
      <c r="F17" s="1537"/>
      <c r="G17" s="1538"/>
      <c r="H17" s="1539" t="s">
        <v>1139</v>
      </c>
      <c r="I17" s="1540" t="s">
        <v>1124</v>
      </c>
      <c r="J17" s="1071"/>
      <c r="K17" s="3240" t="s">
        <v>1140</v>
      </c>
      <c r="L17" s="3241"/>
      <c r="M17" s="3242"/>
      <c r="N17" s="3240" t="s">
        <v>1141</v>
      </c>
      <c r="O17" s="3241"/>
      <c r="P17" s="3242"/>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2" t="s">
        <v>3417</v>
      </c>
      <c r="D19" s="43">
        <f>ROUND($D$3*E19/$E$3,2)</f>
        <v>0</v>
      </c>
      <c r="E19" s="51">
        <f t="shared" ref="E19:E26" si="1">SUM(F19:G19)</f>
        <v>759.02</v>
      </c>
      <c r="F19" s="2554">
        <f>'数据-基础表'!H13</f>
        <v>759.02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759.02</v>
      </c>
    </row>
    <row r="20" spans="1:19" ht="14.4">
      <c r="A20" s="1548"/>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759.02</v>
      </c>
      <c r="F27" s="1072">
        <f>IF(SUM(F19:F26)=E8,SUM(F19:F26),"地上面积有误")</f>
        <v>759.02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759.02</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6"/>
      <c r="B31" s="96"/>
      <c r="C31" s="785" t="s">
        <v>1158</v>
      </c>
      <c r="D31" s="643">
        <f>D27+D30</f>
        <v>0</v>
      </c>
      <c r="E31" s="643">
        <f>E27+E30</f>
        <v>759.02</v>
      </c>
      <c r="F31" s="644">
        <f>F27+F30</f>
        <v>759.02</v>
      </c>
      <c r="G31" s="645">
        <f>G27+G30</f>
        <v>0</v>
      </c>
      <c r="H31" s="2436"/>
      <c r="I31" s="2436"/>
      <c r="J31" s="2436"/>
      <c r="K31" s="2436"/>
      <c r="L31" s="2436"/>
      <c r="M31" s="2436"/>
      <c r="N31" s="2436"/>
      <c r="O31" s="2436"/>
      <c r="P31" s="2436"/>
    </row>
    <row r="32" spans="1:19" ht="14.4">
      <c r="A32" s="1525"/>
      <c r="B32" s="1525" t="s">
        <v>1159</v>
      </c>
      <c r="C32" s="1525"/>
      <c r="D32" s="1525"/>
      <c r="E32" s="990">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1" t="s">
        <v>1161</v>
      </c>
      <c r="B2" s="984">
        <f>项目基本情况!D3</f>
        <v>45694</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1" customFormat="1" ht="14.4" thickBot="1">
      <c r="A3" s="1449"/>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1"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2" customFormat="1" ht="57.6">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3411</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4"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5" t="str">
        <f>'数据-汇总表'!C19</f>
        <v>办公</v>
      </c>
      <c r="B6" s="1586" t="str">
        <f>IF(A6=0,"","经营性")</f>
        <v>经营性</v>
      </c>
      <c r="C6" s="1587" t="s">
        <v>21</v>
      </c>
      <c r="D6" s="805">
        <f>SUMIF(项目基本情况!C$12:I$12,C6,项目基本情况!C$14:I$14)</f>
        <v>50</v>
      </c>
      <c r="E6" s="804">
        <f>IF(B6="","",SUMIF(项目基本情况!C$12:I$12,C6,项目基本情况!C$13:I$13))</f>
        <v>54605</v>
      </c>
      <c r="F6" s="61">
        <f>SUMIF(项目基本情况!C$12:I$12,C6,项目基本情况!C$15:I$15)</f>
        <v>24.41</v>
      </c>
      <c r="G6" s="62">
        <f>IF(ISERROR(ROUND(POWER(1+H6,D6-F6)*(POWER(1+H6,F6)-1)/(POWER(1+H6,D6)-1),3)),0,ROUND(POWER(1+H6,D6-F6)*(POWER(1+H6,F6)-1)/(POWER(1+H6,D6)-1),3))</f>
        <v>0.76300000000000001</v>
      </c>
      <c r="H6" s="691">
        <v>0.05</v>
      </c>
      <c r="I6" s="691">
        <v>5.5E-2</v>
      </c>
      <c r="J6" s="63">
        <v>7.0000000000000007E-2</v>
      </c>
      <c r="K6" s="970">
        <f>SUMIF('数据-汇总表'!C$19:C$33,A6,'数据-汇总表'!E$19:E$33)</f>
        <v>759.02</v>
      </c>
      <c r="L6" s="692">
        <v>4500</v>
      </c>
      <c r="M6" s="64">
        <f t="shared" ref="M6:M14" si="0">ROUND(K6*L6/10000,0)</f>
        <v>342</v>
      </c>
      <c r="N6" s="690">
        <f>N21</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60">
        <v>6</v>
      </c>
      <c r="V6" s="67">
        <v>0.02</v>
      </c>
      <c r="W6" s="67">
        <v>0.1</v>
      </c>
      <c r="X6" s="979"/>
      <c r="Y6" s="68">
        <f>N6</f>
        <v>0.72</v>
      </c>
      <c r="Z6" s="69"/>
      <c r="AA6" s="63"/>
      <c r="AB6" s="63"/>
      <c r="AC6" s="979"/>
      <c r="AD6" s="70"/>
      <c r="AE6" s="980">
        <f ca="1">IF(AN6="",0,SUMIF(INDIRECT("'"&amp;AN6&amp;"'"&amp;"!E:E"),$AE$5,INDIRECT("'"&amp;AN6&amp;"'"&amp;"!F:F")))</f>
        <v>24.41</v>
      </c>
      <c r="AF6" s="74"/>
      <c r="AG6" s="130">
        <f>IF(AF6="",0,AE6-AF6)</f>
        <v>0</v>
      </c>
      <c r="AH6" s="71"/>
      <c r="AI6" s="73">
        <v>365</v>
      </c>
      <c r="AJ6" s="74"/>
      <c r="AK6" s="75">
        <v>4.0000000000000001E-3</v>
      </c>
      <c r="AL6" s="76">
        <v>1E-3</v>
      </c>
      <c r="AM6" s="77">
        <v>5.0000000000000001E-3</v>
      </c>
      <c r="AN6" s="1588" t="s">
        <v>3476</v>
      </c>
      <c r="AO6" s="50">
        <f ca="1">SUMIF(INDIRECT("'"&amp;AN6&amp;"'"&amp;"!A:A"),"总价",INDIRECT("'"&amp;AN6&amp;"'"&amp;"!B:B"))</f>
        <v>1983.7304999999999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1"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1"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1"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1"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1"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1"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1"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1"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1"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1" customFormat="1" ht="15" thickBot="1">
      <c r="A16" s="1592" t="s">
        <v>1209</v>
      </c>
      <c r="B16" s="82"/>
      <c r="C16" s="783"/>
      <c r="D16" s="1593"/>
      <c r="E16" s="82"/>
      <c r="F16" s="82"/>
      <c r="G16" s="83">
        <f>ROUND(SUMPRODUCT(G6:G13,K6:K13)/SUMPRODUCT((G6:G13&gt;0)*(K6:K13)),3)</f>
        <v>0.76300000000000001</v>
      </c>
      <c r="H16" s="84">
        <f>ROUND(SUMPRODUCT(H6:H13,K6:K13)/SUMPRODUCT((H6:H13&gt;0)*(K6:K13)),3)</f>
        <v>0.05</v>
      </c>
      <c r="I16" s="85"/>
      <c r="J16" s="85"/>
      <c r="K16" s="86">
        <f>SUM(K6:K15)</f>
        <v>759.02</v>
      </c>
      <c r="L16" s="87">
        <f>ROUND(M16*10000/SUM(K6:K14),0)</f>
        <v>4506</v>
      </c>
      <c r="M16" s="87">
        <f>SUM(M6:M14)</f>
        <v>342</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0" t="s">
        <v>3412</v>
      </c>
      <c r="N18" s="2445">
        <v>2000</v>
      </c>
      <c r="O18" s="3150" t="s">
        <v>3413</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2302</v>
      </c>
      <c r="D19" s="2448"/>
      <c r="E19" s="2436"/>
      <c r="F19" s="2436"/>
      <c r="G19" s="2436"/>
      <c r="H19" s="2436"/>
      <c r="I19" s="2436"/>
      <c r="J19" s="2436"/>
      <c r="K19" s="2446"/>
      <c r="L19" s="2446"/>
      <c r="M19" s="3150" t="s">
        <v>3414</v>
      </c>
      <c r="N19" s="2445">
        <f>ROUND(1-(1-0)*(2025-N18)/60,2)</f>
        <v>0.57999999999999996</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2</v>
      </c>
      <c r="C20" s="2558" t="s">
        <v>2300</v>
      </c>
      <c r="D20" s="2448"/>
      <c r="E20" s="2436"/>
      <c r="F20" s="2436"/>
      <c r="G20" s="2436"/>
      <c r="H20" s="2436"/>
      <c r="I20" s="2436"/>
      <c r="J20" s="2436"/>
      <c r="K20" s="2446"/>
      <c r="L20" s="2446"/>
      <c r="M20" s="3150" t="s">
        <v>3415</v>
      </c>
      <c r="N20" s="2445">
        <v>0.85</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2</v>
      </c>
      <c r="C21" s="2436"/>
      <c r="D21" s="2448"/>
      <c r="E21" s="2436"/>
      <c r="F21" s="2436"/>
      <c r="G21" s="2436"/>
      <c r="H21" s="2436"/>
      <c r="I21" s="2436"/>
      <c r="J21" s="2436"/>
      <c r="K21" s="2446"/>
      <c r="L21" s="2446"/>
      <c r="M21" s="3150" t="s">
        <v>3416</v>
      </c>
      <c r="N21" s="2445">
        <f>ROUND((N19+N20)/2,2)</f>
        <v>0.72</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40">
        <v>7.0000000000000007E-2</v>
      </c>
      <c r="C33" s="2561" t="s">
        <v>3386</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3404</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0.02</v>
      </c>
      <c r="C37" s="2561" t="s">
        <v>3387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0.03</v>
      </c>
      <c r="C38" s="2561" t="s">
        <v>3388</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2310</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3389</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24</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184</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f>C55</f>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1"/>
  </cols>
  <sheetData>
    <row r="1" spans="1:29" s="2256" customFormat="1" ht="18" thickBot="1">
      <c r="A1" s="3255" t="s">
        <v>2286</v>
      </c>
      <c r="B1" s="3256"/>
      <c r="C1" s="3256"/>
      <c r="D1" s="3256"/>
      <c r="E1" s="3256"/>
      <c r="F1" s="3256"/>
      <c r="G1" s="325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759.02</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45694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2752.6619000000001</v>
      </c>
      <c r="C5" s="2297">
        <f ca="1">IF(B5=D14,结果表!H102,ROUND(B5*10000/$B$1,0))</f>
        <v>36266</v>
      </c>
      <c r="D5" s="2297" t="e">
        <f ca="1">ROUND(B5*10000/$B$2,0)</f>
        <v>#DIV/0!</v>
      </c>
      <c r="E5" s="2458"/>
      <c r="F5" s="2459"/>
      <c r="G5" s="2459"/>
      <c r="H5" s="2459"/>
      <c r="I5" s="2459"/>
      <c r="J5" s="2459"/>
      <c r="K5" s="2459"/>
    </row>
    <row r="6" spans="1:11" ht="15.6">
      <c r="A6" s="2297" t="s">
        <v>656</v>
      </c>
      <c r="B6" s="2297">
        <f ca="1">SUM(G14:G23)</f>
        <v>2752.6619000000001</v>
      </c>
      <c r="C6" s="2297">
        <f ca="1">IF(B6=G14,结果表!H108,ROUND(B6*10000/$B$1,0))</f>
        <v>36266</v>
      </c>
      <c r="D6" s="2297" t="e">
        <f ca="1">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4"/>
      <c r="C9" s="2458"/>
      <c r="D9" s="2458"/>
      <c r="E9" s="2458"/>
      <c r="F9" s="2459"/>
      <c r="G9" s="2459"/>
      <c r="H9" s="2459"/>
      <c r="I9" s="2459"/>
      <c r="J9" s="2459"/>
      <c r="K9" s="2459"/>
    </row>
    <row r="10" spans="1:11" ht="15.6">
      <c r="A10" s="2297" t="s">
        <v>654</v>
      </c>
      <c r="B10" s="2297">
        <f>IF(E10="",0,ROUND(B1*(E10*365/G10)/10000,0))</f>
        <v>0</v>
      </c>
      <c r="C10" s="2297" t="s">
        <v>3356</v>
      </c>
      <c r="D10" s="2297" t="s">
        <v>3357</v>
      </c>
      <c r="E10" s="3133"/>
      <c r="F10" s="3137" t="s">
        <v>3358</v>
      </c>
      <c r="G10" s="3134"/>
      <c r="H10" s="2459"/>
      <c r="I10" s="2459"/>
      <c r="J10" s="2459"/>
      <c r="K10" s="2459"/>
    </row>
    <row r="11" spans="1:11" ht="15.6">
      <c r="A11" s="2297"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'数据-汇总表'!E19</f>
        <v>759.02</v>
      </c>
      <c r="C14" s="2303"/>
      <c r="D14" s="2303">
        <f ca="1">结果表!H101</f>
        <v>2752.6619000000001</v>
      </c>
      <c r="E14" s="2303">
        <f ca="1">结果表!H102</f>
        <v>36266</v>
      </c>
      <c r="F14" s="2303" t="e">
        <f ca="1">ROUND(D14*10000/C14,0)</f>
        <v>#DIV/0!</v>
      </c>
      <c r="G14" s="2303">
        <f ca="1">结果表!H107</f>
        <v>2752.6619000000001</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4"/>
      <c r="H15" s="1244"/>
      <c r="I15" s="2304"/>
      <c r="J15" s="2459"/>
      <c r="K15" s="2459"/>
    </row>
    <row r="16" spans="1:11" ht="15.6">
      <c r="A16" s="2302" t="s">
        <v>648</v>
      </c>
      <c r="B16" s="2304"/>
      <c r="C16" s="2304"/>
      <c r="D16" s="2304"/>
      <c r="E16" s="2303" t="e">
        <f t="shared" si="0"/>
        <v>#DIV/0!</v>
      </c>
      <c r="F16" s="2303" t="e">
        <f t="shared" si="1"/>
        <v>#DIV/0!</v>
      </c>
      <c r="G16" s="1244"/>
      <c r="H16" s="1244"/>
      <c r="I16" s="2304"/>
      <c r="J16" s="2459"/>
      <c r="K16" s="2459"/>
    </row>
    <row r="17" spans="1:11" ht="15.6">
      <c r="A17" s="2302" t="s">
        <v>647</v>
      </c>
      <c r="B17" s="2304"/>
      <c r="C17" s="2304"/>
      <c r="D17" s="2304"/>
      <c r="E17" s="2303" t="e">
        <f t="shared" si="0"/>
        <v>#DIV/0!</v>
      </c>
      <c r="F17" s="2303" t="e">
        <f t="shared" si="1"/>
        <v>#DIV/0!</v>
      </c>
      <c r="G17" s="1244"/>
      <c r="H17" s="1244"/>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4" t="e">
        <f t="shared" si="0"/>
        <v>#DIV/0!</v>
      </c>
      <c r="F23" s="1244"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52" zoomScaleNormal="100" zoomScaleSheetLayoutView="100" zoomScalePageLayoutView="80" workbookViewId="0">
      <selection activeCell="G26" sqref="G2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21</v>
      </c>
      <c r="D1" s="646"/>
      <c r="E1" s="646"/>
      <c r="F1" s="1620" t="s">
        <v>1263</v>
      </c>
      <c r="G1" s="1453" t="s">
        <v>3406</v>
      </c>
      <c r="H1" s="1620" t="str">
        <f>IF(G1="现房","——","估价对象范围")</f>
        <v>——</v>
      </c>
      <c r="I1" s="1621"/>
    </row>
    <row r="2" spans="1:12" ht="21.75" customHeight="1" thickBot="1">
      <c r="A2" s="3324" t="str">
        <f>项目基本情况!S2</f>
        <v>北京市海淀区首体南路22号楼19C、D、E房地产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3" t="s">
        <v>1265</v>
      </c>
      <c r="B4" s="1624" t="s">
        <v>1266</v>
      </c>
      <c r="C4" s="1625" t="s">
        <v>3475</v>
      </c>
      <c r="D4" s="1625" t="s">
        <v>3476</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2" t="s">
        <v>1268</v>
      </c>
      <c r="B5" s="3327">
        <v>25</v>
      </c>
      <c r="C5" s="3330"/>
      <c r="D5" s="3318"/>
      <c r="E5" s="123" t="s">
        <v>1269</v>
      </c>
      <c r="F5" s="1626"/>
      <c r="G5" s="1626"/>
      <c r="H5" s="1626"/>
      <c r="I5" s="1281"/>
    </row>
    <row r="6" spans="1:12" ht="13.2">
      <c r="A6" s="3272"/>
      <c r="B6" s="3327"/>
      <c r="C6" s="3332"/>
      <c r="D6" s="3318"/>
      <c r="E6" s="123" t="s">
        <v>1270</v>
      </c>
      <c r="F6" s="1626"/>
      <c r="G6" s="1626"/>
      <c r="H6" s="1626"/>
      <c r="I6" s="1281"/>
    </row>
    <row r="7" spans="1:12" ht="13.2">
      <c r="A7" s="3272"/>
      <c r="B7" s="3327"/>
      <c r="C7" s="3331"/>
      <c r="D7" s="3318"/>
      <c r="E7" s="123" t="s">
        <v>1271</v>
      </c>
      <c r="F7" s="1626"/>
      <c r="G7" s="1626"/>
      <c r="H7" s="1626"/>
      <c r="I7" s="1281"/>
    </row>
    <row r="8" spans="1:12" ht="13.2">
      <c r="A8" s="3272" t="s">
        <v>1272</v>
      </c>
      <c r="B8" s="3327">
        <v>15</v>
      </c>
      <c r="C8" s="3330"/>
      <c r="D8" s="3318"/>
      <c r="E8" s="123" t="s">
        <v>1273</v>
      </c>
      <c r="F8" s="1626"/>
      <c r="G8" s="1626"/>
      <c r="H8" s="1626"/>
      <c r="I8" s="1281"/>
    </row>
    <row r="9" spans="1:12" ht="13.2">
      <c r="A9" s="3272"/>
      <c r="B9" s="3327"/>
      <c r="C9" s="3331"/>
      <c r="D9" s="3318"/>
      <c r="E9" s="123" t="s">
        <v>1274</v>
      </c>
      <c r="F9" s="1626"/>
      <c r="G9" s="1626"/>
      <c r="H9" s="1626"/>
      <c r="I9" s="1281"/>
    </row>
    <row r="10" spans="1:12" ht="13.2">
      <c r="A10" s="3272" t="s">
        <v>1275</v>
      </c>
      <c r="B10" s="3327">
        <v>15</v>
      </c>
      <c r="C10" s="3330"/>
      <c r="D10" s="3318"/>
      <c r="E10" s="123" t="s">
        <v>1276</v>
      </c>
      <c r="F10" s="1626"/>
      <c r="G10" s="1626"/>
      <c r="H10" s="1626"/>
      <c r="I10" s="1281"/>
    </row>
    <row r="11" spans="1:12" ht="13.2">
      <c r="A11" s="3272"/>
      <c r="B11" s="3327"/>
      <c r="C11" s="3331"/>
      <c r="D11" s="3318"/>
      <c r="E11" s="123" t="s">
        <v>1277</v>
      </c>
      <c r="F11" s="1626"/>
      <c r="G11" s="1626"/>
      <c r="H11" s="1626"/>
      <c r="I11" s="1281"/>
    </row>
    <row r="12" spans="1:12" ht="13.2">
      <c r="A12" s="3272" t="s">
        <v>1278</v>
      </c>
      <c r="B12" s="3327">
        <v>15</v>
      </c>
      <c r="C12" s="3330"/>
      <c r="D12" s="3318"/>
      <c r="E12" s="123" t="s">
        <v>1279</v>
      </c>
      <c r="F12" s="1626"/>
      <c r="G12" s="1626"/>
      <c r="H12" s="1626"/>
      <c r="I12" s="1281"/>
    </row>
    <row r="13" spans="1:12" ht="13.2">
      <c r="A13" s="3272"/>
      <c r="B13" s="3327"/>
      <c r="C13" s="3331"/>
      <c r="D13" s="3318"/>
      <c r="E13" s="123" t="s">
        <v>1280</v>
      </c>
      <c r="F13" s="1626"/>
      <c r="G13" s="1626"/>
      <c r="H13" s="1626"/>
      <c r="I13" s="1281"/>
    </row>
    <row r="14" spans="1:12" ht="13.2">
      <c r="A14" s="3272" t="s">
        <v>1281</v>
      </c>
      <c r="B14" s="3327">
        <v>30</v>
      </c>
      <c r="C14" s="3330">
        <v>7</v>
      </c>
      <c r="D14" s="3318">
        <v>3</v>
      </c>
      <c r="E14" s="123" t="s">
        <v>1282</v>
      </c>
      <c r="F14" s="1626"/>
      <c r="G14" s="1626"/>
      <c r="H14" s="1626"/>
      <c r="I14" s="1281"/>
    </row>
    <row r="15" spans="1:12" ht="13.2">
      <c r="A15" s="3272"/>
      <c r="B15" s="3327"/>
      <c r="C15" s="3332"/>
      <c r="D15" s="3318"/>
      <c r="E15" s="123" t="s">
        <v>1283</v>
      </c>
      <c r="F15" s="1626"/>
      <c r="G15" s="1626"/>
      <c r="H15" s="1626"/>
      <c r="I15" s="1281"/>
    </row>
    <row r="16" spans="1:12" ht="13.2">
      <c r="A16" s="3272"/>
      <c r="B16" s="3327"/>
      <c r="C16" s="3331"/>
      <c r="D16" s="3318"/>
      <c r="E16" s="123" t="s">
        <v>1284</v>
      </c>
      <c r="F16" s="1626"/>
      <c r="G16" s="1626"/>
      <c r="H16" s="1626"/>
      <c r="I16" s="1281"/>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49" t="s">
        <v>2131</v>
      </c>
      <c r="F18" s="3350"/>
      <c r="G18" s="3350"/>
      <c r="H18" s="3350"/>
      <c r="I18" s="3350"/>
      <c r="K18" s="294" t="s">
        <v>1289</v>
      </c>
      <c r="L18" s="294">
        <f>IF(C1="",'数据-汇总表'!E3,SUMIF(项目类型,C1,'数据-汇总表'!E17:E26)+SUMIF(项目类型,C1,'数据-汇总表'!I17:I26))</f>
        <v>759.02</v>
      </c>
      <c r="M18" s="294">
        <f>IF(C1="",'数据-汇总表'!E3,SUMIF(项目类型,C1,'数据-汇总表'!E17:E26))</f>
        <v>759.02</v>
      </c>
    </row>
    <row r="19" spans="1:36" ht="14.4">
      <c r="A19" s="1629" t="s">
        <v>1290</v>
      </c>
      <c r="B19" s="1630" t="s">
        <v>1291</v>
      </c>
      <c r="C19" s="126">
        <f ca="1">SUMIF(INDIRECT("'"&amp;C4&amp;"'"&amp;"!A:A"),结果表!B19,INDIRECT("'"&amp;C4&amp;"'"&amp;"!B:B"))</f>
        <v>3082.2284</v>
      </c>
      <c r="D19" s="127">
        <f ca="1">SUMIF(INDIRECT("'"&amp;D4&amp;"'"&amp;"!A:A"),结果表!B19,INDIRECT("'"&amp;D4&amp;"'"&amp;"!B:B"))</f>
        <v>1983.7304999999999</v>
      </c>
      <c r="E19" s="1629" t="s">
        <v>1292</v>
      </c>
      <c r="F19" s="1630" t="s">
        <v>1291</v>
      </c>
      <c r="G19" s="128">
        <f ca="1">ROUND(C19*$C$18+D19*$D$18,0)</f>
        <v>2753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40608</v>
      </c>
      <c r="D20" s="130">
        <f ca="1">SUMIF(INDIRECT("'"&amp;D4&amp;"'"&amp;"!A:A"),结果表!B20,INDIRECT("'"&amp;D4&amp;"'"&amp;"!B:B"))</f>
        <v>26135</v>
      </c>
      <c r="E20" s="1632"/>
      <c r="F20" s="43" t="s">
        <v>1295</v>
      </c>
      <c r="G20" s="131">
        <f ca="1">ROUND(C20*$C$18+D20*$D$18,0)</f>
        <v>36266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0.55375359707379612</v>
      </c>
      <c r="E22" s="121"/>
      <c r="F22" s="121"/>
      <c r="G22" s="121"/>
      <c r="H22" s="121"/>
      <c r="I22" s="121"/>
    </row>
    <row r="23" spans="1:36" ht="13.8" thickBot="1">
      <c r="A23" s="646"/>
      <c r="B23" s="646"/>
      <c r="C23" s="646"/>
      <c r="D23" s="646"/>
      <c r="E23" s="121"/>
      <c r="F23" s="121"/>
      <c r="G23" s="3157" t="s">
        <v>3480</v>
      </c>
      <c r="H23" s="121"/>
      <c r="I23" s="121"/>
    </row>
    <row r="24" spans="1:36" ht="14.4">
      <c r="A24" s="3342" t="s">
        <v>1299</v>
      </c>
      <c r="B24" s="1630" t="s">
        <v>1291</v>
      </c>
      <c r="C24" s="128">
        <f>IF(B30=0,0,D30)</f>
        <v>0</v>
      </c>
      <c r="D24" s="1636"/>
      <c r="E24" s="121"/>
      <c r="F24" s="121"/>
      <c r="G24" s="121"/>
      <c r="H24" s="121"/>
      <c r="I24" s="121"/>
    </row>
    <row r="25" spans="1:36" ht="14.4">
      <c r="A25" s="3343"/>
      <c r="B25" s="43" t="s">
        <v>1295</v>
      </c>
      <c r="C25" s="133">
        <f>IF(B30=0,0,C30)</f>
        <v>0</v>
      </c>
      <c r="D25" s="1637"/>
      <c r="E25" s="121"/>
      <c r="F25" s="121"/>
      <c r="G25" s="121" t="s">
        <v>3506</v>
      </c>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9" t="s">
        <v>1305</v>
      </c>
      <c r="B32" s="1534"/>
      <c r="C32" s="136">
        <f ca="1">IF(D32="总价",G19-C24,G20-C25)</f>
        <v>36266</v>
      </c>
      <c r="D32" s="1640" t="s">
        <v>3481</v>
      </c>
      <c r="E32" s="121"/>
      <c r="F32" s="121"/>
      <c r="G32" s="121"/>
      <c r="H32" s="121"/>
      <c r="I32" s="121"/>
    </row>
    <row r="33" spans="1:15" ht="14.4">
      <c r="A33" s="740" t="s">
        <v>1306</v>
      </c>
      <c r="B33" s="123"/>
      <c r="C33" s="1641" t="s">
        <v>3482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19" t="s">
        <v>1312</v>
      </c>
      <c r="B36" s="1651" t="s">
        <v>1313</v>
      </c>
      <c r="C36" s="137"/>
      <c r="D36" s="1652"/>
      <c r="E36" s="1566"/>
      <c r="F36" s="1653"/>
      <c r="G36" s="121"/>
      <c r="H36" s="121"/>
      <c r="I36" s="121"/>
    </row>
    <row r="37" spans="1:15" ht="15" thickBot="1">
      <c r="A37" s="3320"/>
      <c r="B37" s="1554" t="s">
        <v>1314</v>
      </c>
      <c r="C37" s="139"/>
      <c r="D37" s="1071"/>
      <c r="E37" s="1071"/>
      <c r="F37" s="1653"/>
      <c r="G37" s="121"/>
      <c r="H37" s="121"/>
      <c r="I37" s="121"/>
    </row>
    <row r="38" spans="1:15" ht="15" thickBot="1">
      <c r="A38" s="3321"/>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39" t="s">
        <v>1326</v>
      </c>
      <c r="B45" s="3340"/>
      <c r="C45" s="3341"/>
      <c r="D45" s="147">
        <f ca="1">ROUND(H101*F45,0)</f>
        <v>2753</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7"/>
      <c r="I46" s="151"/>
      <c r="J46" s="2307">
        <v>1</v>
      </c>
      <c r="K46" s="3260" t="s">
        <v>1331</v>
      </c>
      <c r="L46" s="3260"/>
      <c r="M46" s="3261"/>
      <c r="N46" s="3261"/>
      <c r="O46" s="3261"/>
    </row>
    <row r="47" spans="1:15" ht="12" customHeight="1">
      <c r="A47" s="152" t="s">
        <v>1332</v>
      </c>
      <c r="B47" s="153"/>
      <c r="C47" s="154"/>
      <c r="D47" s="1024" t="s">
        <v>1333</v>
      </c>
      <c r="E47" s="294" t="s">
        <v>1334</v>
      </c>
      <c r="F47" s="155" t="s">
        <v>1335</v>
      </c>
      <c r="G47" s="2330" t="s">
        <v>1336</v>
      </c>
      <c r="H47" s="2331"/>
      <c r="I47" s="151"/>
      <c r="J47" s="2307">
        <v>2</v>
      </c>
      <c r="K47" s="3260" t="s">
        <v>1337</v>
      </c>
      <c r="L47" s="3260"/>
      <c r="M47" s="3262">
        <f>'数据-取费表'!B2</f>
        <v>45694</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7"/>
      <c r="J48" s="2307">
        <v>3</v>
      </c>
      <c r="K48" s="3260" t="s">
        <v>1340</v>
      </c>
      <c r="L48" s="3260"/>
      <c r="M48" s="3263">
        <f ca="1">H101</f>
        <v>2752.6619000000001</v>
      </c>
      <c r="N48" s="3263"/>
      <c r="O48" s="3263"/>
    </row>
    <row r="49" spans="1:35" ht="25.5" customHeight="1">
      <c r="A49" s="2150" t="s">
        <v>1341</v>
      </c>
      <c r="B49" s="3308" t="s">
        <v>1342</v>
      </c>
      <c r="C49" s="3308"/>
      <c r="D49" s="1477">
        <v>0</v>
      </c>
      <c r="E49" s="316" t="s">
        <v>1343</v>
      </c>
      <c r="F49" s="2230" t="s">
        <v>28</v>
      </c>
      <c r="G49" s="3291"/>
      <c r="H49" s="2132" t="s">
        <v>2134</v>
      </c>
      <c r="I49" s="2133"/>
      <c r="J49" s="2307">
        <v>4</v>
      </c>
      <c r="K49" s="3260" t="str">
        <f>IF(项目基本情况!E8="房地产抵押价值","房地产抵押价值","抵押担保权已注销时的房地产抵押价值")</f>
        <v>房地产抵押价值</v>
      </c>
      <c r="L49" s="3260"/>
      <c r="M49" s="3263">
        <f ca="1">IF(项目基本情况!E8="房地产抵押价值",H107,H109)</f>
        <v>2752.6619000000001</v>
      </c>
      <c r="N49" s="3263"/>
      <c r="O49" s="3263"/>
    </row>
    <row r="50" spans="1:35" ht="25.5" customHeight="1">
      <c r="A50" s="2335"/>
      <c r="B50" s="3308" t="s">
        <v>1344</v>
      </c>
      <c r="C50" s="3308"/>
      <c r="D50" s="2187"/>
      <c r="E50" s="323"/>
      <c r="F50" s="2230"/>
      <c r="G50" s="3292"/>
      <c r="H50" s="2134" t="s">
        <v>2135</v>
      </c>
      <c r="I50" s="2133"/>
      <c r="J50" s="3259" t="s">
        <v>1345</v>
      </c>
      <c r="K50" s="3259"/>
      <c r="L50" s="3259"/>
      <c r="M50" s="3259"/>
      <c r="N50" s="3259"/>
      <c r="O50" s="3259"/>
    </row>
    <row r="51" spans="1:35" ht="20.399999999999999" customHeight="1">
      <c r="A51" s="2336"/>
      <c r="B51" s="3308" t="s">
        <v>1346</v>
      </c>
      <c r="C51" s="3308"/>
      <c r="D51" s="1024"/>
      <c r="E51" s="319"/>
      <c r="F51" s="2230"/>
      <c r="G51" s="3293"/>
      <c r="H51" s="2134" t="s">
        <v>2136</v>
      </c>
      <c r="I51" s="2133"/>
      <c r="J51" s="2308" t="s">
        <v>1347</v>
      </c>
      <c r="K51" s="3260" t="s">
        <v>1348</v>
      </c>
      <c r="L51" s="3260"/>
      <c r="M51" s="2308" t="s">
        <v>1349</v>
      </c>
      <c r="N51" s="2308" t="s">
        <v>1350</v>
      </c>
      <c r="O51" s="2308" t="s">
        <v>1351</v>
      </c>
    </row>
    <row r="52" spans="1:35" ht="24" customHeight="1">
      <c r="A52" s="2151" t="s">
        <v>1352</v>
      </c>
      <c r="B52" s="3308" t="s">
        <v>1353</v>
      </c>
      <c r="C52" s="3308"/>
      <c r="D52" s="1024">
        <f ca="1">ROUND(D45*'数据-取费表'!B41/(1+'数据-取费表'!C42),0)</f>
        <v>147</v>
      </c>
      <c r="E52" s="1256" t="s">
        <v>1354</v>
      </c>
      <c r="F52" s="2337">
        <f>'数据-取费表'!B41</f>
        <v>5.6000000000000001E-2</v>
      </c>
      <c r="G52" s="2338"/>
      <c r="H52" s="2328"/>
      <c r="I52" s="1668"/>
      <c r="J52" s="2307">
        <v>1</v>
      </c>
      <c r="K52" s="3285" t="s">
        <v>1355</v>
      </c>
      <c r="L52" s="3285"/>
      <c r="M52" s="2309" t="b">
        <f>D48</f>
        <v>0</v>
      </c>
      <c r="N52" s="2307" t="str">
        <f>E48</f>
        <v>销售额×税（费）率</v>
      </c>
      <c r="O52" s="2310">
        <f>F48</f>
        <v>5.6000000000000001E-2</v>
      </c>
    </row>
    <row r="53" spans="1:35" ht="12" customHeight="1">
      <c r="A53" s="2151" t="s">
        <v>1356</v>
      </c>
      <c r="B53" s="3309" t="s">
        <v>2291</v>
      </c>
      <c r="C53" s="3310"/>
      <c r="D53" s="1024">
        <f ca="1">ROUND(D45*'数据-取费表'!B41/(1+'数据-取费表'!C42),0)</f>
        <v>147</v>
      </c>
      <c r="E53" s="1256" t="s">
        <v>1354</v>
      </c>
      <c r="F53" s="2337">
        <f>'数据-取费表'!B41</f>
        <v>5.6000000000000001E-2</v>
      </c>
      <c r="G53" s="2338"/>
      <c r="H53" s="2328"/>
      <c r="I53" s="1668"/>
      <c r="J53" s="2307">
        <v>2</v>
      </c>
      <c r="K53" s="3285" t="s">
        <v>1357</v>
      </c>
      <c r="L53" s="3285"/>
      <c r="M53" s="2309">
        <f t="shared" ref="M53:O54" ca="1" si="0">D55</f>
        <v>1</v>
      </c>
      <c r="N53" s="2307" t="str">
        <f t="shared" si="0"/>
        <v>销售额×税（费）率</v>
      </c>
      <c r="O53" s="2310" t="str">
        <f t="shared" si="0"/>
        <v>免征</v>
      </c>
    </row>
    <row r="54" spans="1:35" ht="12" customHeight="1">
      <c r="A54" s="2151" t="s">
        <v>1358</v>
      </c>
      <c r="B54" s="3309" t="s">
        <v>2292</v>
      </c>
      <c r="C54" s="3310"/>
      <c r="D54" s="1024">
        <f ca="1">C68</f>
        <v>147</v>
      </c>
      <c r="E54" s="319" t="s">
        <v>1359</v>
      </c>
      <c r="F54" s="2337">
        <f>'数据-取费表'!B41</f>
        <v>5.6000000000000001E-2</v>
      </c>
      <c r="G54" s="2338"/>
      <c r="H54" s="2339"/>
      <c r="I54" s="1668"/>
      <c r="J54" s="2307">
        <v>3</v>
      </c>
      <c r="K54" s="3285" t="s">
        <v>1360</v>
      </c>
      <c r="L54" s="3285"/>
      <c r="M54" s="2309">
        <f t="shared" ca="1" si="0"/>
        <v>1558</v>
      </c>
      <c r="N54" s="2307" t="str">
        <f t="shared" si="0"/>
        <v>增值额×税（费）率</v>
      </c>
      <c r="O54" s="2311" t="str">
        <f t="shared" si="0"/>
        <v>免征</v>
      </c>
    </row>
    <row r="55" spans="1:35" ht="24" customHeight="1">
      <c r="A55" s="3345" t="s">
        <v>1361</v>
      </c>
      <c r="B55" s="3323"/>
      <c r="C55" s="3323"/>
      <c r="D55" s="12">
        <f ca="1">IF(H55="个人住宅",0,ROUND(D45*I55,0))</f>
        <v>1</v>
      </c>
      <c r="E55" s="1256" t="s">
        <v>1362</v>
      </c>
      <c r="F55" s="2337" t="str">
        <f>IF(H55="正常",I55,"免征")</f>
        <v>免征</v>
      </c>
      <c r="G55" s="2338"/>
      <c r="H55" s="2334"/>
      <c r="I55" s="157">
        <f>'数据-取费表'!B49</f>
        <v>5.0000000000000001E-4</v>
      </c>
      <c r="J55" s="2307">
        <f>IF(H59="非个人房产","",4)</f>
        <v>4</v>
      </c>
      <c r="K55" s="3285" t="str">
        <f>IF(H59="非个人房产","——","个人所得税")</f>
        <v>个人所得税</v>
      </c>
      <c r="L55" s="3285"/>
      <c r="M55" s="2312">
        <f ca="1">D59</f>
        <v>26</v>
      </c>
      <c r="N55" s="1882" t="str">
        <f>E59</f>
        <v>差额计税</v>
      </c>
      <c r="O55" s="2313">
        <f>F59</f>
        <v>0.01</v>
      </c>
    </row>
    <row r="56" spans="1:35" ht="25.2">
      <c r="A56" s="3345" t="s">
        <v>1363</v>
      </c>
      <c r="B56" s="3323"/>
      <c r="C56" s="3323"/>
      <c r="D56" s="12">
        <f ca="1">IF(H56="个人住宅",D57,D58)</f>
        <v>1558</v>
      </c>
      <c r="E56" s="1256" t="s">
        <v>1364</v>
      </c>
      <c r="F56" s="2337" t="str">
        <f>IF(H56="正常",F58,"免征")</f>
        <v>免征</v>
      </c>
      <c r="G56" s="2340" t="s">
        <v>1365</v>
      </c>
      <c r="H56" s="2341"/>
      <c r="I56" s="1669"/>
      <c r="J56" s="2307" t="str">
        <f>IF(项目基本情况!K6="上海银行",IF(J55="",4,J55+1),"")</f>
        <v/>
      </c>
      <c r="K56" s="3266" t="str">
        <f>IF(项目基本情况!K6="上海银行","其他处置费用","")</f>
        <v/>
      </c>
      <c r="L56" s="3267"/>
      <c r="M56" s="2309" t="str">
        <f>IF(项目基本情况!K6="上海银行",M69,"")</f>
        <v/>
      </c>
      <c r="N56" s="3266" t="str">
        <f>IF(项目基本情况!K6="上海银行","包含处置中涉及的律师、诉讼、拍卖、评估等费用","")</f>
        <v/>
      </c>
      <c r="O56" s="3269"/>
    </row>
    <row r="57" spans="1:35" ht="13.2">
      <c r="A57" s="2151" t="s">
        <v>1341</v>
      </c>
      <c r="B57" s="3309" t="s">
        <v>1366</v>
      </c>
      <c r="C57" s="3310"/>
      <c r="D57" s="1477">
        <v>0</v>
      </c>
      <c r="E57" s="316" t="s">
        <v>1343</v>
      </c>
      <c r="F57" s="294"/>
      <c r="G57" s="2338"/>
      <c r="H57" s="2342"/>
      <c r="I57" s="1669"/>
      <c r="J57" s="3285">
        <f>IF(AND(J55="",J56=""),4,IF(项目基本情况!K6="上海银行",结果表!J56+1,结果表!J55+1))</f>
        <v>5</v>
      </c>
      <c r="K57" s="3285" t="s">
        <v>1367</v>
      </c>
      <c r="L57" s="2314" t="s">
        <v>1368</v>
      </c>
      <c r="M57" s="2315"/>
      <c r="N57" s="2316">
        <f ca="1">SUMIF(M52:M56,"&lt;9e307")</f>
        <v>1585</v>
      </c>
      <c r="O57" s="2317"/>
      <c r="P57" s="2461">
        <f ca="1">N57/M49</f>
        <v>0.57580627682607877</v>
      </c>
    </row>
    <row r="58" spans="1:35" ht="25.2">
      <c r="A58" s="2151" t="s">
        <v>1352</v>
      </c>
      <c r="B58" s="3309" t="s">
        <v>1369</v>
      </c>
      <c r="C58" s="3308"/>
      <c r="D58" s="12">
        <f ca="1">IF(H58="转让取得",C81,C97)</f>
        <v>1558</v>
      </c>
      <c r="E58" s="1256" t="s">
        <v>1364</v>
      </c>
      <c r="F58" s="294" t="s">
        <v>28</v>
      </c>
      <c r="G58" s="2338"/>
      <c r="H58" s="2341"/>
      <c r="I58" s="1669"/>
      <c r="J58" s="3285"/>
      <c r="K58" s="3285"/>
      <c r="L58" s="2314" t="s">
        <v>1370</v>
      </c>
      <c r="M58" s="2318"/>
      <c r="N58" s="2319" t="str">
        <f ca="1">NUMBERSTRING(INT(N57*10000),2)&amp;"元整"</f>
        <v>壹仟伍佰捌拾伍万元整</v>
      </c>
      <c r="O58" s="2320"/>
    </row>
    <row r="59" spans="1:35" ht="24.6" thickBot="1">
      <c r="A59" s="3289" t="s">
        <v>1371</v>
      </c>
      <c r="B59" s="3290"/>
      <c r="C59" s="3290"/>
      <c r="D59" s="2343">
        <f ca="1">IF(H59="非个人房产","——",IF(H59="个人住宅（满五唯一有凭证）",0,IF(H59="个人其他（无凭证）",ROUND(D45*F59,0),ROUND(C67*F59,0))))</f>
        <v>26</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287">
        <f>J57+1</f>
        <v>6</v>
      </c>
      <c r="K59" s="3285" t="s">
        <v>1372</v>
      </c>
      <c r="L59" s="2307" t="s">
        <v>1368</v>
      </c>
      <c r="M59" s="2321"/>
      <c r="N59" s="2322">
        <f ca="1">M49-N57</f>
        <v>1167.6619000000001</v>
      </c>
      <c r="O59" s="2323"/>
    </row>
    <row r="60" spans="1:35" ht="12" customHeight="1">
      <c r="A60" s="1670"/>
      <c r="B60" s="646"/>
      <c r="C60" s="646"/>
      <c r="D60" s="646"/>
      <c r="E60" s="1465"/>
      <c r="F60" s="1669"/>
      <c r="G60" s="1669"/>
      <c r="H60" s="151"/>
      <c r="I60" s="121"/>
      <c r="J60" s="3288"/>
      <c r="K60" s="3285"/>
      <c r="L60" s="2314" t="s">
        <v>1370</v>
      </c>
      <c r="M60" s="2318"/>
      <c r="N60" s="2319" t="str">
        <f ca="1">NUMBERSTRING(INT(N59*10000),2)&amp;"元整"</f>
        <v>壹仟壹佰陆拾柒万陆仟陆佰壹拾玖元整</v>
      </c>
      <c r="O60" s="2320"/>
    </row>
    <row r="61" spans="1:35" ht="13.8" thickBot="1">
      <c r="A61" s="3344" t="s">
        <v>1373</v>
      </c>
      <c r="B61" s="3344"/>
      <c r="C61" s="3344"/>
      <c r="D61" s="3344"/>
      <c r="E61" s="3344"/>
      <c r="F61" s="1669"/>
      <c r="G61" s="1669"/>
      <c r="H61" s="151"/>
      <c r="I61" s="121"/>
      <c r="J61" s="2307">
        <f>J59+1</f>
        <v>7</v>
      </c>
      <c r="K61" s="3285" t="s">
        <v>1374</v>
      </c>
      <c r="L61" s="3285"/>
      <c r="M61" s="2324"/>
      <c r="N61" s="2325">
        <f ca="1">ROUND(N59*10000/'数据-汇总表'!E3,0)</f>
        <v>15384</v>
      </c>
      <c r="O61" s="2326"/>
    </row>
    <row r="62" spans="1:35" ht="13.2">
      <c r="A62" s="3304" t="s">
        <v>1375</v>
      </c>
      <c r="B62" s="3305"/>
      <c r="C62" s="1864"/>
      <c r="D62" s="1864" t="s">
        <v>1376</v>
      </c>
      <c r="E62" s="158" t="s">
        <v>1377</v>
      </c>
      <c r="F62" s="1669"/>
      <c r="G62" s="1669"/>
      <c r="H62" s="151"/>
      <c r="I62" s="121"/>
    </row>
    <row r="63" spans="1:35" ht="13.2">
      <c r="A63" s="165" t="s">
        <v>330</v>
      </c>
      <c r="B63" s="159" t="s">
        <v>1378</v>
      </c>
      <c r="C63" s="2347">
        <f ca="1">ROUND((C64+C65)/(1+'数据-取费表'!C42),0)</f>
        <v>2622</v>
      </c>
      <c r="D63" s="159"/>
      <c r="E63" s="160"/>
      <c r="F63" s="1669"/>
      <c r="G63" s="1669"/>
      <c r="H63" s="151"/>
      <c r="I63" s="121"/>
      <c r="J63" s="3268" t="s">
        <v>1379</v>
      </c>
      <c r="K63" s="1245" t="s">
        <v>1380</v>
      </c>
      <c r="L63" s="1245">
        <f ca="1">IF(M49&gt;10000,M49*0.5%,IF(AND(M49&gt;1000,M49&lt;=10000),M49*1%,IF(AND(M49&gt;100,M49&lt;=1000),M49*3%,IF(AND(M49&gt;10,M49&lt;=100),M49*5%,M49*8%))))</f>
        <v>27.526619</v>
      </c>
      <c r="M63" s="294">
        <f ca="1">ROUND(L63,1)</f>
        <v>27.5</v>
      </c>
      <c r="N63" s="2327"/>
      <c r="Z63" s="1622"/>
      <c r="AI63" s="1560"/>
    </row>
    <row r="64" spans="1:35" ht="14.25" customHeight="1">
      <c r="A64" s="161" t="s">
        <v>325</v>
      </c>
      <c r="B64" s="162" t="s">
        <v>1381</v>
      </c>
      <c r="C64" s="2348">
        <f ca="1">D45</f>
        <v>2753</v>
      </c>
      <c r="D64" s="162" t="s">
        <v>26</v>
      </c>
      <c r="E64" s="164"/>
      <c r="F64" s="1669"/>
      <c r="G64" s="1669"/>
      <c r="H64" s="151"/>
      <c r="I64" s="121"/>
      <c r="J64" s="3268"/>
      <c r="K64" s="1245" t="s">
        <v>1382</v>
      </c>
      <c r="L64" s="1245">
        <f ca="1">IF(M49&gt;2000,M49*0.5%,IF(AND(M49&gt;1000,M49&lt;=2000),M49*0.6%,IF(AND(M49&gt;500,M49&lt;=1000),M49*0.7%,IF(AND(M49&gt;200,M49&lt;=500),M49*0.8%,IF(AND(M49&gt;100,M49&lt;=200),M49*0.9%,IF(AND(M49&gt;50,M49&lt;=100),M49*1%,IF(AND(M49&gt;20,M49&lt;=50),M49*1.5%,IF(AND(M49&gt;10,M49&lt;=20),M49*2%,IF(AND(M49&gt;1,M49&lt;=10),M49*2.5%)))))))))</f>
        <v>13.7633095</v>
      </c>
      <c r="M64" s="294">
        <f t="shared" ref="M64:M65" ca="1" si="1">ROUND(L64,1)</f>
        <v>13.8</v>
      </c>
      <c r="N64" s="2328" t="s">
        <v>1383</v>
      </c>
      <c r="Z64" s="1622"/>
      <c r="AI64" s="1560"/>
    </row>
    <row r="65" spans="1:35" ht="14.25" customHeight="1">
      <c r="A65" s="161" t="s">
        <v>326</v>
      </c>
      <c r="B65" s="162" t="s">
        <v>1384</v>
      </c>
      <c r="C65" s="2349"/>
      <c r="D65" s="162"/>
      <c r="E65" s="164"/>
      <c r="F65" s="1669"/>
      <c r="G65" s="1669"/>
      <c r="H65" s="151"/>
      <c r="I65" s="121"/>
      <c r="J65" s="3268"/>
      <c r="K65" s="1245" t="s">
        <v>1385</v>
      </c>
      <c r="L65" s="1245">
        <f ca="1">IF(M49&gt;1000,M49*0.1%,IF(AND(M49&gt;500,M49&lt;=1000),M49*0.5%,IF(AND(M49&gt;50,M49&lt;=500),M49*1%,IF(AND(M49&gt;1,M49&lt;=50),M49*1.5%))))</f>
        <v>2.7526619000000001</v>
      </c>
      <c r="M65" s="294">
        <f t="shared" ca="1" si="1"/>
        <v>2.8</v>
      </c>
      <c r="N65" s="2328" t="s">
        <v>1383</v>
      </c>
      <c r="Z65" s="1622"/>
      <c r="AI65" s="1560"/>
    </row>
    <row r="66" spans="1:35" ht="14.25" customHeight="1">
      <c r="A66" s="165" t="s">
        <v>327</v>
      </c>
      <c r="B66" s="166" t="s">
        <v>1386</v>
      </c>
      <c r="C66" s="2350"/>
      <c r="D66" s="166" t="s">
        <v>26</v>
      </c>
      <c r="E66" s="1251" t="s">
        <v>671</v>
      </c>
      <c r="F66" s="1669"/>
      <c r="G66" s="1669"/>
      <c r="H66" s="151"/>
      <c r="I66" s="121"/>
      <c r="J66" s="3268"/>
      <c r="K66" s="1245" t="s">
        <v>1387</v>
      </c>
      <c r="L66" s="1245">
        <f ca="1">M49*0.5%</f>
        <v>13.7633095</v>
      </c>
      <c r="M66" s="294">
        <f ca="1">IF(L66&gt;0.5,0.5,ROUND(L66,0))</f>
        <v>0.5</v>
      </c>
      <c r="N66" s="2328" t="s">
        <v>1388</v>
      </c>
      <c r="Z66" s="1622"/>
      <c r="AI66" s="1560"/>
    </row>
    <row r="67" spans="1:35" ht="14.25" customHeight="1">
      <c r="A67" s="165" t="s">
        <v>328</v>
      </c>
      <c r="B67" s="166" t="s">
        <v>1389</v>
      </c>
      <c r="C67" s="2351">
        <f ca="1">C63-C66</f>
        <v>2622</v>
      </c>
      <c r="D67" s="162" t="s">
        <v>26</v>
      </c>
      <c r="E67" s="164"/>
      <c r="F67" s="1669"/>
      <c r="G67" s="1669"/>
      <c r="H67" s="151"/>
      <c r="I67" s="121"/>
      <c r="J67" s="326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2"/>
      <c r="AI67" s="1560"/>
    </row>
    <row r="68" spans="1:35" ht="14.25" customHeight="1" thickBot="1">
      <c r="A68" s="168" t="s">
        <v>329</v>
      </c>
      <c r="B68" s="169" t="s">
        <v>1391</v>
      </c>
      <c r="C68" s="2352">
        <f ca="1">IF(C67&lt;=0,0,ROUND(C67*D68,0))</f>
        <v>147</v>
      </c>
      <c r="D68" s="2353">
        <f>'数据-取费表'!B41</f>
        <v>5.6000000000000001E-2</v>
      </c>
      <c r="E68" s="170"/>
      <c r="F68" s="1669"/>
      <c r="G68" s="1669"/>
      <c r="H68" s="151"/>
      <c r="I68" s="121"/>
      <c r="J68" s="3268"/>
      <c r="K68" s="1245" t="s">
        <v>1392</v>
      </c>
      <c r="L68" s="1245">
        <f ca="1">IF(M49&gt;10000,M49*0.5%,IF(AND(M49&gt;5000,M49&lt;=10000),M49*1%,IF(AND(M49&gt;1000,M49&lt;=5000),M49*2%,IF(AND(M49&gt;200,M49&lt;=1000),M49*3%,M49*5%))))</f>
        <v>55.053238</v>
      </c>
      <c r="M68" s="294">
        <f ca="1">ROUND(L68,1)</f>
        <v>55.1</v>
      </c>
      <c r="N68" s="2327"/>
      <c r="Z68" s="1622"/>
      <c r="AI68" s="1560"/>
    </row>
    <row r="69" spans="1:35" ht="16.5" customHeight="1">
      <c r="A69" s="1671"/>
      <c r="B69" s="1672"/>
      <c r="C69" s="1673"/>
      <c r="D69" s="1674"/>
      <c r="E69" s="1675"/>
      <c r="F69" s="1465"/>
      <c r="G69" s="1465"/>
      <c r="H69" s="1466"/>
      <c r="I69" s="646"/>
      <c r="J69" s="3268"/>
      <c r="K69" s="1245" t="s">
        <v>1393</v>
      </c>
      <c r="L69" s="1245"/>
      <c r="M69" s="294">
        <f ca="1">ROUND(SUM(M63:M68),0)</f>
        <v>102</v>
      </c>
      <c r="N69" s="2329">
        <f ca="1">M69/M49</f>
        <v>3.7055041158523684E-2</v>
      </c>
      <c r="Z69" s="1622"/>
      <c r="AI69" s="1560"/>
    </row>
    <row r="70" spans="1:35" s="642" customFormat="1" ht="14.4" thickBot="1">
      <c r="A70" s="3312" t="s">
        <v>1394</v>
      </c>
      <c r="B70" s="3313"/>
      <c r="C70" s="3313"/>
      <c r="D70" s="3313"/>
      <c r="E70" s="3313"/>
      <c r="F70" s="3313"/>
      <c r="G70" s="3313"/>
      <c r="H70" s="331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4" t="s">
        <v>1375</v>
      </c>
      <c r="B71" s="330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1">
        <f ca="1">ROUND(D45/(1+'数据-取费表'!C42),0)</f>
        <v>2622</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1">
        <f ca="1">C74+C78</f>
        <v>16</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09" t="s">
        <v>1402</v>
      </c>
      <c r="F76" s="3308"/>
      <c r="G76" s="3308"/>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16</v>
      </c>
      <c r="D78" s="2360">
        <f>'数据-取费表'!B43</f>
        <v>6.000000000000001E-3</v>
      </c>
      <c r="E78" s="3301" t="s">
        <v>1406</v>
      </c>
      <c r="F78" s="3302"/>
      <c r="G78" s="3302"/>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1">
        <f ca="1">C72-C73</f>
        <v>2606</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162.875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2">
        <f ca="1">ROUND(IF(C79&lt;=0,0,IF(C80&gt;=200%,C79*60%-C73*35%,IF(C80&gt;=100%,C79*50%-C73*15%,IF(C80&gt;=50%,C79*40%-C73*5%,IF(C80&lt;50%,C79*30%,0))))),0)</f>
        <v>1558</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4" t="s">
        <v>1375</v>
      </c>
      <c r="B84" s="330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1">
        <f ca="1">ROUND(D45/(1+'数据-取费表'!C42),0)</f>
        <v>2622</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1">
        <f ca="1">IF(H88="仅含出让金",C87+C90+C91+C92+C93+C94,C87+C91+C92+C93+C94)</f>
        <v>16</v>
      </c>
      <c r="D86" s="2364"/>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5"/>
      <c r="D90" s="2360"/>
      <c r="E90" s="185" t="str">
        <f>IF(H88="-","土地取得成本中已包含该笔费用"," ")</f>
        <v xml:space="preserve"> </v>
      </c>
      <c r="F90" s="2146"/>
      <c r="G90" s="3270" t="s">
        <v>2129</v>
      </c>
      <c r="H90" s="3271"/>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01" t="s">
        <v>1419</v>
      </c>
      <c r="F91" s="3302"/>
      <c r="G91" s="330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01" t="s">
        <v>1422</v>
      </c>
      <c r="F92" s="3302"/>
      <c r="G92" s="3302"/>
      <c r="H92" s="3303"/>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16</v>
      </c>
      <c r="D93" s="2360">
        <f>'数据-取费表'!B43</f>
        <v>6.000000000000001E-3</v>
      </c>
      <c r="E93" s="3301" t="s">
        <v>1406</v>
      </c>
      <c r="F93" s="3302"/>
      <c r="G93" s="3302"/>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46" t="s">
        <v>1426</v>
      </c>
      <c r="F94" s="3347"/>
      <c r="G94" s="3347"/>
      <c r="H94" s="334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1">
        <f ca="1">ROUND(C85-C86,0)</f>
        <v>2606</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162.875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2">
        <f ca="1">ROUND(IF(C95&lt;=0,0,IF(C96&gt;=200%,C95*60%-C86*35%,IF(C96&gt;=100%,C95*50%-C86*15%,IF(C96&gt;=50%,C95*40%-C86*5%,IF(C96&lt;50%,C95*30%,0))))),0)</f>
        <v>1558</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68" t="str">
        <f>C4</f>
        <v>比较法-办公</v>
      </c>
      <c r="D101" s="2369" t="str">
        <f>D4</f>
        <v>收益法 (元)</v>
      </c>
      <c r="E101" s="3264" t="s">
        <v>1431</v>
      </c>
      <c r="F101" s="3265"/>
      <c r="G101" s="1686" t="s">
        <v>1432</v>
      </c>
      <c r="H101" s="3167">
        <f ca="1">H118</f>
        <v>2752.6619000000001</v>
      </c>
      <c r="I101" s="121"/>
    </row>
    <row r="102" spans="1:35" ht="18.75" customHeight="1">
      <c r="A102" s="3296" t="s">
        <v>1433</v>
      </c>
      <c r="B102" s="2367" t="s">
        <v>1432</v>
      </c>
      <c r="C102" s="2368">
        <f ca="1">IF(D32="楼面单价",ROUND(C19,0),C19)</f>
        <v>3082</v>
      </c>
      <c r="D102" s="2369">
        <f ca="1">IF(D32="楼面单价",ROUND(D19,0),D19)</f>
        <v>1984</v>
      </c>
      <c r="E102" s="3264"/>
      <c r="F102" s="3265"/>
      <c r="G102" s="1686" t="s">
        <v>1434</v>
      </c>
      <c r="H102" s="2338">
        <f ca="1">I118</f>
        <v>36266</v>
      </c>
      <c r="I102" s="121"/>
    </row>
    <row r="103" spans="1:35" ht="42.75" customHeight="1">
      <c r="A103" s="3296"/>
      <c r="B103" s="2367" t="s">
        <v>1434</v>
      </c>
      <c r="C103" s="2370">
        <f ca="1">C20</f>
        <v>40608</v>
      </c>
      <c r="D103" s="2371">
        <f ca="1">D20</f>
        <v>26135</v>
      </c>
      <c r="E103" s="3257" t="s">
        <v>1435</v>
      </c>
      <c r="F103" s="3258"/>
      <c r="G103" s="1687" t="s">
        <v>1436</v>
      </c>
      <c r="H103" s="2378">
        <f>IF(D36="正常操作",H104+H105+H106,H105+H106)</f>
        <v>0</v>
      </c>
      <c r="I103" s="121"/>
    </row>
    <row r="104" spans="1:35" ht="18.75" customHeight="1">
      <c r="A104" s="3296" t="s">
        <v>1437</v>
      </c>
      <c r="B104" s="2372" t="s">
        <v>1432</v>
      </c>
      <c r="C104" s="2373">
        <f ca="1">H118</f>
        <v>2752.6619000000001</v>
      </c>
      <c r="D104" s="2374"/>
      <c r="E104" s="1554" t="s">
        <v>1438</v>
      </c>
      <c r="F104" s="1547"/>
      <c r="G104" s="1687" t="s">
        <v>1436</v>
      </c>
      <c r="H104" s="2379">
        <f>IF(D36="同一抵押权人同一抵押物续贷",C36&amp;"（续贷，未扣减，详见特别提示）",C36)</f>
        <v>0</v>
      </c>
      <c r="I104" s="121"/>
    </row>
    <row r="105" spans="1:35" ht="18.75" customHeight="1" thickBot="1">
      <c r="A105" s="3306"/>
      <c r="B105" s="2375" t="s">
        <v>1434</v>
      </c>
      <c r="C105" s="2376">
        <f ca="1">I118</f>
        <v>36266</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97" t="str">
        <f>IF(项目基本情况!E8="已注销","——","3.房地产抵押价值")</f>
        <v>3.房地产抵押价值</v>
      </c>
      <c r="F107" s="3265"/>
      <c r="G107" s="1686" t="s">
        <v>1432</v>
      </c>
      <c r="H107" s="2378">
        <f ca="1">IF(E107="——","——",H101-H103)</f>
        <v>2752.6619000000001</v>
      </c>
      <c r="I107" s="121"/>
    </row>
    <row r="108" spans="1:35" ht="18.75" customHeight="1">
      <c r="A108" s="121"/>
      <c r="B108" s="121"/>
      <c r="C108" s="121"/>
      <c r="D108" s="121"/>
      <c r="E108" s="3297"/>
      <c r="F108" s="3265"/>
      <c r="G108" s="1686" t="s">
        <v>1434</v>
      </c>
      <c r="H108" s="2338">
        <f ca="1">IF(H107=H101,H102,ROUND(H107*10000/'数据-汇总表'!E3,0))</f>
        <v>36266</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6" t="s">
        <v>1432</v>
      </c>
      <c r="H109" s="2381" t="str">
        <f>IF(E109="——","——",H101-H105-H106)</f>
        <v>——</v>
      </c>
      <c r="I109" s="121"/>
    </row>
    <row r="110" spans="1:35" ht="18.75" customHeight="1">
      <c r="A110" s="121"/>
      <c r="B110" s="121"/>
      <c r="C110" s="121"/>
      <c r="D110" s="121"/>
      <c r="E110" s="3297"/>
      <c r="F110" s="3265"/>
      <c r="G110" s="1686" t="s">
        <v>1434</v>
      </c>
      <c r="H110" s="2338"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6" t="s">
        <v>1432</v>
      </c>
      <c r="H111" s="2378" t="str">
        <f>IF(E111="——","——",N59)</f>
        <v>——</v>
      </c>
      <c r="I111" s="121"/>
    </row>
    <row r="112" spans="1:35" ht="18.75" customHeight="1" thickBot="1">
      <c r="A112" s="121"/>
      <c r="B112" s="121"/>
      <c r="C112" s="121"/>
      <c r="D112" s="121"/>
      <c r="E112" s="3299"/>
      <c r="F112" s="3300"/>
      <c r="G112" s="1689" t="s">
        <v>1434</v>
      </c>
      <c r="H112" s="2382"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0"/>
      <c r="F114" s="1670"/>
      <c r="G114" s="1670"/>
      <c r="H114" s="1670"/>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8" t="s">
        <v>1449</v>
      </c>
      <c r="E117" s="2148" t="s">
        <v>1450</v>
      </c>
      <c r="F117" s="2148" t="s">
        <v>1449</v>
      </c>
      <c r="G117" s="2148" t="s">
        <v>1451</v>
      </c>
      <c r="H117" s="2148" t="s">
        <v>1449</v>
      </c>
      <c r="I117" s="2148" t="s">
        <v>1451</v>
      </c>
    </row>
    <row r="118" spans="1:27" ht="24.75" customHeight="1">
      <c r="A118" s="2383" t="str">
        <f>项目基本情况!S2</f>
        <v>北京市海淀区首体南路22号楼19C、D、E房地产</v>
      </c>
      <c r="B118" s="2148">
        <f>M18</f>
        <v>759.02</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3166">
        <f ca="1">ROUND(IF(D32="总价",C32,I118*B118/10000),4)</f>
        <v>2752.6619000000001</v>
      </c>
      <c r="I118" s="2148">
        <f ca="1">ROUND(IF(D32="楼面单价",C32,H118*10000/B118),0)</f>
        <v>36266</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str">
        <f ca="1">NUMBERSTRING(INT(H118*10000),2)&amp;"元整"</f>
        <v>贰仟柒佰伍拾贰万陆仟陆佰壹拾玖元整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2752.6619000000001</v>
      </c>
      <c r="E122" s="3274"/>
      <c r="F122" s="3274"/>
      <c r="G122" s="3274"/>
      <c r="H122" s="3274"/>
      <c r="I122" s="3275"/>
      <c r="AA122" s="684"/>
    </row>
    <row r="123" spans="1:27" ht="18.75" customHeight="1">
      <c r="A123" s="3272" t="s">
        <v>1452</v>
      </c>
      <c r="B123" s="3272"/>
      <c r="C123" s="3272"/>
      <c r="D123" s="3278" t="str">
        <f ca="1">NUMBERSTRING(INT(D122*10000),2)&amp;"元整"</f>
        <v>贰仟柒佰伍拾贰万陆仟陆佰壹拾玖元整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QaD1dk/KXioCm16xdBt152BP9ryCI/ekWxBiNtADAvfyLYZ02q21TSi9YB4WExTg8FekuTcquYfQ3if8Vsle9w==" saltValue="4UCuOyDB0GI1Foy0lLQYy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389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5125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70"/>
      <c r="I9" s="1715"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759.02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759.02</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342</v>
      </c>
      <c r="D34" s="209"/>
      <c r="E34" s="212"/>
      <c r="F34" s="249">
        <f ca="1">IF('数据-取费表'!B24=0,1,IF(B1="",'数据-取费表'!N16,INDIRECT("'数据-取费表'!n"&amp;$G$1)))</f>
        <v>1</v>
      </c>
      <c r="G34" s="211" t="s">
        <v>1526</v>
      </c>
    </row>
    <row r="35" spans="1:7" ht="13.5" customHeight="1">
      <c r="A35" s="734" t="s">
        <v>351</v>
      </c>
      <c r="B35" s="207" t="s">
        <v>1527</v>
      </c>
      <c r="C35" s="212">
        <f ca="1">ROUND(C34*F35,0)</f>
        <v>24</v>
      </c>
      <c r="D35" s="212"/>
      <c r="E35" s="212"/>
      <c r="F35" s="251">
        <f>'数据-取费表'!B33</f>
        <v>7.0000000000000007E-2</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759.02</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59</v>
      </c>
      <c r="D45" s="227">
        <f ca="1">C47</f>
        <v>4.4999999999999997E-3</v>
      </c>
      <c r="E45" s="228" t="s">
        <v>1539</v>
      </c>
      <c r="F45" s="238">
        <f ca="1">F27</f>
        <v>0.15</v>
      </c>
      <c r="G45" s="239" t="s">
        <v>1548</v>
      </c>
    </row>
    <row r="46" spans="1:7" s="206" customFormat="1" ht="13.5" customHeight="1">
      <c r="A46" s="734" t="s">
        <v>346</v>
      </c>
      <c r="B46" s="240" t="s">
        <v>1549</v>
      </c>
      <c r="C46" s="241">
        <f ca="1">ROUND((C33+C39)*F27,0)</f>
        <v>59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512</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369</v>
      </c>
      <c r="D51" s="224"/>
      <c r="E51" s="224"/>
      <c r="F51" s="256"/>
      <c r="G51" s="226" t="s">
        <v>1560</v>
      </c>
    </row>
    <row r="52" spans="1:7" s="200" customFormat="1" ht="16.8" thickBot="1">
      <c r="A52" s="257" t="s">
        <v>1561</v>
      </c>
      <c r="B52" s="258"/>
      <c r="C52" s="259">
        <f ca="1">C31+C51</f>
        <v>389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北京市海淀区首体南路22号楼19C、D、E房地产抵押价值预评估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-17</v>
      </c>
      <c r="C2" s="268" t="s">
        <v>1595</v>
      </c>
      <c r="D2" s="268"/>
      <c r="E2" s="2564"/>
      <c r="F2" s="2564"/>
      <c r="G2" s="2564"/>
      <c r="H2" s="2564"/>
      <c r="I2" s="2564"/>
      <c r="J2" s="2564"/>
      <c r="K2" s="2564"/>
    </row>
    <row r="3" spans="1:33" ht="18" customHeight="1" thickBot="1">
      <c r="A3" s="195" t="s">
        <v>1464</v>
      </c>
      <c r="B3" s="196">
        <f ca="1">ROUND(B2*10000/IF(C1="",'数据-汇总表'!E3,INDIRECT("'数据-取费表'!K"&amp;$K$1)),0)</f>
        <v>-224</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7.0000000000000007E-2</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759.02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759.02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759.02</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ROUND(IF(AND(项目基本情况!B11="自然人",项目基本情况!B10="北京市"),C6*F31/(1+'数据-取费表'!C42),C32+C33+C34),2)</f>
        <v>0</v>
      </c>
      <c r="D31" s="1257" t="s">
        <v>720</v>
      </c>
      <c r="E31" s="1256" t="s">
        <v>770</v>
      </c>
      <c r="F31" s="2137" t="str">
        <f>IF(项目基本情况!B11="企业","——",IF(M47="住宅",IF(F6*F7*F8/12/(1+'数据-取费表'!F30)&gt;100000,4%,2.5%),IF(F6*F7*F8/12/(1+'数据-取费表'!F30)&gt;100000,12%,7%)))</f>
        <v>——</v>
      </c>
      <c r="G31" s="1292"/>
      <c r="H31" s="2566" t="s">
        <v>2306</v>
      </c>
      <c r="I31" s="1305"/>
      <c r="J31" s="1306"/>
      <c r="K31" s="121"/>
      <c r="L31" s="2468"/>
      <c r="M31" s="2469"/>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24</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8"/>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8"/>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70" zoomScaleNormal="70" zoomScaleSheetLayoutView="70" workbookViewId="0">
      <selection activeCell="K28" sqref="K2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 style="347" customWidth="1"/>
    <col min="6" max="6" width="12.21875" style="347" customWidth="1"/>
    <col min="7" max="7" width="16.6640625" style="347" customWidth="1"/>
    <col min="8" max="8" width="12.21875" style="347" customWidth="1"/>
    <col min="9" max="9" width="16.77734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t="s">
        <v>21</v>
      </c>
      <c r="E1" s="3128" t="s">
        <v>3418</v>
      </c>
      <c r="F1" s="1734" t="s">
        <v>3419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3082.2284</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40608</v>
      </c>
      <c r="C3" s="344" t="s">
        <v>1768</v>
      </c>
      <c r="D3" s="343">
        <f>IF(D1="",'数据-汇总表'!E3,SUMIF('数据-汇总表'!$C19:$C33,D1,'数据-汇总表'!$E19:$E33))</f>
        <v>759.02</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808"/>
      <c r="Y4" s="3364" t="s">
        <v>1775</v>
      </c>
      <c r="Z4" s="3365"/>
      <c r="AA4" s="3359" t="s">
        <v>1771</v>
      </c>
      <c r="AB4" s="3359" t="s">
        <v>1772</v>
      </c>
      <c r="AC4" s="3375" t="s">
        <v>1773</v>
      </c>
    </row>
    <row r="5" spans="1:29" ht="13.8" customHeight="1">
      <c r="A5" s="348"/>
      <c r="B5" s="349"/>
      <c r="C5" s="3368" t="s">
        <v>3424</v>
      </c>
      <c r="D5" s="3369"/>
      <c r="E5" s="3368" t="s">
        <v>3424</v>
      </c>
      <c r="F5" s="3369"/>
      <c r="G5" s="3368" t="s">
        <v>3424</v>
      </c>
      <c r="H5" s="3369"/>
      <c r="I5" s="3368" t="s">
        <v>3496</v>
      </c>
      <c r="J5" s="3369"/>
      <c r="K5" s="537"/>
      <c r="L5" s="2483"/>
      <c r="M5" s="2484"/>
      <c r="N5" s="2484"/>
      <c r="O5" s="2484"/>
      <c r="P5" s="3384"/>
      <c r="Q5" s="3385"/>
      <c r="R5" s="3366"/>
      <c r="S5" s="3367"/>
      <c r="T5" s="3366"/>
      <c r="U5" s="3367"/>
      <c r="V5" s="3391"/>
      <c r="W5" s="3391"/>
      <c r="X5" s="1265"/>
      <c r="Y5" s="3366"/>
      <c r="Z5" s="3367"/>
      <c r="AA5" s="3360"/>
      <c r="AB5" s="3360"/>
      <c r="AC5" s="3376"/>
    </row>
    <row r="6" spans="1:29" ht="15" thickBot="1">
      <c r="A6" s="350"/>
      <c r="B6" s="351"/>
      <c r="C6" s="3370" t="s">
        <v>1677</v>
      </c>
      <c r="D6" s="3371"/>
      <c r="E6" s="3372" t="s">
        <v>1677</v>
      </c>
      <c r="F6" s="3373"/>
      <c r="G6" s="3370" t="s">
        <v>1677</v>
      </c>
      <c r="H6" s="3371"/>
      <c r="I6" s="3370" t="s">
        <v>1677</v>
      </c>
      <c r="J6" s="3371"/>
      <c r="K6" s="537" t="s">
        <v>1678</v>
      </c>
      <c r="L6" s="2483"/>
      <c r="M6" s="2484"/>
      <c r="N6" s="2484"/>
      <c r="O6" s="2484"/>
      <c r="P6" s="3386"/>
      <c r="Q6" s="3387"/>
      <c r="R6" s="3366"/>
      <c r="S6" s="3367"/>
      <c r="T6" s="3388"/>
      <c r="U6" s="3389"/>
      <c r="V6" s="3391"/>
      <c r="W6" s="3391"/>
      <c r="X6" s="1265"/>
      <c r="Y6" s="3388"/>
      <c r="Z6" s="3389"/>
      <c r="AA6" s="3361"/>
      <c r="AB6" s="3361"/>
      <c r="AC6" s="3377"/>
    </row>
    <row r="7" spans="1:29" s="102" customFormat="1" ht="15" thickBot="1">
      <c r="A7" s="352" t="s">
        <v>1679</v>
      </c>
      <c r="B7" s="353"/>
      <c r="C7" s="354">
        <f>'数据-取费表'!B2</f>
        <v>45694</v>
      </c>
      <c r="D7" s="355">
        <v>100</v>
      </c>
      <c r="E7" s="356">
        <f>C7</f>
        <v>45694</v>
      </c>
      <c r="F7" s="357">
        <f>SUMIF(59:59,YEAR(E7)&amp;"-"&amp;MONTH(E7),60:60)</f>
        <v>100</v>
      </c>
      <c r="G7" s="356">
        <f>C7</f>
        <v>45694</v>
      </c>
      <c r="H7" s="355">
        <f>SUMIF(59:59,YEAR(G7)&amp;"-"&amp;MONTH(G7),60:60)</f>
        <v>100</v>
      </c>
      <c r="I7" s="356">
        <f>C7</f>
        <v>45694</v>
      </c>
      <c r="J7" s="355">
        <f>SUMIF(59:59,YEAR(I7)&amp;"-"&amp;MONTH(I7),60:60)</f>
        <v>100</v>
      </c>
      <c r="K7" s="38"/>
      <c r="L7" s="2485"/>
      <c r="M7" s="2437"/>
      <c r="N7" s="2437"/>
      <c r="O7" s="2437"/>
      <c r="P7" s="3392" t="s">
        <v>1680</v>
      </c>
      <c r="Q7" s="3393"/>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802">
        <f>D7/J7</f>
        <v>1</v>
      </c>
    </row>
    <row r="8" spans="1:29" s="102" customFormat="1" ht="15" thickBot="1">
      <c r="A8" s="352" t="s">
        <v>1681</v>
      </c>
      <c r="B8" s="353"/>
      <c r="C8" s="358" t="s">
        <v>3425</v>
      </c>
      <c r="D8" s="355">
        <v>100</v>
      </c>
      <c r="E8" s="358" t="s">
        <v>3426</v>
      </c>
      <c r="F8" s="357">
        <f>SUMIF(62:62,E8,63:63)-SUMIF(62:62,C8,63:63)+100</f>
        <v>101</v>
      </c>
      <c r="G8" s="358" t="s">
        <v>3426</v>
      </c>
      <c r="H8" s="355">
        <f>SUMIF(62:62,G8,63:63)-SUMIF(62:62,C8,63:63)+100</f>
        <v>101</v>
      </c>
      <c r="I8" s="358" t="s">
        <v>3426</v>
      </c>
      <c r="J8" s="355">
        <f>SUMIF(62:62,I8,63:63)-SUMIF(62:62,C8,63:63)+100</f>
        <v>101</v>
      </c>
      <c r="K8" s="38"/>
      <c r="L8" s="2485"/>
      <c r="M8" s="2437"/>
      <c r="N8" s="2437"/>
      <c r="O8" s="2437"/>
      <c r="P8" s="3392" t="s">
        <v>1683</v>
      </c>
      <c r="Q8" s="3363"/>
      <c r="R8" s="664" t="s">
        <v>14</v>
      </c>
      <c r="S8" s="665">
        <f t="shared" si="0"/>
        <v>101</v>
      </c>
      <c r="T8" s="664" t="s">
        <v>14</v>
      </c>
      <c r="U8" s="665">
        <f t="shared" si="1"/>
        <v>101</v>
      </c>
      <c r="V8" s="664" t="s">
        <v>14</v>
      </c>
      <c r="W8" s="665">
        <f t="shared" si="2"/>
        <v>101</v>
      </c>
      <c r="X8" s="666"/>
      <c r="Y8" s="3362" t="s">
        <v>1683</v>
      </c>
      <c r="Z8" s="3363"/>
      <c r="AA8" s="50">
        <f t="shared" ref="AA8:AA47" si="3">D8/F8</f>
        <v>0.99009900990099009</v>
      </c>
      <c r="AB8" s="50">
        <f t="shared" ref="AB8:AB47" si="4">D8/H8</f>
        <v>0.99009900990099009</v>
      </c>
      <c r="AC8" s="802">
        <f t="shared" ref="AC8:AC47" si="5">D8/J8</f>
        <v>0.99009900990099009</v>
      </c>
    </row>
    <row r="9" spans="1:29" s="102" customFormat="1" ht="15" thickBot="1">
      <c r="A9" s="359" t="s">
        <v>1684</v>
      </c>
      <c r="B9" s="60" t="s">
        <v>1685</v>
      </c>
      <c r="C9" s="3152" t="s">
        <v>3438</v>
      </c>
      <c r="D9" s="59">
        <v>100</v>
      </c>
      <c r="E9" s="362" t="s">
        <v>21</v>
      </c>
      <c r="F9" s="59">
        <f>SUMIF(64:64,E9,65:65)-SUMIF(64:64,C9,65:65)+100</f>
        <v>100</v>
      </c>
      <c r="G9" s="362" t="s">
        <v>21</v>
      </c>
      <c r="H9" s="59">
        <f>SUMIF(64:64,G9,65:65)-SUMIF(64:64,C9,65:65)+100</f>
        <v>100</v>
      </c>
      <c r="I9" s="362" t="s">
        <v>21</v>
      </c>
      <c r="J9" s="59">
        <f>SUMIF(64:64,I9,65:65)-SUMIF(64:64,C9,65:65)+100</f>
        <v>100</v>
      </c>
      <c r="K9" s="38"/>
      <c r="L9" s="2485"/>
      <c r="M9" s="2437"/>
      <c r="N9" s="2437"/>
      <c r="O9" s="2437"/>
      <c r="P9" s="3374"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6"/>
      <c r="M10" s="2487"/>
      <c r="N10" s="2487"/>
      <c r="O10" s="2487"/>
      <c r="P10" s="337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4"/>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37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37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374"/>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9"/>
      <c r="M15" s="2484"/>
      <c r="N15" s="2484"/>
      <c r="O15" s="2484"/>
      <c r="P15" s="3394"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1">
        <f t="shared" si="5"/>
        <v>1</v>
      </c>
    </row>
    <row r="16" spans="1:29" ht="15">
      <c r="A16" s="367"/>
      <c r="B16" s="555"/>
      <c r="C16" s="1757" t="s">
        <v>3439</v>
      </c>
      <c r="D16" s="387"/>
      <c r="E16" s="1757" t="s">
        <v>3439</v>
      </c>
      <c r="F16" s="387"/>
      <c r="G16" s="1757" t="s">
        <v>3439</v>
      </c>
      <c r="H16" s="389"/>
      <c r="I16" s="1757" t="s">
        <v>3439</v>
      </c>
      <c r="J16" s="387"/>
      <c r="K16" s="541"/>
      <c r="L16" s="2489"/>
      <c r="M16" s="2484"/>
      <c r="N16" s="2484"/>
      <c r="O16" s="2484"/>
      <c r="P16" s="3395"/>
      <c r="Q16" s="1263"/>
      <c r="R16" s="667"/>
      <c r="S16" s="668"/>
      <c r="T16" s="667"/>
      <c r="U16" s="668"/>
      <c r="V16" s="667"/>
      <c r="W16" s="668"/>
      <c r="X16" s="1265"/>
      <c r="Y16" s="3397"/>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1">
        <f t="shared" si="5"/>
        <v>1</v>
      </c>
    </row>
    <row r="18" spans="1:29" ht="15">
      <c r="A18" s="367"/>
      <c r="B18" s="401"/>
      <c r="C18" s="1757" t="s">
        <v>3439</v>
      </c>
      <c r="D18" s="389"/>
      <c r="E18" s="1757" t="s">
        <v>3439</v>
      </c>
      <c r="F18" s="389"/>
      <c r="G18" s="1757" t="s">
        <v>3439</v>
      </c>
      <c r="H18" s="387"/>
      <c r="I18" s="1757" t="s">
        <v>3439</v>
      </c>
      <c r="J18" s="387"/>
      <c r="K18" s="541"/>
      <c r="L18" s="2489"/>
      <c r="M18" s="2484"/>
      <c r="N18" s="2484"/>
      <c r="O18" s="2484"/>
      <c r="P18" s="3395"/>
      <c r="Q18" s="1263"/>
      <c r="R18" s="667"/>
      <c r="S18" s="668"/>
      <c r="T18" s="667"/>
      <c r="U18" s="668"/>
      <c r="V18" s="667"/>
      <c r="W18" s="668"/>
      <c r="X18" s="1265"/>
      <c r="Y18" s="3397"/>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1">
        <f t="shared" si="5"/>
        <v>1</v>
      </c>
    </row>
    <row r="20" spans="1:29" ht="15">
      <c r="A20" s="367"/>
      <c r="B20" s="401"/>
      <c r="C20" s="1757" t="s">
        <v>3439</v>
      </c>
      <c r="D20" s="387"/>
      <c r="E20" s="1757" t="s">
        <v>3439</v>
      </c>
      <c r="F20" s="387"/>
      <c r="G20" s="1757" t="s">
        <v>3439</v>
      </c>
      <c r="H20" s="387"/>
      <c r="I20" s="1757" t="s">
        <v>3439</v>
      </c>
      <c r="J20" s="387"/>
      <c r="K20" s="541"/>
      <c r="L20" s="2489"/>
      <c r="M20" s="2484"/>
      <c r="N20" s="2484"/>
      <c r="O20" s="2484"/>
      <c r="P20" s="3395"/>
      <c r="Q20" s="1263"/>
      <c r="R20" s="667"/>
      <c r="S20" s="668"/>
      <c r="T20" s="667"/>
      <c r="U20" s="668"/>
      <c r="V20" s="667"/>
      <c r="W20" s="668"/>
      <c r="X20" s="1265"/>
      <c r="Y20" s="3397"/>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89"/>
      <c r="M21" s="2484"/>
      <c r="N21" s="2484"/>
      <c r="O21" s="2484"/>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1">
        <f t="shared" ref="AC21" si="10">D21/J21</f>
        <v>1</v>
      </c>
    </row>
    <row r="22" spans="1:29" ht="15">
      <c r="A22" s="367"/>
      <c r="B22" s="557"/>
      <c r="C22" s="1813" t="s">
        <v>3440</v>
      </c>
      <c r="D22" s="387"/>
      <c r="E22" s="1813" t="s">
        <v>3440</v>
      </c>
      <c r="F22" s="387"/>
      <c r="G22" s="1813" t="s">
        <v>3440</v>
      </c>
      <c r="H22" s="387"/>
      <c r="I22" s="1813" t="s">
        <v>3440</v>
      </c>
      <c r="J22" s="387"/>
      <c r="K22" s="1064"/>
      <c r="L22" s="2489"/>
      <c r="M22" s="2484"/>
      <c r="N22" s="2484"/>
      <c r="O22" s="2484"/>
      <c r="P22" s="3395"/>
      <c r="Q22" s="1263"/>
      <c r="R22" s="667"/>
      <c r="S22" s="668"/>
      <c r="T22" s="667"/>
      <c r="U22" s="668"/>
      <c r="V22" s="667"/>
      <c r="W22" s="668"/>
      <c r="X22" s="1265"/>
      <c r="Y22" s="3397"/>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1</v>
      </c>
      <c r="L23" s="2489"/>
      <c r="M23" s="2484"/>
      <c r="N23" s="2484"/>
      <c r="O23" s="2484"/>
      <c r="P23" s="3395"/>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1">
        <f t="shared" si="5"/>
        <v>1</v>
      </c>
    </row>
    <row r="24" spans="1:29" ht="15">
      <c r="A24" s="367"/>
      <c r="B24" s="557"/>
      <c r="C24" s="1757" t="s">
        <v>3439</v>
      </c>
      <c r="D24" s="387"/>
      <c r="E24" s="1757" t="s">
        <v>3439</v>
      </c>
      <c r="F24" s="387"/>
      <c r="G24" s="1757" t="s">
        <v>3439</v>
      </c>
      <c r="H24" s="387"/>
      <c r="I24" s="1757" t="s">
        <v>3439</v>
      </c>
      <c r="J24" s="387"/>
      <c r="K24" s="541"/>
      <c r="L24" s="2489"/>
      <c r="M24" s="2484"/>
      <c r="N24" s="2484"/>
      <c r="O24" s="2484"/>
      <c r="P24" s="3395"/>
      <c r="Q24" s="1263"/>
      <c r="R24" s="667"/>
      <c r="S24" s="668"/>
      <c r="T24" s="667"/>
      <c r="U24" s="668"/>
      <c r="V24" s="667"/>
      <c r="W24" s="668"/>
      <c r="X24" s="1265"/>
      <c r="Y24" s="3397"/>
      <c r="Z24" s="1264"/>
      <c r="AA24" s="1264">
        <v>1</v>
      </c>
      <c r="AB24" s="1264">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9"/>
      <c r="M25" s="2484"/>
      <c r="N25" s="2484"/>
      <c r="O25" s="2484"/>
      <c r="P25" s="3395"/>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89"/>
      <c r="M26" s="2484"/>
      <c r="N26" s="2484"/>
      <c r="O26" s="2484"/>
      <c r="P26" s="3395"/>
      <c r="Q26" s="1263"/>
      <c r="R26" s="667"/>
      <c r="S26" s="668"/>
      <c r="T26" s="667"/>
      <c r="U26" s="668"/>
      <c r="V26" s="667"/>
      <c r="W26" s="668"/>
      <c r="X26" s="1265"/>
      <c r="Y26" s="3397"/>
      <c r="Z26" s="1264"/>
      <c r="AA26" s="1264">
        <v>1</v>
      </c>
      <c r="AB26" s="1264">
        <v>1</v>
      </c>
      <c r="AC26" s="1811">
        <v>1</v>
      </c>
    </row>
    <row r="27" spans="1:29" ht="15">
      <c r="A27" s="367"/>
      <c r="B27" s="401" t="s">
        <v>1783</v>
      </c>
      <c r="C27" s="558" t="s">
        <v>3441</v>
      </c>
      <c r="D27" s="374">
        <v>100</v>
      </c>
      <c r="E27" s="542" t="s">
        <v>3441</v>
      </c>
      <c r="F27" s="374">
        <f>SUMIF(89:89,E27,90:90)-SUMIF(89:89,C27,90:90)+100</f>
        <v>100</v>
      </c>
      <c r="G27" s="558" t="s">
        <v>3443</v>
      </c>
      <c r="H27" s="374">
        <f>SUMIF(89:89,G27,90:90)-SUMIF(89:89,C27,90:90)+100</f>
        <v>96</v>
      </c>
      <c r="I27" s="542" t="s">
        <v>3441</v>
      </c>
      <c r="J27" s="374">
        <f>SUMIF(89:89,I27,90:90)-SUMIF(89:89,C27,90:90)+100</f>
        <v>100</v>
      </c>
      <c r="K27" s="3163">
        <v>4</v>
      </c>
      <c r="L27" s="2489"/>
      <c r="M27" s="2484"/>
      <c r="N27" s="2484"/>
      <c r="O27" s="2484"/>
      <c r="P27" s="3395"/>
      <c r="Q27" s="1263" t="str">
        <f t="shared" ref="Q27:Q47" si="11">B27</f>
        <v>楼层</v>
      </c>
      <c r="R27" s="667" t="s">
        <v>14</v>
      </c>
      <c r="S27" s="668">
        <f>F27</f>
        <v>100</v>
      </c>
      <c r="T27" s="667" t="s">
        <v>14</v>
      </c>
      <c r="U27" s="668">
        <f>H27</f>
        <v>96</v>
      </c>
      <c r="V27" s="667" t="s">
        <v>14</v>
      </c>
      <c r="W27" s="668">
        <f>J27</f>
        <v>100</v>
      </c>
      <c r="X27" s="1265"/>
      <c r="Y27" s="3397"/>
      <c r="Z27" s="1264" t="str">
        <f>Q27</f>
        <v>楼层</v>
      </c>
      <c r="AA27" s="1264">
        <f t="shared" si="3"/>
        <v>1</v>
      </c>
      <c r="AB27" s="1264">
        <f t="shared" si="4"/>
        <v>1.0416666666666667</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395"/>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395"/>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1">
        <f t="shared" si="5"/>
        <v>1</v>
      </c>
    </row>
    <row r="33" spans="1:29" ht="15">
      <c r="A33" s="379" t="s">
        <v>1694</v>
      </c>
      <c r="B33" s="60" t="s">
        <v>1817</v>
      </c>
      <c r="C33" s="1763" t="s">
        <v>3451</v>
      </c>
      <c r="D33" s="405">
        <v>100</v>
      </c>
      <c r="E33" s="1763" t="s">
        <v>3451</v>
      </c>
      <c r="F33" s="400">
        <f>SUMIF(101:101,E33,102:102)-SUMIF(101:101,C33,102:102)+100</f>
        <v>100</v>
      </c>
      <c r="G33" s="1763" t="s">
        <v>3451</v>
      </c>
      <c r="H33" s="374">
        <f>SUMIF(101:101,G33,102:102)-SUMIF(101:101,C33,102:102)+100</f>
        <v>100</v>
      </c>
      <c r="I33" s="1763" t="s">
        <v>3451</v>
      </c>
      <c r="J33" s="405">
        <f>SUMIF(101:101,I33,102:102)-SUMIF(101:101,C33,102:102)+100</f>
        <v>100</v>
      </c>
      <c r="K33" s="538">
        <v>2</v>
      </c>
      <c r="L33" s="2489"/>
      <c r="M33" s="2484"/>
      <c r="N33" s="2484"/>
      <c r="O33" s="2484"/>
      <c r="P33" s="3398" t="s">
        <v>1696</v>
      </c>
      <c r="Q33" s="1263" t="str">
        <f t="shared" si="11"/>
        <v>建筑类型</v>
      </c>
      <c r="R33" s="667" t="s">
        <v>14</v>
      </c>
      <c r="S33" s="668">
        <f t="shared" si="12"/>
        <v>100</v>
      </c>
      <c r="T33" s="667" t="s">
        <v>14</v>
      </c>
      <c r="U33" s="668">
        <f t="shared" si="13"/>
        <v>100</v>
      </c>
      <c r="V33" s="667" t="s">
        <v>14</v>
      </c>
      <c r="W33" s="668">
        <f t="shared" si="14"/>
        <v>100</v>
      </c>
      <c r="X33" s="1265"/>
      <c r="Y33" s="3401" t="s">
        <v>1696</v>
      </c>
      <c r="Z33" s="1264" t="str">
        <f t="shared" si="15"/>
        <v>建筑类型</v>
      </c>
      <c r="AA33" s="1264">
        <f t="shared" si="3"/>
        <v>1</v>
      </c>
      <c r="AB33" s="1264">
        <f t="shared" si="4"/>
        <v>1</v>
      </c>
      <c r="AC33" s="1811">
        <f t="shared" si="5"/>
        <v>1</v>
      </c>
    </row>
    <row r="34" spans="1:29" s="408" customFormat="1" ht="15">
      <c r="A34" s="406"/>
      <c r="B34" s="364" t="s">
        <v>1697</v>
      </c>
      <c r="C34" s="407">
        <f>'数据-汇总表'!E19</f>
        <v>759.02</v>
      </c>
      <c r="D34" s="119">
        <v>100</v>
      </c>
      <c r="E34" s="369">
        <v>234.07</v>
      </c>
      <c r="F34" s="364">
        <f>LOOKUP(E34,104:104,105:105)-LOOKUP(C34,104:104,105:105)+100</f>
        <v>101</v>
      </c>
      <c r="G34" s="368">
        <v>1200</v>
      </c>
      <c r="H34" s="119">
        <f>LOOKUP(G34,104:104,105:105)-LOOKUP(C34,104:104,105:105)+100</f>
        <v>99</v>
      </c>
      <c r="I34" s="368">
        <v>147.03</v>
      </c>
      <c r="J34" s="119">
        <f>LOOKUP(I34,104:104,105:105)-LOOKUP(C34,104:104,105:105)+100</f>
        <v>101</v>
      </c>
      <c r="K34" s="539"/>
      <c r="L34" s="2488"/>
      <c r="M34" s="2490"/>
      <c r="N34" s="2490"/>
      <c r="O34" s="2490"/>
      <c r="P34" s="3399"/>
      <c r="Q34" s="531" t="str">
        <f t="shared" si="11"/>
        <v>项目建筑规模</v>
      </c>
      <c r="R34" s="669" t="s">
        <v>14</v>
      </c>
      <c r="S34" s="670">
        <f t="shared" si="12"/>
        <v>101</v>
      </c>
      <c r="T34" s="669" t="s">
        <v>14</v>
      </c>
      <c r="U34" s="670">
        <f t="shared" si="13"/>
        <v>99</v>
      </c>
      <c r="V34" s="669" t="s">
        <v>14</v>
      </c>
      <c r="W34" s="670">
        <f t="shared" si="14"/>
        <v>101</v>
      </c>
      <c r="X34" s="671"/>
      <c r="Y34" s="3401"/>
      <c r="Z34" s="672" t="str">
        <f t="shared" si="15"/>
        <v>项目建筑规模</v>
      </c>
      <c r="AA34" s="1264">
        <f t="shared" si="3"/>
        <v>0.99009900990099009</v>
      </c>
      <c r="AB34" s="1264">
        <f t="shared" si="4"/>
        <v>1.0101010101010102</v>
      </c>
      <c r="AC34" s="1811">
        <f t="shared" si="5"/>
        <v>0.99009900990099009</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89"/>
      <c r="M35" s="2484"/>
      <c r="N35" s="2484"/>
      <c r="O35" s="2484"/>
      <c r="P35" s="3399"/>
      <c r="Q35" s="1263" t="str">
        <f t="shared" si="11"/>
        <v>建筑结构</v>
      </c>
      <c r="R35" s="667" t="s">
        <v>14</v>
      </c>
      <c r="S35" s="668">
        <f t="shared" si="12"/>
        <v>100</v>
      </c>
      <c r="T35" s="667" t="s">
        <v>14</v>
      </c>
      <c r="U35" s="668">
        <f t="shared" si="13"/>
        <v>100</v>
      </c>
      <c r="V35" s="667" t="s">
        <v>14</v>
      </c>
      <c r="W35" s="668">
        <f t="shared" si="14"/>
        <v>100</v>
      </c>
      <c r="X35" s="1265"/>
      <c r="Y35" s="3401"/>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9"/>
      <c r="M36" s="2484"/>
      <c r="N36" s="2484"/>
      <c r="O36" s="2484"/>
      <c r="P36" s="3399"/>
      <c r="Q36" s="1263" t="str">
        <f t="shared" si="11"/>
        <v>公共部分装修</v>
      </c>
      <c r="R36" s="667" t="s">
        <v>14</v>
      </c>
      <c r="S36" s="668">
        <f t="shared" si="12"/>
        <v>100</v>
      </c>
      <c r="T36" s="667" t="s">
        <v>14</v>
      </c>
      <c r="U36" s="668">
        <f t="shared" si="13"/>
        <v>100</v>
      </c>
      <c r="V36" s="667" t="s">
        <v>14</v>
      </c>
      <c r="W36" s="668">
        <f t="shared" si="14"/>
        <v>100</v>
      </c>
      <c r="X36" s="1265"/>
      <c r="Y36" s="3401"/>
      <c r="Z36" s="1264" t="str">
        <f t="shared" si="15"/>
        <v>公共部分装修</v>
      </c>
      <c r="AA36" s="1264">
        <f t="shared" si="3"/>
        <v>1</v>
      </c>
      <c r="AB36" s="1264">
        <f t="shared" si="4"/>
        <v>1</v>
      </c>
      <c r="AC36" s="1811">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v>0.7</v>
      </c>
      <c r="J37" s="374">
        <f>LOOKUP(I37,111:111,112:112)-LOOKUP(C37,111:111,112:112)+100</f>
        <v>100</v>
      </c>
      <c r="K37" s="538">
        <v>1</v>
      </c>
      <c r="L37" s="2489"/>
      <c r="M37" s="2484"/>
      <c r="N37" s="2484"/>
      <c r="O37" s="2484"/>
      <c r="P37" s="3399"/>
      <c r="Q37" s="1263" t="str">
        <f t="shared" si="11"/>
        <v>成新度</v>
      </c>
      <c r="R37" s="667" t="s">
        <v>14</v>
      </c>
      <c r="S37" s="668">
        <f t="shared" si="12"/>
        <v>100</v>
      </c>
      <c r="T37" s="667" t="s">
        <v>14</v>
      </c>
      <c r="U37" s="668">
        <f t="shared" si="13"/>
        <v>100</v>
      </c>
      <c r="V37" s="667" t="s">
        <v>14</v>
      </c>
      <c r="W37" s="668">
        <f t="shared" si="14"/>
        <v>100</v>
      </c>
      <c r="X37" s="1265"/>
      <c r="Y37" s="3401"/>
      <c r="Z37" s="1264" t="str">
        <f t="shared" si="15"/>
        <v>成新度</v>
      </c>
      <c r="AA37" s="1264">
        <f t="shared" si="3"/>
        <v>1</v>
      </c>
      <c r="AB37" s="1264">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5"/>
      <c r="M38" s="2437"/>
      <c r="N38" s="2437"/>
      <c r="O38" s="2437"/>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t="s">
        <v>3465</v>
      </c>
      <c r="D39" s="374">
        <v>100</v>
      </c>
      <c r="E39" s="399" t="s">
        <v>3465</v>
      </c>
      <c r="F39" s="400">
        <f>SUMIF(115:115,E39,116:116)-SUMIF(115:115,C39,116:116)+100</f>
        <v>100</v>
      </c>
      <c r="G39" s="399" t="s">
        <v>3465</v>
      </c>
      <c r="H39" s="374">
        <f>SUMIF(115:115,G39,116:116)-SUMIF(115:115,C39,116:116)+100</f>
        <v>100</v>
      </c>
      <c r="I39" s="399" t="s">
        <v>3465</v>
      </c>
      <c r="J39" s="374">
        <f>SUMIF(115:115,I39,116:116)-SUMIF(115:115,C39,116:116)+100</f>
        <v>100</v>
      </c>
      <c r="K39" s="538">
        <v>2</v>
      </c>
      <c r="L39" s="2489"/>
      <c r="M39" s="2484"/>
      <c r="N39" s="2484"/>
      <c r="O39" s="2484"/>
      <c r="P39" s="3399" t="s">
        <v>1696</v>
      </c>
      <c r="Q39" s="1263" t="str">
        <f t="shared" si="11"/>
        <v>物业管理</v>
      </c>
      <c r="R39" s="667" t="s">
        <v>14</v>
      </c>
      <c r="S39" s="668">
        <f t="shared" si="12"/>
        <v>100</v>
      </c>
      <c r="T39" s="667" t="s">
        <v>14</v>
      </c>
      <c r="U39" s="668">
        <f t="shared" si="13"/>
        <v>100</v>
      </c>
      <c r="V39" s="667" t="s">
        <v>14</v>
      </c>
      <c r="W39" s="668">
        <f t="shared" si="14"/>
        <v>100</v>
      </c>
      <c r="X39" s="1265"/>
      <c r="Y39" s="3401" t="s">
        <v>1696</v>
      </c>
      <c r="Z39" s="1264" t="str">
        <f t="shared" si="15"/>
        <v>物业管理</v>
      </c>
      <c r="AA39" s="1264">
        <f t="shared" si="3"/>
        <v>1</v>
      </c>
      <c r="AB39" s="1264">
        <f t="shared" si="4"/>
        <v>1</v>
      </c>
      <c r="AC39" s="1811">
        <f t="shared" si="5"/>
        <v>1</v>
      </c>
    </row>
    <row r="40" spans="1:29" ht="15">
      <c r="A40" s="409"/>
      <c r="B40" s="364" t="s">
        <v>1787</v>
      </c>
      <c r="C40" s="3168" t="s">
        <v>3505</v>
      </c>
      <c r="D40" s="374">
        <v>100</v>
      </c>
      <c r="E40" s="399" t="s">
        <v>3504</v>
      </c>
      <c r="F40" s="400">
        <f>SUMIF(117:117,E40,118:118)-SUMIF(117:117,C40,118:118)+100</f>
        <v>100</v>
      </c>
      <c r="G40" s="399" t="s">
        <v>3504</v>
      </c>
      <c r="H40" s="374">
        <f>SUMIF(117:117,G40,118:118)-SUMIF(117:117,C40,118:118)+100</f>
        <v>100</v>
      </c>
      <c r="I40" s="399" t="s">
        <v>3504</v>
      </c>
      <c r="J40" s="374">
        <f>SUMIF(117:117,I40,118:118)-SUMIF(117:117,C40,118:118)+100</f>
        <v>100</v>
      </c>
      <c r="K40" s="538">
        <v>1</v>
      </c>
      <c r="L40" s="2489"/>
      <c r="M40" s="2484"/>
      <c r="N40" s="2484"/>
      <c r="O40" s="2484"/>
      <c r="P40" s="3399"/>
      <c r="Q40" s="1263" t="str">
        <f t="shared" si="11"/>
        <v>市政基础设施</v>
      </c>
      <c r="R40" s="667" t="s">
        <v>14</v>
      </c>
      <c r="S40" s="668">
        <f t="shared" si="12"/>
        <v>100</v>
      </c>
      <c r="T40" s="667" t="s">
        <v>14</v>
      </c>
      <c r="U40" s="668">
        <f t="shared" si="13"/>
        <v>100</v>
      </c>
      <c r="V40" s="667" t="s">
        <v>14</v>
      </c>
      <c r="W40" s="668">
        <f t="shared" si="14"/>
        <v>100</v>
      </c>
      <c r="X40" s="1265"/>
      <c r="Y40" s="3401"/>
      <c r="Z40" s="1264" t="str">
        <f t="shared" si="15"/>
        <v>市政基础设施</v>
      </c>
      <c r="AA40" s="1264">
        <f t="shared" si="3"/>
        <v>1</v>
      </c>
      <c r="AB40" s="1264">
        <f t="shared" si="4"/>
        <v>1</v>
      </c>
      <c r="AC40" s="1811">
        <f t="shared" si="5"/>
        <v>1</v>
      </c>
    </row>
    <row r="41" spans="1:29" ht="15">
      <c r="A41" s="409"/>
      <c r="B41" s="364" t="s">
        <v>1789</v>
      </c>
      <c r="C41" s="542" t="s">
        <v>3472</v>
      </c>
      <c r="D41" s="374">
        <v>100</v>
      </c>
      <c r="E41" s="542" t="s">
        <v>3472</v>
      </c>
      <c r="F41" s="400">
        <f>SUMIF(119:119,E41,120:120)-SUMIF(119:119,C41,120:120)+100</f>
        <v>100</v>
      </c>
      <c r="G41" s="542" t="s">
        <v>3472</v>
      </c>
      <c r="H41" s="374">
        <f>SUMIF(119:119,G41,120:120)-SUMIF(119:119,C41,120:120)+100</f>
        <v>100</v>
      </c>
      <c r="I41" s="542" t="s">
        <v>3472</v>
      </c>
      <c r="J41" s="374">
        <f>SUMIF(119:119,I41,120:120)-SUMIF(119:119,C41,120:120)+100</f>
        <v>100</v>
      </c>
      <c r="K41" s="538">
        <v>5</v>
      </c>
      <c r="L41" s="2489"/>
      <c r="M41" s="2484"/>
      <c r="N41" s="2484"/>
      <c r="O41" s="2484"/>
      <c r="P41" s="3399"/>
      <c r="Q41" s="1263" t="str">
        <f t="shared" si="11"/>
        <v>层高</v>
      </c>
      <c r="R41" s="667" t="s">
        <v>14</v>
      </c>
      <c r="S41" s="668">
        <f t="shared" si="12"/>
        <v>100</v>
      </c>
      <c r="T41" s="667" t="s">
        <v>14</v>
      </c>
      <c r="U41" s="668">
        <f t="shared" si="13"/>
        <v>100</v>
      </c>
      <c r="V41" s="667" t="s">
        <v>14</v>
      </c>
      <c r="W41" s="668">
        <f t="shared" si="14"/>
        <v>100</v>
      </c>
      <c r="X41" s="1265"/>
      <c r="Y41" s="3401"/>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4">
        <f t="shared" si="3"/>
        <v>1</v>
      </c>
      <c r="AB42" s="1264">
        <f t="shared" si="4"/>
        <v>1</v>
      </c>
      <c r="AC42" s="1811">
        <f t="shared" si="5"/>
        <v>1</v>
      </c>
    </row>
    <row r="43" spans="1:29" ht="15">
      <c r="A43" s="409"/>
      <c r="B43" s="364" t="s">
        <v>1792</v>
      </c>
      <c r="C43" s="399" t="s">
        <v>3457</v>
      </c>
      <c r="D43" s="374">
        <v>100</v>
      </c>
      <c r="E43" s="399" t="s">
        <v>3455</v>
      </c>
      <c r="F43" s="400">
        <f>SUMIF(123:123,E43,124:124)-SUMIF(123:123,C43,124:124)+100</f>
        <v>101</v>
      </c>
      <c r="G43" s="399" t="s">
        <v>3455</v>
      </c>
      <c r="H43" s="374">
        <f>SUMIF(123:123,G43,124:124)-SUMIF(123:123,C43,124:124)+100</f>
        <v>101</v>
      </c>
      <c r="I43" s="399" t="s">
        <v>3455</v>
      </c>
      <c r="J43" s="374">
        <f>SUMIF(123:123,I43,124:124)-SUMIF(123:123,C43,124:124)+100</f>
        <v>101</v>
      </c>
      <c r="K43" s="3163">
        <v>1</v>
      </c>
      <c r="L43" s="2489"/>
      <c r="M43" s="2484"/>
      <c r="N43" s="2484"/>
      <c r="O43" s="2484"/>
      <c r="P43" s="3399"/>
      <c r="Q43" s="1263" t="str">
        <f t="shared" si="11"/>
        <v>内部装修</v>
      </c>
      <c r="R43" s="667" t="s">
        <v>14</v>
      </c>
      <c r="S43" s="668">
        <f t="shared" si="12"/>
        <v>101</v>
      </c>
      <c r="T43" s="667" t="s">
        <v>14</v>
      </c>
      <c r="U43" s="668">
        <f t="shared" si="13"/>
        <v>101</v>
      </c>
      <c r="V43" s="667" t="s">
        <v>14</v>
      </c>
      <c r="W43" s="668">
        <f t="shared" si="14"/>
        <v>101</v>
      </c>
      <c r="X43" s="1265"/>
      <c r="Y43" s="3401"/>
      <c r="Z43" s="1264" t="str">
        <f t="shared" si="15"/>
        <v>内部装修</v>
      </c>
      <c r="AA43" s="1264">
        <f t="shared" si="3"/>
        <v>0.99009900990099009</v>
      </c>
      <c r="AB43" s="1264">
        <f t="shared" si="4"/>
        <v>0.99009900990099009</v>
      </c>
      <c r="AC43" s="1811">
        <f t="shared" si="5"/>
        <v>0.99009900990099009</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89"/>
      <c r="M44" s="2484"/>
      <c r="N44" s="2484"/>
      <c r="O44" s="2484"/>
      <c r="P44" s="3399"/>
      <c r="Q44" s="1263" t="str">
        <f t="shared" si="11"/>
        <v>内部装修维护情况</v>
      </c>
      <c r="R44" s="667" t="s">
        <v>14</v>
      </c>
      <c r="S44" s="668">
        <f t="shared" si="12"/>
        <v>100</v>
      </c>
      <c r="T44" s="667" t="s">
        <v>14</v>
      </c>
      <c r="U44" s="668">
        <f t="shared" si="13"/>
        <v>100</v>
      </c>
      <c r="V44" s="667" t="s">
        <v>14</v>
      </c>
      <c r="W44" s="668">
        <f t="shared" si="14"/>
        <v>100</v>
      </c>
      <c r="X44" s="1265"/>
      <c r="Y44" s="3401"/>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0"/>
      <c r="Q47" s="1263">
        <f t="shared" si="11"/>
        <v>111</v>
      </c>
      <c r="R47" s="667" t="s">
        <v>14</v>
      </c>
      <c r="S47" s="668">
        <f t="shared" si="12"/>
        <v>100</v>
      </c>
      <c r="T47" s="667" t="s">
        <v>14</v>
      </c>
      <c r="U47" s="668">
        <f t="shared" si="13"/>
        <v>100</v>
      </c>
      <c r="V47" s="667" t="s">
        <v>14</v>
      </c>
      <c r="W47" s="668">
        <f t="shared" si="14"/>
        <v>100</v>
      </c>
      <c r="X47" s="1265"/>
      <c r="Y47" s="3402"/>
      <c r="Z47" s="1264">
        <f t="shared" si="15"/>
        <v>111</v>
      </c>
      <c r="AA47" s="1264">
        <f t="shared" si="3"/>
        <v>1</v>
      </c>
      <c r="AB47" s="1264">
        <f t="shared" si="4"/>
        <v>1</v>
      </c>
      <c r="AC47" s="1811">
        <f t="shared" si="5"/>
        <v>1</v>
      </c>
    </row>
    <row r="48" spans="1:29" ht="14.4">
      <c r="A48" s="416" t="s">
        <v>1708</v>
      </c>
      <c r="B48" s="417"/>
      <c r="C48" s="1081" t="s">
        <v>0</v>
      </c>
      <c r="D48" s="418"/>
      <c r="E48" s="419">
        <v>40159</v>
      </c>
      <c r="F48" s="420"/>
      <c r="G48" s="421">
        <v>40000</v>
      </c>
      <c r="H48" s="422"/>
      <c r="I48" s="419">
        <v>42849</v>
      </c>
      <c r="J48" s="422"/>
      <c r="K48" s="674"/>
      <c r="L48" s="2491"/>
      <c r="M48" s="2484"/>
      <c r="N48" s="2484"/>
      <c r="O48" s="2484"/>
      <c r="P48" s="3374" t="str">
        <f>A48</f>
        <v>成交单价（元/平方米）</v>
      </c>
      <c r="Q48" s="3403"/>
      <c r="R48" s="3391">
        <f>E48</f>
        <v>40159</v>
      </c>
      <c r="S48" s="3391"/>
      <c r="T48" s="3391">
        <f>G48</f>
        <v>40000</v>
      </c>
      <c r="U48" s="3391"/>
      <c r="V48" s="3391">
        <f>I48</f>
        <v>42849</v>
      </c>
      <c r="W48" s="3391"/>
      <c r="X48" s="385"/>
      <c r="Y48" s="673"/>
      <c r="Z48" s="385"/>
      <c r="AA48" s="385"/>
      <c r="AB48" s="385"/>
      <c r="AC48" s="555"/>
    </row>
    <row r="49" spans="1:29" ht="15" thickBot="1">
      <c r="A49" s="423" t="s">
        <v>1793</v>
      </c>
      <c r="B49" s="424"/>
      <c r="C49" s="1082">
        <f>R50</f>
        <v>40608</v>
      </c>
      <c r="D49" s="2139" t="s">
        <v>2138</v>
      </c>
      <c r="E49" s="1083">
        <f>R49</f>
        <v>38978</v>
      </c>
      <c r="F49" s="2140"/>
      <c r="G49" s="1082">
        <f>T49</f>
        <v>41258</v>
      </c>
      <c r="H49" s="2140"/>
      <c r="I49" s="1083">
        <f>V49</f>
        <v>41589</v>
      </c>
      <c r="J49" s="2140"/>
      <c r="K49" s="2142">
        <f>F49+H49+J49</f>
        <v>0</v>
      </c>
      <c r="L49" s="2491"/>
      <c r="M49" s="2484"/>
      <c r="N49" s="2484"/>
      <c r="O49" s="2484"/>
      <c r="P49" s="3374" t="str">
        <f>A49</f>
        <v>比较价值（元/平方米）</v>
      </c>
      <c r="Q49" s="3403"/>
      <c r="R49" s="3391">
        <f>IF(F1="售价",ROUND(PRODUCT(R48,AA7:AA47),0),ROUND(PRODUCT(R48,AA7:AA47),1))</f>
        <v>38978</v>
      </c>
      <c r="S49" s="3391"/>
      <c r="T49" s="3391">
        <f>IF(F1="售价",ROUND(PRODUCT(T48,AB7:AB47),0),ROUND(PRODUCT(T48,AB7:AB47),1))</f>
        <v>41258</v>
      </c>
      <c r="U49" s="3391"/>
      <c r="V49" s="3391">
        <f>IF(F1="售价",ROUND(PRODUCT(V48,AC7:AC47),0),ROUND(PRODUCT(V48,AC7:AC47),1))</f>
        <v>41589</v>
      </c>
      <c r="W49" s="3391"/>
      <c r="X49" s="385"/>
      <c r="Y49" s="385"/>
      <c r="Z49" s="385"/>
      <c r="AA49" s="385"/>
      <c r="AB49" s="385"/>
      <c r="AC49" s="555"/>
    </row>
    <row r="50" spans="1:29" ht="15" thickBot="1">
      <c r="A50" s="427" t="s">
        <v>1794</v>
      </c>
      <c r="B50" s="428"/>
      <c r="C50" s="351">
        <f>R50</f>
        <v>40608</v>
      </c>
      <c r="D50" s="351"/>
      <c r="E50" s="351"/>
      <c r="F50" s="351"/>
      <c r="G50" s="351"/>
      <c r="H50" s="351"/>
      <c r="I50" s="351"/>
      <c r="J50" s="429"/>
      <c r="K50" s="675"/>
      <c r="L50" s="2491"/>
      <c r="M50" s="2484"/>
      <c r="N50" s="2484"/>
      <c r="O50" s="2484"/>
      <c r="P50" s="3404" t="str">
        <f>A50</f>
        <v>估价对象XX用房的比较价值（楼面单价，元/平方米）</v>
      </c>
      <c r="Q50" s="3405"/>
      <c r="R50" s="3406">
        <f>IF(F1="售价",ROUND(IF(D49="简单平均",AVERAGE(R49:V49),R49*F49+T49*H49+V49*J49),0),ROUND(IF(D49="简单平均",AVERAGE(R49:V49),R49*F49+T49*H49+V49*J49),1))</f>
        <v>40608</v>
      </c>
      <c r="S50" s="3406"/>
      <c r="T50" s="3406"/>
      <c r="U50" s="3406"/>
      <c r="V50" s="3406"/>
      <c r="W50" s="3406"/>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f>IF(E48&lt;E49,E49/E48-1,E48/E49-1)</f>
        <v>3.0299143106367721E-2</v>
      </c>
      <c r="F53" s="435" t="str">
        <f>IF(OR(E53&gt;=0.3,E53&lt;=-0.3),"超过30%","")</f>
        <v/>
      </c>
      <c r="G53" s="434">
        <f>IF(G48&lt;G49,G49/G48-1,G48/G49-1)</f>
        <v>3.1449999999999978E-2</v>
      </c>
      <c r="H53" s="435" t="str">
        <f>IF(OR(G53&gt;=0.3,G53&lt;=-0.3),"超过30%","")</f>
        <v/>
      </c>
      <c r="I53" s="434">
        <f>IF(I48&lt;I49,I49/I48-1,I48/I49-1)</f>
        <v>3.0296472624973037E-2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f>IF(E49&lt;G49,G49/E49-1,E49/G49-1)</f>
        <v>5.8494535378931678E-2</v>
      </c>
      <c r="F54" s="435" t="str">
        <f>IF(OR(E54&gt;=0.2,E54&lt;=-0.2),"超过20%","")</f>
        <v/>
      </c>
      <c r="G54" s="434">
        <f>IF(G49&lt;I49,I49/G49-1,G49/I49-1)</f>
        <v>8.0226865092829502E-3</v>
      </c>
      <c r="H54" s="435" t="str">
        <f>IF(OR(G54&gt;=0.2,G54&lt;=-0.2),"超过20%","")</f>
        <v/>
      </c>
      <c r="I54" s="434">
        <f>IF(I49&lt;E49,E49/I49-1,I49/E49-1)</f>
        <v>6.6986505208066038E-2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f>IF(E48&lt;G48,G48/E48-1,E48/G48-1)</f>
        <v>3.9750000000000618E-3</v>
      </c>
      <c r="F55" s="435" t="str">
        <f>IF(OR(E55&gt;=0.3,E55&lt;=-0.3),"超过30%","")</f>
        <v/>
      </c>
      <c r="G55" s="434">
        <f>IF(G48&lt;I48,I48/G48-1,G48/I48-1)</f>
        <v>7.1225000000000094E-2</v>
      </c>
      <c r="H55" s="435" t="str">
        <f>IF(OR(G55&gt;=0.3,G55&lt;=-0.3),"超过30%","")</f>
        <v/>
      </c>
      <c r="I55" s="434">
        <f>IF(I48&lt;E48,E48/I48-1,I48/E48-1)</f>
        <v>6.6983739634951078E-2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51" t="s">
        <v>3427</v>
      </c>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3164">
        <v>101</v>
      </c>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3428</v>
      </c>
      <c r="D66" s="513" t="s">
        <v>3429</v>
      </c>
      <c r="E66" s="513" t="s">
        <v>3430</v>
      </c>
      <c r="F66" s="513" t="s">
        <v>3431</v>
      </c>
      <c r="G66" s="513" t="s">
        <v>3432</v>
      </c>
      <c r="H66" s="513" t="s">
        <v>3433</v>
      </c>
      <c r="I66" s="513" t="s">
        <v>3434</v>
      </c>
      <c r="J66" s="513" t="s">
        <v>3435</v>
      </c>
      <c r="K66" s="514" t="s">
        <v>3436</v>
      </c>
      <c r="L66" s="515" t="s">
        <v>3437</v>
      </c>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98</v>
      </c>
      <c r="E84" s="475">
        <f>D84-$K21</f>
        <v>96</v>
      </c>
      <c r="F84" s="475">
        <f>E84-$K21</f>
        <v>94</v>
      </c>
      <c r="G84" s="475">
        <f>F84-$K21</f>
        <v>92</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99</v>
      </c>
      <c r="E86" s="475">
        <f>D86-$K23</f>
        <v>98</v>
      </c>
      <c r="F86" s="475">
        <f>E86-$K23</f>
        <v>97</v>
      </c>
      <c r="G86" s="475">
        <f>F86-$K23</f>
        <v>96</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3154" t="s">
        <v>3447</v>
      </c>
      <c r="D87" s="3153" t="s">
        <v>3448</v>
      </c>
      <c r="E87" s="3153" t="s">
        <v>3449</v>
      </c>
      <c r="F87" s="3153" t="s">
        <v>3450</v>
      </c>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70"/>
      <c r="B89" s="469" t="str">
        <f>B27</f>
        <v>楼层</v>
      </c>
      <c r="C89" s="3153" t="s">
        <v>3442</v>
      </c>
      <c r="D89" s="3153" t="s">
        <v>3444</v>
      </c>
      <c r="E89" s="3153" t="s">
        <v>3446</v>
      </c>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55" t="s">
        <v>3452</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700(含)-1000</v>
      </c>
      <c r="H103" s="509" t="str">
        <f t="shared" si="24"/>
        <v>1000(含)-1500</v>
      </c>
      <c r="I103" s="509" t="str">
        <f t="shared" si="24"/>
        <v>1500(含)-</v>
      </c>
      <c r="J103" s="509" t="str">
        <f t="shared" si="24"/>
        <v>(含)-</v>
      </c>
      <c r="K103" s="509" t="str">
        <f t="shared" si="24"/>
        <v>(含)-</v>
      </c>
      <c r="L103" s="509" t="str">
        <f t="shared" si="24"/>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100</v>
      </c>
      <c r="E104" s="6">
        <v>300</v>
      </c>
      <c r="F104" s="6">
        <v>500</v>
      </c>
      <c r="G104" s="6">
        <v>700</v>
      </c>
      <c r="H104" s="6">
        <v>1000</v>
      </c>
      <c r="I104" s="6">
        <v>1500</v>
      </c>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67">
        <f>D105-1</f>
        <v>98</v>
      </c>
      <c r="D105" s="467">
        <f>E105-1</f>
        <v>99</v>
      </c>
      <c r="E105" s="467">
        <v>100</v>
      </c>
      <c r="F105" s="467">
        <f t="shared" ref="F105:I105" si="25">E105-1</f>
        <v>99</v>
      </c>
      <c r="G105" s="467">
        <f t="shared" si="25"/>
        <v>98</v>
      </c>
      <c r="H105" s="467">
        <f t="shared" si="25"/>
        <v>97</v>
      </c>
      <c r="I105" s="467">
        <f t="shared" si="25"/>
        <v>96</v>
      </c>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53" t="s">
        <v>3454</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53" t="s">
        <v>3456</v>
      </c>
      <c r="D108" s="3153" t="s">
        <v>3458</v>
      </c>
      <c r="E108" s="3153" t="s">
        <v>3459</v>
      </c>
      <c r="F108" s="3156" t="s">
        <v>3460</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3153" t="s">
        <v>3461</v>
      </c>
      <c r="D113" s="3153" t="s">
        <v>3462</v>
      </c>
      <c r="E113" s="3153" t="s">
        <v>3463</v>
      </c>
      <c r="F113" s="3153" t="s">
        <v>3464</v>
      </c>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53" t="s">
        <v>3466</v>
      </c>
      <c r="D115" s="3153" t="s">
        <v>3467</v>
      </c>
      <c r="E115" s="3156" t="s">
        <v>3468</v>
      </c>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53" t="s">
        <v>3469</v>
      </c>
      <c r="D117" s="3153" t="s">
        <v>3471</v>
      </c>
      <c r="E117" s="3153" t="s">
        <v>3470</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156" t="s">
        <v>3473</v>
      </c>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53" t="s">
        <v>3456</v>
      </c>
      <c r="D123" s="3153" t="s">
        <v>3458</v>
      </c>
      <c r="E123" s="3153" t="s">
        <v>3459</v>
      </c>
      <c r="F123" s="3156" t="s">
        <v>3460</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24.41</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1983.7304999999999</v>
      </c>
      <c r="C2" s="1289" t="s">
        <v>879</v>
      </c>
      <c r="D2" s="1375">
        <f ca="1">C40+J29+L46</f>
        <v>19837305</v>
      </c>
      <c r="E2" s="1295" t="s">
        <v>880</v>
      </c>
      <c r="F2" s="1296"/>
      <c r="G2" s="2475"/>
      <c r="H2" s="2465"/>
      <c r="I2" s="2465"/>
      <c r="J2" s="2465"/>
      <c r="K2" s="2466"/>
      <c r="L2" s="2465"/>
      <c r="M2" s="2465"/>
    </row>
    <row r="3" spans="1:37" ht="18" customHeight="1" thickBot="1">
      <c r="A3" s="1297" t="s">
        <v>881</v>
      </c>
      <c r="B3" s="1298">
        <f ca="1">IF(ISERROR(D2/F43),0,ROUND(D2/F43,0))</f>
        <v>26135</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1497898</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1496028</v>
      </c>
      <c r="D6" s="147" t="s">
        <v>2106</v>
      </c>
      <c r="E6" s="294" t="s">
        <v>696</v>
      </c>
      <c r="F6" s="295">
        <f ca="1">INDIRECT("'数据-取费表'!u"&amp;$G$1)</f>
        <v>6</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759.02</v>
      </c>
      <c r="G7" s="1292"/>
      <c r="H7" s="296"/>
      <c r="I7" s="3357"/>
      <c r="J7" s="298"/>
      <c r="K7" s="299"/>
      <c r="L7" s="294" t="s">
        <v>697</v>
      </c>
      <c r="M7" s="295">
        <f ca="1">F7</f>
        <v>759.02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1870</v>
      </c>
      <c r="D10" s="150" t="s">
        <v>2116</v>
      </c>
      <c r="E10" s="305" t="s">
        <v>701</v>
      </c>
      <c r="F10" s="1053" t="s">
        <v>3477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3687823</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3415590</v>
      </c>
      <c r="D14" s="1257" t="s">
        <v>708</v>
      </c>
      <c r="E14" s="1255"/>
      <c r="F14" s="311"/>
      <c r="G14" s="1292"/>
      <c r="H14" s="928" t="s">
        <v>398</v>
      </c>
      <c r="I14" s="294" t="s">
        <v>709</v>
      </c>
      <c r="J14" s="21">
        <f ca="1">C29</f>
        <v>5121977</v>
      </c>
      <c r="K14" s="12"/>
      <c r="L14" s="759"/>
      <c r="M14" s="760"/>
    </row>
    <row r="15" spans="1:37" s="1304" customFormat="1" ht="18" customHeight="1" thickBot="1">
      <c r="A15" s="928" t="s">
        <v>399</v>
      </c>
      <c r="B15" s="294" t="s">
        <v>710</v>
      </c>
      <c r="C15" s="21">
        <f ca="1">ROUND(C14*F15,0)</f>
        <v>239091</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20488</v>
      </c>
      <c r="K16" s="1024" t="s">
        <v>715</v>
      </c>
      <c r="L16" s="1025"/>
      <c r="M16" s="1009"/>
    </row>
    <row r="17" spans="1:37" s="1304" customFormat="1" ht="18" customHeight="1">
      <c r="A17" s="928" t="s">
        <v>681</v>
      </c>
      <c r="B17" s="294" t="s">
        <v>716</v>
      </c>
      <c r="C17" s="21">
        <f ca="1">ROUND(F17*(F43+INDIRECT("'数据-取费表'!S"&amp;$G$1)),0)</f>
        <v>151804</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68312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3874797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77496</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20488</v>
      </c>
      <c r="K22" s="1256" t="s">
        <v>739</v>
      </c>
      <c r="L22" s="294" t="s">
        <v>712</v>
      </c>
      <c r="M22" s="320">
        <f ca="1">INDIRECT("'数据-取费表'!Ak"&amp;$G$1)</f>
        <v>4.0000000000000001E-3</v>
      </c>
    </row>
    <row r="23" spans="1:37" s="1304" customFormat="1" ht="18" customHeight="1">
      <c r="A23" s="928" t="s">
        <v>397</v>
      </c>
      <c r="B23" s="294" t="s">
        <v>740</v>
      </c>
      <c r="C23" s="21">
        <f ca="1">IF('数据-取费表'!B22&lt;=1,ROUND(C19*F24*F23/2,0)+ROUND(C20*F24*F23/2,0),ROUND(C19*(POWER((1+F24),F23/2)-1),0)+ROUND(C20*(POWER((1+F24),F23/2)-1),0))</f>
        <v>122521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-20488</v>
      </c>
      <c r="K25" s="1032" t="s">
        <v>753</v>
      </c>
      <c r="L25" s="1033"/>
      <c r="M25" s="1034"/>
    </row>
    <row r="26" spans="1:37" ht="18" customHeight="1">
      <c r="A26" s="928" t="s">
        <v>397</v>
      </c>
      <c r="B26" s="294" t="s">
        <v>754</v>
      </c>
      <c r="C26" s="21">
        <f ca="1">ROUND((C19+C20)*F26,0)</f>
        <v>592844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5121977</v>
      </c>
      <c r="D29" s="1029"/>
      <c r="E29" s="1027"/>
      <c r="F29" s="1030"/>
      <c r="G29" s="1303"/>
      <c r="H29" s="325" t="s">
        <v>396</v>
      </c>
      <c r="I29" s="326" t="s">
        <v>768</v>
      </c>
      <c r="J29" s="327">
        <f ca="1">ROUND(J26/(1+F40)^F41,0)</f>
        <v>0</v>
      </c>
      <c r="K29" s="328" t="s">
        <v>769</v>
      </c>
      <c r="L29" s="329"/>
      <c r="M29" s="330">
        <f ca="1">INDIRECT("'数据-取费表'!k"&amp;$G$1)</f>
        <v>759.02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282428</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ROUND(IF(AND(项目基本情况!B11="自然人",项目基本情况!B10="北京市"),C6*F31/(1+'数据-取费表'!C42),C32+C33+C34),0)</f>
        <v>250763</v>
      </c>
      <c r="D31" s="1257" t="s">
        <v>720</v>
      </c>
      <c r="E31" s="1256" t="s">
        <v>770</v>
      </c>
      <c r="F31" s="2137" t="str">
        <f>IF(项目基本情况!B11="企业","——",IF(M47="住宅",IF(F6*F7*F8/12/(1+'数据-取费表'!F30)&gt;100000,4%,2.5%),IF(F6*F7*F8/12/(1+'数据-取费表'!F30)&gt;100000,12%,7%)))</f>
        <v>——</v>
      </c>
      <c r="G31" s="1292"/>
      <c r="H31" s="2566" t="s">
        <v>2306</v>
      </c>
      <c r="I31" s="1305"/>
      <c r="J31" s="1306"/>
      <c r="K31" s="121"/>
      <c r="L31" s="2468"/>
      <c r="M31" s="2469"/>
    </row>
    <row r="32" spans="1:37" ht="18" customHeight="1">
      <c r="A32" s="928" t="s">
        <v>397</v>
      </c>
      <c r="B32" s="294" t="s">
        <v>723</v>
      </c>
      <c r="C32" s="21">
        <f ca="1">IF(项目基本情况!B11="自然人","——",ROUND(C6*F32/(1+'数据-取费表'!C42),0))</f>
        <v>79788</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170975</v>
      </c>
      <c r="D33" s="1278" t="s">
        <v>3336</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24</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20488</v>
      </c>
      <c r="D36" s="1256" t="s">
        <v>771</v>
      </c>
      <c r="E36" s="294" t="s">
        <v>712</v>
      </c>
      <c r="F36" s="320">
        <f ca="1">INDIRECT("'数据-取费表'!Ak"&amp;$G$1)</f>
        <v>4.0000000000000001E-3</v>
      </c>
      <c r="G36" s="1292"/>
      <c r="H36" s="2470"/>
      <c r="I36" s="1305">
        <f ca="1">C39/C5</f>
        <v>0.81145044589150928</v>
      </c>
      <c r="J36" s="1306"/>
      <c r="K36" s="2328"/>
      <c r="L36" s="2470"/>
      <c r="M36" s="2470"/>
    </row>
    <row r="37" spans="1:18" ht="18" customHeight="1">
      <c r="A37" s="928" t="s">
        <v>437</v>
      </c>
      <c r="B37" s="294" t="s">
        <v>742</v>
      </c>
      <c r="C37" s="21">
        <f ca="1">ROUND(C13*F37,0)</f>
        <v>3688</v>
      </c>
      <c r="D37" s="1256" t="s">
        <v>743</v>
      </c>
      <c r="E37" s="294" t="s">
        <v>744</v>
      </c>
      <c r="F37" s="321">
        <f ca="1">INDIRECT("'数据-取费表'!Al"&amp;$G$1)</f>
        <v>1E-3</v>
      </c>
      <c r="G37" s="1292"/>
      <c r="H37" s="2470"/>
      <c r="I37" s="1305"/>
      <c r="J37" s="1306"/>
      <c r="K37" s="2328"/>
      <c r="L37" s="2470"/>
      <c r="M37" s="2470"/>
    </row>
    <row r="38" spans="1:18" ht="18" customHeight="1" thickBot="1">
      <c r="A38" s="1026" t="s">
        <v>684</v>
      </c>
      <c r="B38" s="1027" t="s">
        <v>728</v>
      </c>
      <c r="C38" s="1028">
        <f ca="1">ROUND(C5*F38,0)</f>
        <v>7489</v>
      </c>
      <c r="D38" s="1029" t="s">
        <v>748</v>
      </c>
      <c r="E38" s="1027" t="s">
        <v>744</v>
      </c>
      <c r="F38" s="1023">
        <f ca="1">INDIRECT("'数据-取费表'!Am"&amp;$G$1)</f>
        <v>5.0000000000000001E-3</v>
      </c>
      <c r="G38" s="1292"/>
      <c r="H38" s="2470"/>
      <c r="I38" s="1305"/>
      <c r="J38" s="1306"/>
      <c r="K38" s="2468"/>
      <c r="L38" s="2470"/>
      <c r="M38" s="2470"/>
    </row>
    <row r="39" spans="1:18" ht="24.6" customHeight="1" thickTop="1">
      <c r="A39" s="1016" t="s">
        <v>394</v>
      </c>
      <c r="B39" s="1031" t="s">
        <v>772</v>
      </c>
      <c r="C39" s="302">
        <f ca="1">C5-C30</f>
        <v>1215470</v>
      </c>
      <c r="D39" s="1032" t="s">
        <v>773</v>
      </c>
      <c r="E39" s="1033"/>
      <c r="F39" s="1034"/>
      <c r="G39" s="1292"/>
      <c r="H39" s="2470"/>
      <c r="I39" s="1305"/>
      <c r="J39" s="1306"/>
      <c r="K39" s="2468"/>
      <c r="L39" s="2470"/>
      <c r="M39" s="2470"/>
    </row>
    <row r="40" spans="1:18" ht="18" customHeight="1">
      <c r="A40" s="291" t="s">
        <v>395</v>
      </c>
      <c r="B40" s="292" t="s">
        <v>774</v>
      </c>
      <c r="C40" s="293">
        <f ca="1">ROUND(C39*(1-((1+F42)/(1+F40))^F41)/(F40-F42),0)</f>
        <v>19486701</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24.41</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25674</v>
      </c>
      <c r="D43" s="328" t="s">
        <v>777</v>
      </c>
      <c r="E43" s="329" t="s">
        <v>778</v>
      </c>
      <c r="F43" s="330">
        <f ca="1">INDIRECT("'数据-取费表'!k"&amp;$G$1)</f>
        <v>759.02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3352</v>
      </c>
      <c r="B45" s="1307"/>
      <c r="C45" s="1376">
        <f ca="1">ROUND((C68-C40)/10000,4)</f>
        <v>-1980.7297000000001</v>
      </c>
      <c r="D45" s="3127" t="s">
        <v>3353</v>
      </c>
      <c r="E45" s="1307"/>
      <c r="F45" s="1307"/>
      <c r="O45" s="1310" t="s">
        <v>808</v>
      </c>
      <c r="P45" s="1366"/>
      <c r="Q45" s="1366"/>
      <c r="R45" s="1366"/>
    </row>
    <row r="46" spans="1:18" s="1292" customFormat="1" ht="13.8" thickBot="1">
      <c r="A46" s="1311" t="s">
        <v>809</v>
      </c>
      <c r="C46" s="1312">
        <f ca="1">ROUND(C45,0)</f>
        <v>-1981</v>
      </c>
      <c r="D46" s="1313" t="str">
        <f>C2</f>
        <v>万元</v>
      </c>
      <c r="I46" s="1314" t="s">
        <v>810</v>
      </c>
      <c r="J46" s="1315"/>
      <c r="K46" s="1316"/>
      <c r="L46" s="1317">
        <f ca="1">IF(M47="住宅",0,IF(L48&gt;J51,L60,J60))</f>
        <v>350604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19486701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3478</v>
      </c>
      <c r="K48" s="1330" t="s">
        <v>820</v>
      </c>
      <c r="L48" s="1331">
        <f ca="1">INDIRECT("'数据-取费表'!f"&amp;$G$1)</f>
        <v>24.41</v>
      </c>
      <c r="O48" s="1325" t="s">
        <v>404</v>
      </c>
      <c r="P48" s="1326" t="s">
        <v>821</v>
      </c>
      <c r="Q48" s="1327">
        <f ca="1">J60</f>
        <v>350604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2000</v>
      </c>
      <c r="K49" s="1330" t="s">
        <v>824</v>
      </c>
      <c r="L49" s="1333"/>
      <c r="O49" s="1334" t="s">
        <v>405</v>
      </c>
      <c r="P49" s="1326" t="s">
        <v>825</v>
      </c>
      <c r="Q49" s="1327">
        <f ca="1">C29</f>
        <v>5121977</v>
      </c>
      <c r="R49" s="1327" t="s">
        <v>818</v>
      </c>
    </row>
    <row r="50" spans="1:18" s="1292" customFormat="1" ht="13.8" thickBot="1">
      <c r="A50" s="922"/>
      <c r="B50" s="925"/>
      <c r="C50" s="926"/>
      <c r="D50" s="899"/>
      <c r="E50" s="993" t="s">
        <v>697</v>
      </c>
      <c r="F50" s="994">
        <f ca="1">F7</f>
        <v>759.02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15675383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24.41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24.41</v>
      </c>
      <c r="K53" s="3354" t="s">
        <v>837</v>
      </c>
      <c r="L53" s="3355"/>
      <c r="O53" s="1325" t="s">
        <v>409</v>
      </c>
      <c r="P53" s="1326" t="s">
        <v>838</v>
      </c>
      <c r="Q53" s="1327">
        <f ca="1">Q47+Q48</f>
        <v>19837305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3687823</v>
      </c>
      <c r="D56" s="1352"/>
      <c r="E56" s="1353"/>
      <c r="F56" s="1345"/>
      <c r="I56" s="1354" t="s">
        <v>842</v>
      </c>
      <c r="J56" s="1355" t="s">
        <v>3405</v>
      </c>
      <c r="K56" s="1328" t="s">
        <v>843</v>
      </c>
      <c r="L56" s="1331" t="str">
        <f ca="1">IF(L48&lt;J51,"——",L48-J51)</f>
        <v>——</v>
      </c>
      <c r="O56" s="1325" t="s">
        <v>403</v>
      </c>
      <c r="P56" s="1326" t="s">
        <v>817</v>
      </c>
      <c r="Q56" s="1327">
        <f ca="1">C40+J29</f>
        <v>19486701</v>
      </c>
      <c r="R56" s="1327" t="s">
        <v>818</v>
      </c>
    </row>
    <row r="57" spans="1:18" s="1292" customFormat="1" ht="24.6" thickBot="1">
      <c r="A57" s="1356"/>
      <c r="B57" s="896" t="s">
        <v>767</v>
      </c>
      <c r="C57" s="230">
        <f ca="1">C29</f>
        <v>5121977</v>
      </c>
      <c r="D57" s="1357"/>
      <c r="E57" s="1358"/>
      <c r="F57" s="1359"/>
      <c r="I57" s="1360" t="s">
        <v>844</v>
      </c>
      <c r="J57" s="1361">
        <f ca="1">IF(OR(M47="住宅",J51&lt;L48,J56="是"),"——",J51-L48)</f>
        <v>10.59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24176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60" t="s">
        <v>851</v>
      </c>
      <c r="J59" s="1361">
        <f ca="1">IF(OR(M47="住宅",J51&lt;L48,J56="是"),"——",ROUND(C29*J58,0))</f>
        <v>2048791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350604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f ca="1">Q56+Q57</f>
        <v>19486701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20488</v>
      </c>
      <c r="D64" s="910" t="s">
        <v>791</v>
      </c>
      <c r="E64" s="896" t="s">
        <v>783</v>
      </c>
      <c r="F64" s="320">
        <f t="shared" ca="1" si="0"/>
        <v>4.0000000000000001E-3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3688</v>
      </c>
      <c r="D65" s="910" t="s">
        <v>743</v>
      </c>
      <c r="E65" s="896" t="s">
        <v>744</v>
      </c>
      <c r="F65" s="321">
        <f t="shared" ca="1" si="0"/>
        <v>1E-3</v>
      </c>
      <c r="I65" s="1367" t="s">
        <v>867</v>
      </c>
      <c r="J65" s="610">
        <v>40</v>
      </c>
      <c r="K65" s="610">
        <v>30</v>
      </c>
      <c r="L65" s="610">
        <v>50</v>
      </c>
      <c r="M65" s="1369">
        <v>0.02</v>
      </c>
      <c r="O65" s="1325" t="s">
        <v>403</v>
      </c>
      <c r="P65" s="1326" t="s">
        <v>868</v>
      </c>
      <c r="Q65" s="1327">
        <f ca="1">C40+J29</f>
        <v>19486701</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-24176</v>
      </c>
      <c r="D67" s="909" t="s">
        <v>753</v>
      </c>
      <c r="E67" s="914"/>
      <c r="F67" s="915"/>
      <c r="O67" s="1334" t="s">
        <v>405</v>
      </c>
      <c r="P67" s="1326" t="s">
        <v>850</v>
      </c>
      <c r="Q67" s="1370">
        <f ca="1">L51</f>
        <v>15675383</v>
      </c>
      <c r="R67" s="1327" t="s">
        <v>870</v>
      </c>
    </row>
    <row r="68" spans="1:18" s="1292" customFormat="1" ht="16.2" thickBot="1">
      <c r="A68" s="893" t="s">
        <v>395</v>
      </c>
      <c r="B68" s="894" t="s">
        <v>774</v>
      </c>
      <c r="C68" s="293">
        <f ca="1">ROUND(C67*(1-((1+F70)/(1+F68))^F69)/(F68-F70),0)</f>
        <v>-320596</v>
      </c>
      <c r="D68" s="911" t="s">
        <v>758</v>
      </c>
      <c r="E68" s="896" t="s">
        <v>759</v>
      </c>
      <c r="F68" s="304">
        <f ca="1">F40</f>
        <v>5.5E-2</v>
      </c>
      <c r="O68" s="1334" t="s">
        <v>406</v>
      </c>
      <c r="P68" s="1371" t="s">
        <v>871</v>
      </c>
      <c r="Q68" s="1327">
        <f ca="1">ROUND(Q69-Q70*Q71,0)</f>
        <v>957322</v>
      </c>
      <c r="R68" s="1327" t="s">
        <v>414</v>
      </c>
    </row>
    <row r="69" spans="1:18" s="1292" customFormat="1" ht="13.8" thickBot="1">
      <c r="A69" s="897"/>
      <c r="B69" s="898"/>
      <c r="C69" s="298"/>
      <c r="D69" s="916" t="s">
        <v>762</v>
      </c>
      <c r="E69" s="896" t="s">
        <v>763</v>
      </c>
      <c r="F69" s="324">
        <f ca="1">F41</f>
        <v>24.41</v>
      </c>
      <c r="O69" s="1334" t="s">
        <v>411</v>
      </c>
      <c r="P69" s="1371" t="s">
        <v>872</v>
      </c>
      <c r="Q69" s="1327">
        <f ca="1">C39</f>
        <v>1215470</v>
      </c>
      <c r="R69" s="1327" t="s">
        <v>818</v>
      </c>
    </row>
    <row r="70" spans="1:18" s="1292" customFormat="1" ht="13.8" thickBot="1">
      <c r="A70" s="900"/>
      <c r="B70" s="901"/>
      <c r="C70" s="302"/>
      <c r="D70" s="912"/>
      <c r="E70" s="896" t="s">
        <v>766</v>
      </c>
      <c r="F70" s="991"/>
      <c r="O70" s="1334" t="s">
        <v>412</v>
      </c>
      <c r="P70" s="1371" t="s">
        <v>873</v>
      </c>
      <c r="Q70" s="1327">
        <f ca="1">C13</f>
        <v>3687823</v>
      </c>
      <c r="R70" s="1327" t="s">
        <v>818</v>
      </c>
    </row>
    <row r="71" spans="1:18" s="1292" customFormat="1" ht="13.8" thickBot="1">
      <c r="A71" s="917" t="s">
        <v>396</v>
      </c>
      <c r="B71" s="918" t="s">
        <v>776</v>
      </c>
      <c r="C71" s="327">
        <f ca="1">ROUND(C68/F71,0)</f>
        <v>-422</v>
      </c>
      <c r="D71" s="919" t="s">
        <v>777</v>
      </c>
      <c r="E71" s="920" t="s">
        <v>778</v>
      </c>
      <c r="F71" s="330">
        <f ca="1">F43</f>
        <v>759.02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258148</v>
      </c>
      <c r="D75" s="1292"/>
      <c r="E75" s="1292"/>
      <c r="F75" s="1292"/>
      <c r="K75" s="1309"/>
      <c r="L75" s="1292"/>
      <c r="O75" s="1325" t="s">
        <v>409</v>
      </c>
      <c r="P75" s="1326" t="s">
        <v>838</v>
      </c>
      <c r="Q75" s="1327">
        <f ca="1">Q65+Q66</f>
        <v>19486701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0.78800000000000003</v>
      </c>
    </row>
    <row r="80" spans="1:18">
      <c r="B80" s="331" t="s">
        <v>800</v>
      </c>
      <c r="C80" s="266">
        <f ca="1">ROUND(C75/C39,3)</f>
        <v>0.21199999999999999</v>
      </c>
    </row>
    <row r="81" spans="2:3">
      <c r="B81" s="262" t="s">
        <v>801</v>
      </c>
      <c r="C81" s="230"/>
    </row>
    <row r="82" spans="2:3">
      <c r="B82" s="265" t="s">
        <v>802</v>
      </c>
      <c r="C82" s="267">
        <f ca="1">1-C83</f>
        <v>0.81099999999999994</v>
      </c>
    </row>
    <row r="83" spans="2:3">
      <c r="B83" s="265" t="s">
        <v>803</v>
      </c>
      <c r="C83" s="266">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2" customHeight="1">
      <c r="A2" s="1293" t="s">
        <v>2315</v>
      </c>
      <c r="B2" s="2591" t="e">
        <f>IF(D2="——",C40,C40+E2)</f>
        <v>#DIV/0!</v>
      </c>
      <c r="C2" s="2592" t="s">
        <v>2316</v>
      </c>
      <c r="D2" s="3135" t="s">
        <v>3359</v>
      </c>
      <c r="E2" s="3136"/>
      <c r="F2" s="2594"/>
      <c r="G2" s="2595"/>
      <c r="H2" s="2596"/>
      <c r="I2" s="2597"/>
      <c r="J2" s="3407" t="s">
        <v>2317</v>
      </c>
      <c r="K2" s="3408"/>
      <c r="L2" s="2598" t="s">
        <v>2318</v>
      </c>
      <c r="M2" s="2598" t="s">
        <v>2319</v>
      </c>
      <c r="N2" s="2598" t="s">
        <v>2320</v>
      </c>
      <c r="O2" s="2598" t="s">
        <v>2321</v>
      </c>
      <c r="P2" s="2598" t="s">
        <v>2322</v>
      </c>
      <c r="Q2" s="2599" t="s">
        <v>2323</v>
      </c>
      <c r="R2" s="2600" t="s">
        <v>2324</v>
      </c>
      <c r="S2" s="2589"/>
      <c r="T2" s="2589"/>
      <c r="U2" s="2589"/>
      <c r="V2" s="2597"/>
    </row>
    <row r="3" spans="1:22" s="2601" customFormat="1" ht="13.2" customHeight="1">
      <c r="A3" s="2602" t="s">
        <v>2325</v>
      </c>
      <c r="B3" s="2603" t="e">
        <f>ROUND(B2*10000/B4,0)</f>
        <v>#DIV/0!</v>
      </c>
      <c r="C3" s="2592" t="s">
        <v>2326</v>
      </c>
      <c r="D3" s="2592"/>
      <c r="E3" s="2593"/>
      <c r="F3" s="2594"/>
      <c r="G3" s="2595"/>
      <c r="H3" s="2596"/>
      <c r="I3" s="2597"/>
      <c r="J3" s="3409" t="s">
        <v>2327</v>
      </c>
      <c r="K3" s="3410"/>
      <c r="L3" s="2604"/>
      <c r="M3" s="2604"/>
      <c r="N3" s="2604"/>
      <c r="O3" s="2604"/>
      <c r="P3" s="2604"/>
      <c r="Q3" s="2605"/>
      <c r="R3" s="2606">
        <f>SUM(L3:Q3)</f>
        <v>0</v>
      </c>
      <c r="S3" s="2589"/>
      <c r="T3" s="2589"/>
      <c r="U3" s="2589"/>
      <c r="V3" s="2597"/>
    </row>
    <row r="4" spans="1:22" s="2601" customFormat="1" ht="13.2" customHeight="1">
      <c r="A4" s="2607" t="s">
        <v>2328</v>
      </c>
      <c r="B4" s="2608"/>
      <c r="C4" s="2592"/>
      <c r="D4" s="2592"/>
      <c r="E4" s="2593"/>
      <c r="F4" s="2594"/>
      <c r="G4" s="2595"/>
      <c r="H4" s="2596"/>
      <c r="I4" s="2597"/>
      <c r="J4" s="3409" t="s">
        <v>2329</v>
      </c>
      <c r="K4" s="3410"/>
      <c r="L4" s="2609"/>
      <c r="M4" s="2609"/>
      <c r="N4" s="2609"/>
      <c r="O4" s="2609"/>
      <c r="P4" s="2609"/>
      <c r="Q4" s="2610"/>
      <c r="R4" s="2611">
        <f>SUM(L4:Q4)</f>
        <v>0</v>
      </c>
      <c r="S4" s="2589"/>
      <c r="T4" s="2589"/>
      <c r="U4" s="2589"/>
      <c r="V4" s="2597"/>
    </row>
    <row r="5" spans="1:22" s="2601" customFormat="1" ht="13.2"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2" customHeight="1" thickBot="1">
      <c r="A6" s="3411" t="s">
        <v>2333</v>
      </c>
      <c r="B6" s="3412"/>
      <c r="C6" s="3413"/>
      <c r="D6" s="2618"/>
      <c r="E6" s="2619"/>
      <c r="F6" s="2620"/>
      <c r="G6" s="2621"/>
      <c r="H6" s="2596"/>
      <c r="I6" s="2597"/>
      <c r="J6" s="3414">
        <v>1</v>
      </c>
      <c r="K6" s="3415"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2" customHeight="1">
      <c r="A7" s="2624" t="s">
        <v>2343</v>
      </c>
      <c r="B7" s="2625"/>
      <c r="C7" s="2626"/>
      <c r="D7" s="2627">
        <f>SUM(D9,D10,D11,D17,0)</f>
        <v>0</v>
      </c>
      <c r="E7" s="2628" t="e">
        <f>E9+E10+E11+E17</f>
        <v>#DIV/0!</v>
      </c>
      <c r="F7" s="2629"/>
      <c r="G7" s="2630"/>
      <c r="H7" s="2596"/>
      <c r="I7" s="2597"/>
      <c r="J7" s="3414"/>
      <c r="K7" s="3416"/>
      <c r="L7" s="2631" t="s">
        <v>2344</v>
      </c>
      <c r="M7" s="2632"/>
      <c r="N7" s="2608"/>
      <c r="O7" s="2633"/>
      <c r="P7" s="2633"/>
      <c r="Q7" s="2634">
        <v>365</v>
      </c>
      <c r="R7" s="2635">
        <f>ROUND(M7*N7*O7*P7*Q7/10000,0)</f>
        <v>0</v>
      </c>
      <c r="S7" s="2589"/>
      <c r="T7" s="2589" t="s">
        <v>2345</v>
      </c>
      <c r="U7" s="2589"/>
      <c r="V7" s="2597"/>
    </row>
    <row r="8" spans="1:22" s="2601" customFormat="1" ht="13.2" customHeight="1">
      <c r="A8" s="2636" t="s">
        <v>2346</v>
      </c>
      <c r="B8" s="3418" t="s">
        <v>2347</v>
      </c>
      <c r="C8" s="3419"/>
      <c r="D8" s="2637" t="s">
        <v>2348</v>
      </c>
      <c r="E8" s="2638" t="s">
        <v>2349</v>
      </c>
      <c r="F8" s="2639" t="s">
        <v>2350</v>
      </c>
      <c r="G8" s="2640"/>
      <c r="H8" s="2596"/>
      <c r="I8" s="2597"/>
      <c r="J8" s="3414"/>
      <c r="K8" s="3416"/>
      <c r="L8" s="2631" t="s">
        <v>2351</v>
      </c>
      <c r="M8" s="2632"/>
      <c r="N8" s="2608"/>
      <c r="O8" s="2633"/>
      <c r="P8" s="2633"/>
      <c r="Q8" s="2634">
        <v>365</v>
      </c>
      <c r="R8" s="2635">
        <f t="shared" ref="R8:R13" si="0">ROUND(M8*N8*O8*P8*Q8/10000,0)</f>
        <v>0</v>
      </c>
      <c r="S8" s="2589"/>
      <c r="T8" s="2589" t="s">
        <v>2352</v>
      </c>
      <c r="U8" s="2589"/>
      <c r="V8" s="2597"/>
    </row>
    <row r="9" spans="1:22" s="2601" customFormat="1" ht="13.2" customHeight="1">
      <c r="A9" s="2636">
        <v>1</v>
      </c>
      <c r="B9" s="3418" t="s">
        <v>2353</v>
      </c>
      <c r="C9" s="3419"/>
      <c r="D9" s="2637">
        <f>ROUND(D6*E9,0)</f>
        <v>0</v>
      </c>
      <c r="E9" s="2641"/>
      <c r="F9" s="2642" t="s">
        <v>2354</v>
      </c>
      <c r="G9" s="2621"/>
      <c r="H9" s="2596"/>
      <c r="I9" s="2597"/>
      <c r="J9" s="3414"/>
      <c r="K9" s="3416"/>
      <c r="L9" s="2631" t="s">
        <v>2355</v>
      </c>
      <c r="M9" s="2632"/>
      <c r="N9" s="2608"/>
      <c r="O9" s="2633"/>
      <c r="P9" s="2633"/>
      <c r="Q9" s="2634">
        <v>365</v>
      </c>
      <c r="R9" s="2635">
        <f t="shared" si="0"/>
        <v>0</v>
      </c>
      <c r="S9" s="2589"/>
      <c r="T9" s="2589"/>
      <c r="U9" s="2589"/>
      <c r="V9" s="2597"/>
    </row>
    <row r="10" spans="1:22" s="2601" customFormat="1" ht="13.2" customHeight="1">
      <c r="A10" s="2636">
        <v>2</v>
      </c>
      <c r="B10" s="3418" t="s">
        <v>2356</v>
      </c>
      <c r="C10" s="3419"/>
      <c r="D10" s="2637">
        <f>ROUND(D6*E10,0)</f>
        <v>0</v>
      </c>
      <c r="E10" s="2641"/>
      <c r="F10" s="2642" t="s">
        <v>2357</v>
      </c>
      <c r="G10" s="2621"/>
      <c r="H10" s="2596"/>
      <c r="I10" s="2597"/>
      <c r="J10" s="3414"/>
      <c r="K10" s="3416"/>
      <c r="L10" s="2631" t="s">
        <v>2358</v>
      </c>
      <c r="M10" s="2632"/>
      <c r="N10" s="2608"/>
      <c r="O10" s="2633"/>
      <c r="P10" s="2633"/>
      <c r="Q10" s="2634">
        <v>365</v>
      </c>
      <c r="R10" s="2635">
        <f t="shared" si="0"/>
        <v>0</v>
      </c>
      <c r="S10" s="2589"/>
      <c r="T10" s="2589"/>
      <c r="U10" s="2589"/>
      <c r="V10" s="2597"/>
    </row>
    <row r="11" spans="1:22" s="2601" customFormat="1" ht="13.2" customHeight="1">
      <c r="A11" s="2636">
        <v>3</v>
      </c>
      <c r="B11" s="3418" t="s">
        <v>2359</v>
      </c>
      <c r="C11" s="3419"/>
      <c r="D11" s="2637">
        <f>D12+D14+D15+D16</f>
        <v>0</v>
      </c>
      <c r="E11" s="2643" t="e">
        <f>D11/D6</f>
        <v>#DIV/0!</v>
      </c>
      <c r="F11" s="2639"/>
      <c r="G11" s="2640"/>
      <c r="H11" s="2596"/>
      <c r="I11" s="2597"/>
      <c r="J11" s="3414"/>
      <c r="K11" s="3416"/>
      <c r="L11" s="2631" t="s">
        <v>2360</v>
      </c>
      <c r="M11" s="2632"/>
      <c r="N11" s="2608"/>
      <c r="O11" s="2633"/>
      <c r="P11" s="2633"/>
      <c r="Q11" s="2634">
        <v>365</v>
      </c>
      <c r="R11" s="2635">
        <f t="shared" si="0"/>
        <v>0</v>
      </c>
      <c r="S11" s="2589"/>
      <c r="T11" s="2589"/>
      <c r="U11" s="2589"/>
      <c r="V11" s="2597"/>
    </row>
    <row r="12" spans="1:22" s="2601" customFormat="1" ht="13.2" customHeight="1">
      <c r="A12" s="2644" t="s">
        <v>2361</v>
      </c>
      <c r="B12" s="3420" t="s">
        <v>2362</v>
      </c>
      <c r="C12" s="3421"/>
      <c r="D12" s="2645">
        <f>ROUND(D13*1.2%*(1-30%),0)</f>
        <v>0</v>
      </c>
      <c r="E12" s="2646">
        <v>1.2E-2</v>
      </c>
      <c r="F12" s="2639" t="s">
        <v>2363</v>
      </c>
      <c r="G12" s="2640"/>
      <c r="H12" s="2596"/>
      <c r="I12" s="2597"/>
      <c r="J12" s="3414"/>
      <c r="K12" s="3416"/>
      <c r="L12" s="2631" t="s">
        <v>2364</v>
      </c>
      <c r="M12" s="2632"/>
      <c r="N12" s="2608"/>
      <c r="O12" s="2633"/>
      <c r="P12" s="2633"/>
      <c r="Q12" s="2634">
        <v>365</v>
      </c>
      <c r="R12" s="2635">
        <f t="shared" si="0"/>
        <v>0</v>
      </c>
      <c r="S12" s="2589"/>
      <c r="T12" s="2589"/>
      <c r="U12" s="2589"/>
      <c r="V12" s="2597"/>
    </row>
    <row r="13" spans="1:22" s="2601" customFormat="1" ht="13.2" customHeight="1">
      <c r="A13" s="2644"/>
      <c r="B13" s="2647"/>
      <c r="C13" s="2648" t="s">
        <v>2365</v>
      </c>
      <c r="D13" s="2649"/>
      <c r="E13" s="2650"/>
      <c r="F13" s="2639"/>
      <c r="G13" s="2640"/>
      <c r="H13" s="2596"/>
      <c r="I13" s="2597"/>
      <c r="J13" s="3414"/>
      <c r="K13" s="3416"/>
      <c r="L13" s="2631" t="s">
        <v>2366</v>
      </c>
      <c r="M13" s="2632"/>
      <c r="N13" s="2608"/>
      <c r="O13" s="2633"/>
      <c r="P13" s="2633"/>
      <c r="Q13" s="2634">
        <v>365</v>
      </c>
      <c r="R13" s="2635">
        <f t="shared" si="0"/>
        <v>0</v>
      </c>
      <c r="S13" s="2589"/>
      <c r="T13" s="2589"/>
      <c r="U13" s="2589"/>
      <c r="V13" s="2597"/>
    </row>
    <row r="14" spans="1:22" s="2601" customFormat="1" ht="13.2" customHeight="1">
      <c r="A14" s="2644" t="s">
        <v>2367</v>
      </c>
      <c r="B14" s="3420" t="s">
        <v>2368</v>
      </c>
      <c r="C14" s="3421"/>
      <c r="D14" s="2645">
        <f>ROUND(E14*B5/10000,0)</f>
        <v>0</v>
      </c>
      <c r="E14" s="2634"/>
      <c r="F14" s="2639" t="s">
        <v>2369</v>
      </c>
      <c r="G14" s="2640"/>
      <c r="H14" s="2596"/>
      <c r="I14" s="2597"/>
      <c r="J14" s="3414"/>
      <c r="K14" s="3417"/>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2371</v>
      </c>
      <c r="B15" s="3420" t="s">
        <v>2372</v>
      </c>
      <c r="C15" s="3421"/>
      <c r="D15" s="2645">
        <f>ROUND(D6*E15,0)</f>
        <v>0</v>
      </c>
      <c r="E15" s="2646">
        <v>5.5E-2</v>
      </c>
      <c r="F15" s="2639" t="s">
        <v>2373</v>
      </c>
      <c r="G15" s="2621"/>
      <c r="H15" s="2596"/>
      <c r="I15" s="2597"/>
      <c r="J15" s="3414">
        <v>2</v>
      </c>
      <c r="K15" s="3415"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2" customHeight="1">
      <c r="A16" s="2644" t="s">
        <v>2380</v>
      </c>
      <c r="B16" s="3420" t="s">
        <v>2381</v>
      </c>
      <c r="C16" s="3421"/>
      <c r="D16" s="2656">
        <f>D6*E16</f>
        <v>0</v>
      </c>
      <c r="E16" s="2657"/>
      <c r="F16" s="2642" t="s">
        <v>2382</v>
      </c>
      <c r="G16" s="2621"/>
      <c r="H16" s="2596"/>
      <c r="I16" s="2597"/>
      <c r="J16" s="3414"/>
      <c r="K16" s="3416"/>
      <c r="L16" s="2631" t="s">
        <v>2383</v>
      </c>
      <c r="M16" s="2632"/>
      <c r="N16" s="2632"/>
      <c r="O16" s="2633"/>
      <c r="P16" s="2634">
        <v>365</v>
      </c>
      <c r="Q16" s="2608"/>
      <c r="R16" s="2655">
        <f>ROUND(M16*N16*O16*P16/10000,0)</f>
        <v>0</v>
      </c>
      <c r="S16" s="2589"/>
      <c r="T16" s="2589"/>
      <c r="U16" s="2589"/>
      <c r="V16" s="2597"/>
    </row>
    <row r="17" spans="1:22" s="2601" customFormat="1" ht="13.2" customHeight="1" thickBot="1">
      <c r="A17" s="2658">
        <v>4</v>
      </c>
      <c r="B17" s="3422" t="s">
        <v>2384</v>
      </c>
      <c r="C17" s="3423"/>
      <c r="D17" s="2659">
        <f>ROUND(D6*E17,0)</f>
        <v>0</v>
      </c>
      <c r="E17" s="2660"/>
      <c r="F17" s="2661" t="s">
        <v>2385</v>
      </c>
      <c r="G17" s="2621"/>
      <c r="H17" s="2596"/>
      <c r="I17" s="2597"/>
      <c r="J17" s="3414"/>
      <c r="K17" s="3416"/>
      <c r="L17" s="2631" t="s">
        <v>2386</v>
      </c>
      <c r="M17" s="2632"/>
      <c r="N17" s="2632"/>
      <c r="O17" s="2633"/>
      <c r="P17" s="2634">
        <v>365</v>
      </c>
      <c r="Q17" s="2608"/>
      <c r="R17" s="2655">
        <f>ROUND(M17*N17*O17*P17/10000,0)</f>
        <v>0</v>
      </c>
      <c r="S17" s="2589"/>
      <c r="T17" s="2589"/>
      <c r="U17" s="2589"/>
      <c r="V17" s="2597"/>
    </row>
    <row r="18" spans="1:22" s="2601" customFormat="1" ht="13.2" customHeight="1" thickBot="1">
      <c r="A18" s="2624" t="s">
        <v>2387</v>
      </c>
      <c r="B18" s="2625"/>
      <c r="C18" s="2625"/>
      <c r="D18" s="2662">
        <f>ROUND(D6*E18,0)</f>
        <v>0</v>
      </c>
      <c r="E18" s="2663"/>
      <c r="F18" s="2664" t="s">
        <v>2388</v>
      </c>
      <c r="G18" s="2621"/>
      <c r="H18" s="2596"/>
      <c r="I18" s="2597"/>
      <c r="J18" s="3414"/>
      <c r="K18" s="3416"/>
      <c r="L18" s="2631" t="s">
        <v>2389</v>
      </c>
      <c r="M18" s="2632"/>
      <c r="N18" s="2632"/>
      <c r="O18" s="2633"/>
      <c r="P18" s="2634">
        <v>365</v>
      </c>
      <c r="Q18" s="2608"/>
      <c r="R18" s="2655">
        <f>ROUND(M18*N18*O18*P18/10000,0)</f>
        <v>0</v>
      </c>
      <c r="S18" s="2589"/>
      <c r="T18" s="2589"/>
      <c r="U18" s="2589"/>
      <c r="V18" s="2597"/>
    </row>
    <row r="19" spans="1:22" s="2601" customFormat="1" ht="13.2" customHeight="1" thickBot="1">
      <c r="A19" s="2665" t="s">
        <v>2390</v>
      </c>
      <c r="B19" s="2619"/>
      <c r="C19" s="2619"/>
      <c r="D19" s="2619"/>
      <c r="E19" s="2619"/>
      <c r="F19" s="2620"/>
      <c r="G19" s="2640"/>
      <c r="H19" s="2596"/>
      <c r="I19" s="2597"/>
      <c r="J19" s="3414"/>
      <c r="K19" s="3417"/>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14">
        <v>3</v>
      </c>
      <c r="K20" s="3415"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2" customHeight="1">
      <c r="A21" s="2624"/>
      <c r="B21" s="2625"/>
      <c r="C21" s="2670" t="s">
        <v>2399</v>
      </c>
      <c r="D21" s="2671" t="s">
        <v>2400</v>
      </c>
      <c r="E21" s="2672" t="s">
        <v>2401</v>
      </c>
      <c r="F21" s="2668"/>
      <c r="G21" s="2640"/>
      <c r="H21" s="2596"/>
      <c r="I21" s="2597"/>
      <c r="J21" s="3414"/>
      <c r="K21" s="3416"/>
      <c r="L21" s="2631" t="s">
        <v>2402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2403</v>
      </c>
      <c r="D22" s="2675" t="s">
        <v>2404</v>
      </c>
      <c r="E22" s="2676" t="s">
        <v>2405</v>
      </c>
      <c r="F22" s="2668"/>
      <c r="G22" s="2589"/>
      <c r="H22" s="2596"/>
      <c r="I22" s="2597"/>
      <c r="J22" s="3414"/>
      <c r="K22" s="3416"/>
      <c r="L22" s="2631" t="s">
        <v>2406</v>
      </c>
      <c r="M22" s="2632"/>
      <c r="N22" s="2632"/>
      <c r="O22" s="2633"/>
      <c r="P22" s="2634">
        <v>365</v>
      </c>
      <c r="Q22" s="2608"/>
      <c r="R22" s="2673">
        <f>ROUND(M22*N22*O22*P22/10000,0)</f>
        <v>0</v>
      </c>
      <c r="S22" s="2589"/>
      <c r="T22" s="2589"/>
      <c r="U22" s="2589"/>
      <c r="V22" s="2597"/>
    </row>
    <row r="23" spans="1:22" s="2601" customFormat="1" ht="13.2" customHeight="1">
      <c r="A23" s="2677">
        <v>1</v>
      </c>
      <c r="B23" s="2678" t="s">
        <v>2407</v>
      </c>
      <c r="C23" s="2679">
        <f>D6</f>
        <v>0</v>
      </c>
      <c r="D23" s="2680">
        <f>C23*(1+D24)</f>
        <v>0</v>
      </c>
      <c r="E23" s="2681">
        <f>D23*(1+E24)</f>
        <v>0</v>
      </c>
      <c r="F23" s="2682"/>
      <c r="G23" s="2683"/>
      <c r="H23" s="2596"/>
      <c r="I23" s="2597"/>
      <c r="J23" s="3414"/>
      <c r="K23" s="3416"/>
      <c r="L23" s="2631" t="s">
        <v>2408</v>
      </c>
      <c r="M23" s="2632"/>
      <c r="N23" s="2632"/>
      <c r="O23" s="2633"/>
      <c r="P23" s="2634">
        <v>365</v>
      </c>
      <c r="Q23" s="2608"/>
      <c r="R23" s="2673">
        <f>ROUND(M23*N23*O23*P23/10000,0)</f>
        <v>0</v>
      </c>
      <c r="S23" s="2589"/>
      <c r="T23" s="2589"/>
      <c r="U23" s="2589"/>
      <c r="V23" s="2597"/>
    </row>
    <row r="24" spans="1:22" s="2601" customFormat="1" ht="13.2" customHeight="1">
      <c r="A24" s="2684"/>
      <c r="B24" s="2685" t="s">
        <v>2409</v>
      </c>
      <c r="C24" s="2686"/>
      <c r="D24" s="2687"/>
      <c r="E24" s="2688"/>
      <c r="F24" s="2689"/>
      <c r="G24" s="2683"/>
      <c r="H24" s="2596"/>
      <c r="I24" s="2597"/>
      <c r="J24" s="3414"/>
      <c r="K24" s="3417"/>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2" customHeight="1">
      <c r="A26" s="2677">
        <v>2</v>
      </c>
      <c r="B26" s="2678" t="s">
        <v>2411</v>
      </c>
      <c r="C26" s="2679">
        <f>D7</f>
        <v>0</v>
      </c>
      <c r="D26" s="2680">
        <f>D23*D27</f>
        <v>0</v>
      </c>
      <c r="E26" s="2681">
        <f>E23*E27</f>
        <v>0</v>
      </c>
      <c r="F26" s="2682"/>
      <c r="G26" s="2683"/>
      <c r="H26" s="2596"/>
      <c r="I26" s="2597"/>
      <c r="J26" s="3424">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2" customHeight="1">
      <c r="A27" s="2684"/>
      <c r="B27" s="2685" t="s">
        <v>2417</v>
      </c>
      <c r="C27" s="2702" t="e">
        <f>E7</f>
        <v>#DIV/0!</v>
      </c>
      <c r="D27" s="2687"/>
      <c r="E27" s="2688"/>
      <c r="F27" s="2689"/>
      <c r="G27" s="2683"/>
      <c r="H27" s="2703"/>
      <c r="I27" s="2695"/>
      <c r="J27" s="3425"/>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2"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2" customHeight="1">
      <c r="A32" s="2677">
        <v>4</v>
      </c>
      <c r="B32" s="2678" t="s">
        <v>2425</v>
      </c>
      <c r="C32" s="2679">
        <f>C23-C26-C29</f>
        <v>0</v>
      </c>
      <c r="D32" s="2680">
        <f>D23-D26-D29</f>
        <v>0</v>
      </c>
      <c r="E32" s="2681">
        <f>E23-E26-E29</f>
        <v>0</v>
      </c>
      <c r="F32" s="2682"/>
      <c r="G32" s="2589"/>
      <c r="H32" s="2596"/>
      <c r="I32" s="2597"/>
      <c r="J32" s="3407" t="s">
        <v>2317</v>
      </c>
      <c r="K32" s="3408"/>
      <c r="L32" s="2598" t="s">
        <v>2318</v>
      </c>
      <c r="M32" s="2598" t="s">
        <v>2319</v>
      </c>
      <c r="N32" s="2598" t="s">
        <v>2320</v>
      </c>
      <c r="O32" s="2598" t="s">
        <v>2321</v>
      </c>
      <c r="P32" s="2598" t="s">
        <v>2322</v>
      </c>
      <c r="Q32" s="2599" t="s">
        <v>2323</v>
      </c>
      <c r="R32" s="2718" t="s">
        <v>2324</v>
      </c>
      <c r="S32" s="2589"/>
      <c r="T32" s="2589"/>
      <c r="U32" s="2589"/>
      <c r="V32" s="2695"/>
    </row>
    <row r="33" spans="1:23" s="2601" customFormat="1" ht="13.2" customHeight="1">
      <c r="A33" s="2677"/>
      <c r="B33" s="2678"/>
      <c r="C33" s="2679"/>
      <c r="D33" s="2719"/>
      <c r="E33" s="2720"/>
      <c r="F33" s="2682"/>
      <c r="G33" s="2589"/>
      <c r="H33" s="2703"/>
      <c r="I33" s="2695"/>
      <c r="J33" s="3409" t="s">
        <v>2327</v>
      </c>
      <c r="K33" s="3410"/>
      <c r="L33" s="2604"/>
      <c r="M33" s="2604"/>
      <c r="N33" s="2604"/>
      <c r="O33" s="2604"/>
      <c r="P33" s="2604"/>
      <c r="Q33" s="2605"/>
      <c r="R33" s="2721">
        <f>SUM(L33:Q33)</f>
        <v>0</v>
      </c>
      <c r="S33" s="2589"/>
      <c r="T33" s="2589"/>
      <c r="U33" s="2589"/>
      <c r="V33" s="2597"/>
    </row>
    <row r="34" spans="1:23" s="2601" customFormat="1" ht="13.2" customHeight="1">
      <c r="A34" s="2677">
        <v>5</v>
      </c>
      <c r="B34" s="2678" t="s">
        <v>2426</v>
      </c>
      <c r="C34" s="2722"/>
      <c r="D34" s="2723"/>
      <c r="E34" s="2724"/>
      <c r="F34" s="2682"/>
      <c r="G34" s="2589"/>
      <c r="H34" s="2703"/>
      <c r="I34" s="2695"/>
      <c r="J34" s="3409" t="s">
        <v>2329</v>
      </c>
      <c r="K34" s="3410"/>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2" customHeight="1" thickBot="1">
      <c r="A36" s="2677">
        <v>7</v>
      </c>
      <c r="B36" s="2731" t="s">
        <v>2428</v>
      </c>
      <c r="C36" s="2732"/>
      <c r="D36" s="2733"/>
      <c r="E36" s="2734"/>
      <c r="F36" s="2735">
        <f>C36+D36+E36</f>
        <v>0</v>
      </c>
      <c r="G36" s="2589"/>
      <c r="H36" s="2596"/>
      <c r="I36" s="2597"/>
      <c r="J36" s="3414">
        <v>1</v>
      </c>
      <c r="K36" s="3415" t="s">
        <v>2429</v>
      </c>
      <c r="L36" s="2622"/>
      <c r="M36" s="2623"/>
      <c r="N36" s="2623"/>
      <c r="O36" s="2623"/>
      <c r="P36" s="2623"/>
      <c r="Q36" s="2623"/>
      <c r="R36" s="2606" t="s">
        <v>2341</v>
      </c>
      <c r="S36" s="2589"/>
      <c r="T36" s="2589" t="s">
        <v>2342</v>
      </c>
      <c r="U36" s="2589"/>
      <c r="V36" s="2597"/>
    </row>
    <row r="37" spans="1:23" s="2601" customFormat="1" ht="13.2" customHeight="1">
      <c r="A37" s="2677"/>
      <c r="B37" s="2678"/>
      <c r="C37" s="2678"/>
      <c r="D37" s="2678"/>
      <c r="E37" s="2678"/>
      <c r="F37" s="2682"/>
      <c r="G37" s="2589"/>
      <c r="H37" s="2596"/>
      <c r="I37" s="2597"/>
      <c r="J37" s="3414"/>
      <c r="K37" s="3416"/>
      <c r="L37" s="2631"/>
      <c r="M37" s="2632"/>
      <c r="N37" s="2608"/>
      <c r="O37" s="2633"/>
      <c r="P37" s="2633"/>
      <c r="Q37" s="2634"/>
      <c r="R37" s="2635"/>
      <c r="S37" s="2589"/>
      <c r="T37" s="2589" t="s">
        <v>2345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14"/>
      <c r="K38" s="3416"/>
      <c r="L38" s="2631"/>
      <c r="M38" s="2632"/>
      <c r="N38" s="2608"/>
      <c r="O38" s="2633"/>
      <c r="P38" s="2633"/>
      <c r="Q38" s="2634"/>
      <c r="R38" s="2635"/>
      <c r="S38" s="2589"/>
      <c r="T38" s="2589" t="s">
        <v>2352</v>
      </c>
      <c r="U38" s="2589"/>
      <c r="V38" s="2597"/>
    </row>
    <row r="39" spans="1:23" s="2601" customFormat="1" ht="13.2" customHeight="1">
      <c r="A39" s="2677">
        <v>9</v>
      </c>
      <c r="B39" s="2678" t="s">
        <v>2430</v>
      </c>
      <c r="C39" s="2645" t="e">
        <f>C38</f>
        <v>#DIV/0!</v>
      </c>
      <c r="D39" s="2678">
        <f>D38/(1+D34)^C36</f>
        <v>0</v>
      </c>
      <c r="E39" s="2678">
        <f>E38/(1+E34)^(C36+D36)</f>
        <v>0</v>
      </c>
      <c r="F39" s="2682"/>
      <c r="G39" s="2597"/>
      <c r="H39" s="2596"/>
      <c r="I39" s="2597"/>
      <c r="J39" s="3414"/>
      <c r="K39" s="3416"/>
      <c r="L39" s="2631"/>
      <c r="M39" s="2632"/>
      <c r="N39" s="2608"/>
      <c r="O39" s="2633"/>
      <c r="P39" s="2633"/>
      <c r="Q39" s="2634"/>
      <c r="R39" s="2635"/>
      <c r="S39" s="2589"/>
      <c r="T39" s="2589"/>
      <c r="U39" s="2589"/>
      <c r="V39" s="2597"/>
    </row>
    <row r="40" spans="1:23" s="2601" customFormat="1" ht="13.2" customHeight="1">
      <c r="A40" s="2736">
        <v>10</v>
      </c>
      <c r="B40" s="2678" t="s">
        <v>2431</v>
      </c>
      <c r="C40" s="2737" t="e">
        <f>C39+D39+E39</f>
        <v>#DIV/0!</v>
      </c>
      <c r="D40" s="2738"/>
      <c r="E40" s="2738"/>
      <c r="F40" s="2739"/>
      <c r="G40" s="2589"/>
      <c r="H40" s="2596"/>
      <c r="I40" s="2597"/>
      <c r="J40" s="3414"/>
      <c r="K40" s="3417"/>
      <c r="L40" s="2651" t="s">
        <v>2370</v>
      </c>
      <c r="M40" s="2652"/>
      <c r="N40" s="2652"/>
      <c r="O40" s="2653"/>
      <c r="P40" s="2653"/>
      <c r="Q40" s="2654"/>
      <c r="R40" s="2600">
        <f>SUM(R37:R39)</f>
        <v>0</v>
      </c>
      <c r="S40" s="2589"/>
      <c r="T40" s="2589"/>
      <c r="U40" s="2589"/>
      <c r="V40" s="2597"/>
    </row>
    <row r="41" spans="1:23" s="2601" customFormat="1" ht="13.2"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2" customHeight="1">
      <c r="G42" s="2596"/>
      <c r="H42" s="2596"/>
      <c r="I42" s="2597"/>
      <c r="J42" s="3424">
        <v>3</v>
      </c>
      <c r="K42" s="2697" t="s">
        <v>2412</v>
      </c>
      <c r="L42" s="2698"/>
      <c r="M42" s="2699"/>
      <c r="N42" s="2700" t="s">
        <v>2413</v>
      </c>
      <c r="O42" s="2700" t="s">
        <v>2414</v>
      </c>
      <c r="P42" s="2701" t="s">
        <v>2415</v>
      </c>
      <c r="Q42" s="2701" t="s">
        <v>2416</v>
      </c>
      <c r="R42" s="2606" t="s">
        <v>2341</v>
      </c>
      <c r="S42" s="2640"/>
      <c r="T42" s="2640"/>
      <c r="U42" s="2589"/>
      <c r="V42" s="2597"/>
    </row>
    <row r="43" spans="1:23" ht="13.2" customHeight="1">
      <c r="A43" s="2601"/>
      <c r="B43" s="2601"/>
      <c r="C43" s="2601"/>
      <c r="D43" s="2601"/>
      <c r="E43" s="2601"/>
      <c r="F43" s="2601"/>
      <c r="I43" s="2584"/>
      <c r="J43" s="3425"/>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1">
        <f ca="1">SUMIF(B6:B13,"&lt;&gt;#ref!",B6:B13)</f>
        <v>1983.7304999999999</v>
      </c>
      <c r="C2" s="1728" t="s">
        <v>1651</v>
      </c>
      <c r="D2" s="1729" t="s">
        <v>1652</v>
      </c>
      <c r="E2" s="2390">
        <f>SUM(E6:E13)</f>
        <v>759.02</v>
      </c>
      <c r="F2" s="2476"/>
      <c r="G2" s="459"/>
      <c r="H2" s="459"/>
      <c r="I2" s="459"/>
      <c r="J2" s="459"/>
      <c r="K2" s="459"/>
      <c r="L2" s="459"/>
      <c r="M2" s="459"/>
      <c r="N2" s="459"/>
      <c r="O2" s="459"/>
      <c r="P2" s="459"/>
      <c r="Q2" s="459"/>
      <c r="R2" s="459"/>
      <c r="S2" s="459"/>
    </row>
    <row r="3" spans="1:22" ht="15.6">
      <c r="A3" s="1727" t="s">
        <v>686</v>
      </c>
      <c r="B3" s="2384">
        <f ca="1">ROUND(B2*10000/E2,0)</f>
        <v>26135</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26" t="s">
        <v>1654</v>
      </c>
      <c r="C5" s="3427"/>
      <c r="D5" s="2477"/>
      <c r="E5" s="1730"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1983.7304999999999</v>
      </c>
      <c r="C6" s="1728" t="s">
        <v>1651</v>
      </c>
      <c r="D6" s="2476"/>
      <c r="E6" s="2389">
        <f>IF(OR(A6=0,F6="否"),0,'数据-取费表'!K6+'数据-取费表'!S6)</f>
        <v>759.02</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21"/>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759.02</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4.4">
      <c r="A4" s="345" t="s">
        <v>1666</v>
      </c>
      <c r="B4" s="346"/>
      <c r="C4" s="3378" t="s">
        <v>1667</v>
      </c>
      <c r="D4" s="3379"/>
      <c r="E4" s="3380" t="s">
        <v>1668</v>
      </c>
      <c r="F4" s="3381"/>
      <c r="G4" s="3378" t="s">
        <v>1669</v>
      </c>
      <c r="H4" s="3379"/>
      <c r="I4" s="3378" t="s">
        <v>1670</v>
      </c>
      <c r="J4" s="3379"/>
      <c r="K4" s="1743" t="s">
        <v>1671</v>
      </c>
      <c r="L4" s="2483"/>
      <c r="M4" s="2484"/>
      <c r="N4" s="2484"/>
      <c r="O4" s="2484"/>
      <c r="P4" s="3434" t="s">
        <v>1672</v>
      </c>
      <c r="Q4" s="3435"/>
      <c r="R4" s="3429" t="s">
        <v>1668</v>
      </c>
      <c r="S4" s="3430"/>
      <c r="T4" s="3429" t="s">
        <v>1669</v>
      </c>
      <c r="U4" s="3430"/>
      <c r="V4" s="3391" t="s">
        <v>1670</v>
      </c>
      <c r="W4" s="3391"/>
      <c r="X4" s="1265"/>
      <c r="Y4" s="3429" t="s">
        <v>1672</v>
      </c>
      <c r="Z4" s="3430"/>
      <c r="AA4" s="3428" t="s">
        <v>1668</v>
      </c>
      <c r="AB4" s="3428" t="s">
        <v>1669</v>
      </c>
      <c r="AC4" s="3428" t="s">
        <v>1670</v>
      </c>
    </row>
    <row r="5" spans="1:29">
      <c r="A5" s="348"/>
      <c r="B5" s="349"/>
      <c r="C5" s="3433" t="s">
        <v>1673</v>
      </c>
      <c r="D5" s="3369"/>
      <c r="E5" s="3431" t="s">
        <v>1674</v>
      </c>
      <c r="F5" s="3432"/>
      <c r="G5" s="3433" t="s">
        <v>1675</v>
      </c>
      <c r="H5" s="3369"/>
      <c r="I5" s="3433" t="s">
        <v>1676</v>
      </c>
      <c r="J5" s="3369"/>
      <c r="K5" s="1744"/>
      <c r="L5" s="2483"/>
      <c r="M5" s="2484"/>
      <c r="N5" s="2484"/>
      <c r="O5" s="2484"/>
      <c r="P5" s="3436"/>
      <c r="Q5" s="3385"/>
      <c r="R5" s="3366"/>
      <c r="S5" s="3367"/>
      <c r="T5" s="3366"/>
      <c r="U5" s="3367"/>
      <c r="V5" s="3391"/>
      <c r="W5" s="3391"/>
      <c r="X5" s="1265"/>
      <c r="Y5" s="3366"/>
      <c r="Z5" s="3367"/>
      <c r="AA5" s="3360"/>
      <c r="AB5" s="3360"/>
      <c r="AC5" s="3360"/>
    </row>
    <row r="6" spans="1:29" ht="15" thickBot="1">
      <c r="A6" s="350"/>
      <c r="B6" s="351"/>
      <c r="C6" s="3370" t="s">
        <v>1677</v>
      </c>
      <c r="D6" s="3371"/>
      <c r="E6" s="3372" t="s">
        <v>1677</v>
      </c>
      <c r="F6" s="3373"/>
      <c r="G6" s="3370" t="s">
        <v>1677</v>
      </c>
      <c r="H6" s="3371"/>
      <c r="I6" s="3370" t="s">
        <v>1677</v>
      </c>
      <c r="J6" s="3371"/>
      <c r="K6" s="1744" t="s">
        <v>1678</v>
      </c>
      <c r="L6" s="2483"/>
      <c r="M6" s="2484"/>
      <c r="N6" s="2484"/>
      <c r="O6" s="2484"/>
      <c r="P6" s="3437"/>
      <c r="Q6" s="3387"/>
      <c r="R6" s="3366"/>
      <c r="S6" s="3367"/>
      <c r="T6" s="3388"/>
      <c r="U6" s="3389"/>
      <c r="V6" s="3391"/>
      <c r="W6" s="3391"/>
      <c r="X6" s="1265"/>
      <c r="Y6" s="3388"/>
      <c r="Z6" s="3389"/>
      <c r="AA6" s="3361"/>
      <c r="AB6" s="3361"/>
      <c r="AC6" s="3361"/>
    </row>
    <row r="7" spans="1:29" s="102" customFormat="1" ht="15" thickBot="1">
      <c r="A7" s="352" t="s">
        <v>1679</v>
      </c>
      <c r="B7" s="353"/>
      <c r="C7" s="354">
        <f>'数据-取费表'!B2</f>
        <v>45694</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362" t="s">
        <v>1680</v>
      </c>
      <c r="Q7" s="3393"/>
      <c r="R7" s="664" t="s">
        <v>20</v>
      </c>
      <c r="S7" s="665">
        <f t="shared" ref="S7:S15" si="0">F7</f>
        <v>0</v>
      </c>
      <c r="T7" s="664" t="s">
        <v>20</v>
      </c>
      <c r="U7" s="665">
        <f t="shared" ref="U7:U15" si="1">H7</f>
        <v>0</v>
      </c>
      <c r="V7" s="664" t="s">
        <v>20</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362" t="s">
        <v>1683</v>
      </c>
      <c r="Q8" s="3363"/>
      <c r="R8" s="664" t="s">
        <v>20</v>
      </c>
      <c r="S8" s="665">
        <f t="shared" si="0"/>
        <v>100</v>
      </c>
      <c r="T8" s="664" t="s">
        <v>20</v>
      </c>
      <c r="U8" s="665">
        <f t="shared" si="1"/>
        <v>100</v>
      </c>
      <c r="V8" s="664" t="s">
        <v>20</v>
      </c>
      <c r="W8" s="665">
        <f t="shared" si="2"/>
        <v>100</v>
      </c>
      <c r="X8" s="666"/>
      <c r="Y8" s="3362" t="s">
        <v>1683</v>
      </c>
      <c r="Z8" s="336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374"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37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74"/>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374"/>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374"/>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374"/>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94"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89"/>
      <c r="M16" s="2484"/>
      <c r="N16" s="2484"/>
      <c r="O16" s="2484"/>
      <c r="P16" s="3395"/>
      <c r="Q16" s="1263"/>
      <c r="R16" s="667"/>
      <c r="S16" s="668"/>
      <c r="T16" s="667"/>
      <c r="U16" s="668"/>
      <c r="V16" s="667"/>
      <c r="W16" s="668"/>
      <c r="X16" s="1265"/>
      <c r="Y16" s="3397"/>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95"/>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89"/>
      <c r="M18" s="2484"/>
      <c r="N18" s="2484"/>
      <c r="O18" s="2484"/>
      <c r="P18" s="3395"/>
      <c r="Q18" s="1263"/>
      <c r="R18" s="667"/>
      <c r="S18" s="668"/>
      <c r="T18" s="667"/>
      <c r="U18" s="668"/>
      <c r="V18" s="667"/>
      <c r="W18" s="668"/>
      <c r="X18" s="1265"/>
      <c r="Y18" s="3397"/>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95"/>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89"/>
      <c r="M20" s="2484"/>
      <c r="N20" s="2484"/>
      <c r="O20" s="2484"/>
      <c r="P20" s="3395"/>
      <c r="Q20" s="1263"/>
      <c r="R20" s="667"/>
      <c r="S20" s="668"/>
      <c r="T20" s="667"/>
      <c r="U20" s="668"/>
      <c r="V20" s="667"/>
      <c r="W20" s="668"/>
      <c r="X20" s="1265"/>
      <c r="Y20" s="3397"/>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89"/>
      <c r="M22" s="2484"/>
      <c r="N22" s="2484"/>
      <c r="O22" s="2484"/>
      <c r="P22" s="3395"/>
      <c r="Q22" s="1263"/>
      <c r="R22" s="667"/>
      <c r="S22" s="668"/>
      <c r="T22" s="667"/>
      <c r="U22" s="668"/>
      <c r="V22" s="667"/>
      <c r="W22" s="668"/>
      <c r="X22" s="1265"/>
      <c r="Y22" s="3397"/>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95"/>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89"/>
      <c r="M24" s="2484"/>
      <c r="N24" s="2484"/>
      <c r="O24" s="2484"/>
      <c r="P24" s="3395"/>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395"/>
      <c r="Q26" s="1263" t="str">
        <f t="shared" si="11"/>
        <v>朝向</v>
      </c>
      <c r="R26" s="667" t="s">
        <v>18</v>
      </c>
      <c r="S26" s="668">
        <f t="shared" si="12"/>
        <v>100</v>
      </c>
      <c r="T26" s="667" t="s">
        <v>18</v>
      </c>
      <c r="U26" s="668">
        <f t="shared" si="13"/>
        <v>100</v>
      </c>
      <c r="V26" s="667" t="s">
        <v>18</v>
      </c>
      <c r="W26" s="668">
        <f t="shared" si="14"/>
        <v>100</v>
      </c>
      <c r="X26" s="1265"/>
      <c r="Y26" s="33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395"/>
      <c r="Q27" s="530">
        <f t="shared" si="11"/>
        <v>111</v>
      </c>
      <c r="R27" s="664" t="s">
        <v>18</v>
      </c>
      <c r="S27" s="665">
        <f t="shared" si="12"/>
        <v>100</v>
      </c>
      <c r="T27" s="664" t="s">
        <v>18</v>
      </c>
      <c r="U27" s="665">
        <f t="shared" si="13"/>
        <v>100</v>
      </c>
      <c r="V27" s="664" t="s">
        <v>18</v>
      </c>
      <c r="W27" s="665">
        <f t="shared" si="14"/>
        <v>100</v>
      </c>
      <c r="X27" s="666"/>
      <c r="Y27" s="33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395"/>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395"/>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395"/>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395"/>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398" t="s">
        <v>1696</v>
      </c>
      <c r="Q32" s="1263" t="str">
        <f t="shared" si="11"/>
        <v>建筑类型</v>
      </c>
      <c r="R32" s="667" t="s">
        <v>18</v>
      </c>
      <c r="S32" s="668">
        <f t="shared" si="12"/>
        <v>100</v>
      </c>
      <c r="T32" s="667" t="s">
        <v>18</v>
      </c>
      <c r="U32" s="668">
        <f t="shared" si="13"/>
        <v>100</v>
      </c>
      <c r="V32" s="667" t="s">
        <v>18</v>
      </c>
      <c r="W32" s="668">
        <f t="shared" si="14"/>
        <v>100</v>
      </c>
      <c r="X32" s="1265"/>
      <c r="Y32" s="340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399"/>
      <c r="Q33" s="531" t="str">
        <f t="shared" si="11"/>
        <v>项目建筑规模</v>
      </c>
      <c r="R33" s="669" t="s">
        <v>18</v>
      </c>
      <c r="S33" s="670" t="e">
        <f t="shared" si="12"/>
        <v>#N/A</v>
      </c>
      <c r="T33" s="669" t="s">
        <v>18</v>
      </c>
      <c r="U33" s="670" t="e">
        <f t="shared" si="13"/>
        <v>#N/A</v>
      </c>
      <c r="V33" s="669" t="s">
        <v>18</v>
      </c>
      <c r="W33" s="670" t="e">
        <f t="shared" si="14"/>
        <v>#N/A</v>
      </c>
      <c r="X33" s="671"/>
      <c r="Y33" s="3401"/>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399"/>
      <c r="Q34" s="1263" t="str">
        <f t="shared" si="11"/>
        <v>建筑结构</v>
      </c>
      <c r="R34" s="667" t="s">
        <v>18</v>
      </c>
      <c r="S34" s="668">
        <f t="shared" si="12"/>
        <v>100</v>
      </c>
      <c r="T34" s="667" t="s">
        <v>18</v>
      </c>
      <c r="U34" s="668">
        <f t="shared" si="13"/>
        <v>100</v>
      </c>
      <c r="V34" s="667" t="s">
        <v>18</v>
      </c>
      <c r="W34" s="668">
        <f t="shared" si="14"/>
        <v>100</v>
      </c>
      <c r="X34" s="1265"/>
      <c r="Y34" s="3401"/>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399"/>
      <c r="Q35" s="1263" t="str">
        <f t="shared" si="11"/>
        <v>建筑品质</v>
      </c>
      <c r="R35" s="667" t="s">
        <v>18</v>
      </c>
      <c r="S35" s="668">
        <f t="shared" si="12"/>
        <v>100</v>
      </c>
      <c r="T35" s="667" t="s">
        <v>18</v>
      </c>
      <c r="U35" s="668">
        <f t="shared" si="13"/>
        <v>100</v>
      </c>
      <c r="V35" s="667" t="s">
        <v>18</v>
      </c>
      <c r="W35" s="668">
        <f t="shared" si="14"/>
        <v>100</v>
      </c>
      <c r="X35" s="1265"/>
      <c r="Y35" s="3401"/>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399"/>
      <c r="Q36" s="1263" t="str">
        <f t="shared" si="11"/>
        <v>公共部分装修</v>
      </c>
      <c r="R36" s="667" t="s">
        <v>18</v>
      </c>
      <c r="S36" s="668">
        <f t="shared" si="12"/>
        <v>100</v>
      </c>
      <c r="T36" s="667" t="s">
        <v>18</v>
      </c>
      <c r="U36" s="668">
        <f t="shared" si="13"/>
        <v>100</v>
      </c>
      <c r="V36" s="667" t="s">
        <v>18</v>
      </c>
      <c r="W36" s="668">
        <f t="shared" si="14"/>
        <v>100</v>
      </c>
      <c r="X36" s="1265"/>
      <c r="Y36" s="340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99"/>
      <c r="Q37" s="530" t="str">
        <f t="shared" si="11"/>
        <v>成新度</v>
      </c>
      <c r="R37" s="664" t="s">
        <v>18</v>
      </c>
      <c r="S37" s="665" t="e">
        <f t="shared" si="12"/>
        <v>#N/A</v>
      </c>
      <c r="T37" s="664" t="s">
        <v>18</v>
      </c>
      <c r="U37" s="665" t="e">
        <f t="shared" si="13"/>
        <v>#N/A</v>
      </c>
      <c r="V37" s="664" t="s">
        <v>18</v>
      </c>
      <c r="W37" s="665" t="e">
        <f t="shared" si="14"/>
        <v>#N/A</v>
      </c>
      <c r="X37" s="666"/>
      <c r="Y37" s="340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399" t="s">
        <v>1696</v>
      </c>
      <c r="Q38" s="1263" t="str">
        <f t="shared" si="11"/>
        <v>物业管理</v>
      </c>
      <c r="R38" s="667" t="s">
        <v>18</v>
      </c>
      <c r="S38" s="668">
        <f t="shared" si="12"/>
        <v>100</v>
      </c>
      <c r="T38" s="667" t="s">
        <v>18</v>
      </c>
      <c r="U38" s="668">
        <f t="shared" si="13"/>
        <v>100</v>
      </c>
      <c r="V38" s="667" t="s">
        <v>18</v>
      </c>
      <c r="W38" s="668">
        <f t="shared" si="14"/>
        <v>100</v>
      </c>
      <c r="X38" s="1265"/>
      <c r="Y38" s="3401"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399"/>
      <c r="Q39" s="1263" t="str">
        <f t="shared" si="11"/>
        <v>市政基础设施</v>
      </c>
      <c r="R39" s="667" t="s">
        <v>18</v>
      </c>
      <c r="S39" s="668">
        <f t="shared" si="12"/>
        <v>100</v>
      </c>
      <c r="T39" s="667" t="s">
        <v>18</v>
      </c>
      <c r="U39" s="668">
        <f t="shared" si="13"/>
        <v>100</v>
      </c>
      <c r="V39" s="667" t="s">
        <v>18</v>
      </c>
      <c r="W39" s="668">
        <f t="shared" si="14"/>
        <v>100</v>
      </c>
      <c r="X39" s="1265"/>
      <c r="Y39" s="3401"/>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399"/>
      <c r="Q40" s="1263" t="str">
        <f t="shared" si="11"/>
        <v>房型</v>
      </c>
      <c r="R40" s="667" t="s">
        <v>18</v>
      </c>
      <c r="S40" s="668">
        <f t="shared" si="12"/>
        <v>100</v>
      </c>
      <c r="T40" s="667" t="s">
        <v>18</v>
      </c>
      <c r="U40" s="668">
        <f t="shared" si="13"/>
        <v>100</v>
      </c>
      <c r="V40" s="667" t="s">
        <v>18</v>
      </c>
      <c r="W40" s="668">
        <f t="shared" si="14"/>
        <v>100</v>
      </c>
      <c r="X40" s="1265"/>
      <c r="Y40" s="340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399"/>
      <c r="Q42" s="1263" t="str">
        <f t="shared" si="11"/>
        <v>内部装修</v>
      </c>
      <c r="R42" s="667" t="s">
        <v>18</v>
      </c>
      <c r="S42" s="668">
        <f t="shared" si="12"/>
        <v>100</v>
      </c>
      <c r="T42" s="667" t="s">
        <v>18</v>
      </c>
      <c r="U42" s="668">
        <f t="shared" si="13"/>
        <v>100</v>
      </c>
      <c r="V42" s="667" t="s">
        <v>18</v>
      </c>
      <c r="W42" s="668">
        <f t="shared" si="14"/>
        <v>100</v>
      </c>
      <c r="X42" s="1265"/>
      <c r="Y42" s="3401"/>
      <c r="Z42" s="1264" t="str">
        <f t="shared" si="18"/>
        <v>内部装修</v>
      </c>
      <c r="AA42" s="1264">
        <f t="shared" si="15"/>
        <v>1</v>
      </c>
      <c r="AB42" s="1264">
        <f t="shared" si="16"/>
        <v>1</v>
      </c>
      <c r="AC42" s="1264">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399"/>
      <c r="Q43" s="1263" t="str">
        <f t="shared" si="11"/>
        <v>内部装修维护情况</v>
      </c>
      <c r="R43" s="667" t="s">
        <v>18</v>
      </c>
      <c r="S43" s="668">
        <f t="shared" si="12"/>
        <v>100</v>
      </c>
      <c r="T43" s="667" t="s">
        <v>18</v>
      </c>
      <c r="U43" s="668">
        <f t="shared" si="13"/>
        <v>100</v>
      </c>
      <c r="V43" s="667" t="s">
        <v>18</v>
      </c>
      <c r="W43" s="668">
        <f t="shared" si="14"/>
        <v>100</v>
      </c>
      <c r="X43" s="1265"/>
      <c r="Y43" s="340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399"/>
      <c r="Q45" s="1263">
        <f t="shared" si="11"/>
        <v>111</v>
      </c>
      <c r="R45" s="667" t="s">
        <v>18</v>
      </c>
      <c r="S45" s="668">
        <f t="shared" si="12"/>
        <v>100</v>
      </c>
      <c r="T45" s="667" t="s">
        <v>18</v>
      </c>
      <c r="U45" s="668">
        <f t="shared" si="13"/>
        <v>100</v>
      </c>
      <c r="V45" s="667" t="s">
        <v>18</v>
      </c>
      <c r="W45" s="668">
        <f t="shared" si="14"/>
        <v>100</v>
      </c>
      <c r="X45" s="1265"/>
      <c r="Y45" s="3401"/>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00"/>
      <c r="Q46" s="1263">
        <f t="shared" si="11"/>
        <v>111</v>
      </c>
      <c r="R46" s="667" t="s">
        <v>17</v>
      </c>
      <c r="S46" s="668">
        <f t="shared" si="12"/>
        <v>100</v>
      </c>
      <c r="T46" s="667" t="s">
        <v>17</v>
      </c>
      <c r="U46" s="668">
        <f t="shared" si="13"/>
        <v>100</v>
      </c>
      <c r="V46" s="667" t="s">
        <v>17</v>
      </c>
      <c r="W46" s="668">
        <f t="shared" si="14"/>
        <v>100</v>
      </c>
      <c r="X46" s="1265"/>
      <c r="Y46" s="340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6"/>
      <c r="L47" s="2491"/>
      <c r="M47" s="2484"/>
      <c r="N47" s="2484"/>
      <c r="O47" s="2484"/>
      <c r="P47" s="3403" t="str">
        <f>A47</f>
        <v>成交单价（元/平方米）</v>
      </c>
      <c r="Q47" s="3403"/>
      <c r="R47" s="3391">
        <f>E47</f>
        <v>0</v>
      </c>
      <c r="S47" s="3391"/>
      <c r="T47" s="3391">
        <f>G47</f>
        <v>0</v>
      </c>
      <c r="U47" s="3391"/>
      <c r="V47" s="3391">
        <f>I47</f>
        <v>0</v>
      </c>
      <c r="W47" s="3391"/>
      <c r="X47" s="385"/>
      <c r="Y47" s="673"/>
      <c r="Z47" s="385"/>
      <c r="AA47" s="385"/>
      <c r="AB47" s="385"/>
      <c r="AC47" s="385"/>
    </row>
    <row r="48" spans="1:29" ht="15" thickBot="1">
      <c r="A48" s="423" t="s">
        <v>1709</v>
      </c>
      <c r="B48" s="424"/>
      <c r="C48" s="1082" t="e">
        <f>R49</f>
        <v>#DIV/0!</v>
      </c>
      <c r="D48" s="2139" t="s">
        <v>2138</v>
      </c>
      <c r="E48" s="1083" t="e">
        <f>R48</f>
        <v>#DIV/0!</v>
      </c>
      <c r="F48" s="2140"/>
      <c r="G48" s="1082" t="e">
        <f>T48</f>
        <v>#DIV/0!</v>
      </c>
      <c r="H48" s="2140"/>
      <c r="I48" s="1083" t="e">
        <f>V48</f>
        <v>#DIV/0!</v>
      </c>
      <c r="J48" s="2140"/>
      <c r="K48" s="2141">
        <f>F48+H48+J48</f>
        <v>0</v>
      </c>
      <c r="L48" s="2491"/>
      <c r="M48" s="2484"/>
      <c r="N48" s="2484"/>
      <c r="O48" s="2484"/>
      <c r="P48" s="3403" t="str">
        <f>A48</f>
        <v>比较价值（元/平方米）</v>
      </c>
      <c r="Q48" s="3403"/>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1"/>
      <c r="M49" s="2484"/>
      <c r="N49" s="2484"/>
      <c r="O49" s="2484"/>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21"/>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759.02</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434" t="s">
        <v>1775</v>
      </c>
      <c r="Q4" s="3435"/>
      <c r="R4" s="3429" t="s">
        <v>1771</v>
      </c>
      <c r="S4" s="3430"/>
      <c r="T4" s="3429" t="s">
        <v>1772</v>
      </c>
      <c r="U4" s="3430"/>
      <c r="V4" s="3391" t="s">
        <v>1773</v>
      </c>
      <c r="W4" s="3391"/>
      <c r="X4" s="1265"/>
      <c r="Y4" s="3429" t="s">
        <v>1775</v>
      </c>
      <c r="Z4" s="3430"/>
      <c r="AA4" s="3428" t="s">
        <v>1771</v>
      </c>
      <c r="AB4" s="3391" t="s">
        <v>1772</v>
      </c>
      <c r="AC4" s="3428" t="s">
        <v>1773</v>
      </c>
    </row>
    <row r="5" spans="1:29">
      <c r="A5" s="348"/>
      <c r="B5" s="349"/>
      <c r="C5" s="3433" t="s">
        <v>1673</v>
      </c>
      <c r="D5" s="3369"/>
      <c r="E5" s="3431" t="s">
        <v>1674</v>
      </c>
      <c r="F5" s="3432"/>
      <c r="G5" s="3433" t="s">
        <v>1675</v>
      </c>
      <c r="H5" s="3369"/>
      <c r="I5" s="3433" t="s">
        <v>1676</v>
      </c>
      <c r="J5" s="3369"/>
      <c r="K5" s="537"/>
      <c r="L5" s="2483"/>
      <c r="M5" s="2484"/>
      <c r="N5" s="2484"/>
      <c r="O5" s="2484"/>
      <c r="P5" s="3436"/>
      <c r="Q5" s="3385"/>
      <c r="R5" s="3366"/>
      <c r="S5" s="3367"/>
      <c r="T5" s="3366"/>
      <c r="U5" s="3367"/>
      <c r="V5" s="3391"/>
      <c r="W5" s="3391"/>
      <c r="X5" s="1265"/>
      <c r="Y5" s="3366"/>
      <c r="Z5" s="3367"/>
      <c r="AA5" s="3360"/>
      <c r="AB5" s="3391"/>
      <c r="AC5" s="3360"/>
    </row>
    <row r="6" spans="1:29" ht="15" thickBot="1">
      <c r="A6" s="350"/>
      <c r="B6" s="351"/>
      <c r="C6" s="3370" t="s">
        <v>1677</v>
      </c>
      <c r="D6" s="3371"/>
      <c r="E6" s="3372" t="s">
        <v>1677</v>
      </c>
      <c r="F6" s="3373"/>
      <c r="G6" s="3370" t="s">
        <v>1677</v>
      </c>
      <c r="H6" s="3371"/>
      <c r="I6" s="3370" t="s">
        <v>1677</v>
      </c>
      <c r="J6" s="3371"/>
      <c r="K6" s="537" t="s">
        <v>1678</v>
      </c>
      <c r="L6" s="2483"/>
      <c r="M6" s="2484"/>
      <c r="N6" s="2484"/>
      <c r="O6" s="2484"/>
      <c r="P6" s="3437"/>
      <c r="Q6" s="3387"/>
      <c r="R6" s="3366"/>
      <c r="S6" s="3367"/>
      <c r="T6" s="3388"/>
      <c r="U6" s="3389"/>
      <c r="V6" s="3391"/>
      <c r="W6" s="3391"/>
      <c r="X6" s="1265"/>
      <c r="Y6" s="3388"/>
      <c r="Z6" s="3389"/>
      <c r="AA6" s="3361"/>
      <c r="AB6" s="3391"/>
      <c r="AC6" s="3361"/>
    </row>
    <row r="7" spans="1:29" s="102" customFormat="1" ht="15" thickBot="1">
      <c r="A7" s="352" t="s">
        <v>1679</v>
      </c>
      <c r="B7" s="353"/>
      <c r="C7" s="354">
        <f>'数据-取费表'!B2</f>
        <v>45694</v>
      </c>
      <c r="D7" s="355">
        <v>100</v>
      </c>
      <c r="E7" s="356"/>
      <c r="F7" s="357">
        <f>SUMIF(58:58,YEAR(E7)&amp;"-"&amp;MONTH(E7),59:59)</f>
        <v>0</v>
      </c>
      <c r="G7" s="356"/>
      <c r="H7" s="355">
        <f>SUMIF(58:58,YEAR(G7)&amp;"-"&amp;MONTH(G7),59:59)</f>
        <v>0</v>
      </c>
      <c r="I7" s="356"/>
      <c r="J7" s="355">
        <f>SUMIF(58:58,YEAR(I7)&amp;"-"&amp;MONTH(I7),59:59)</f>
        <v>0</v>
      </c>
      <c r="K7" s="38"/>
      <c r="L7" s="2485"/>
      <c r="M7" s="2437"/>
      <c r="N7" s="2437"/>
      <c r="O7" s="2437"/>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374"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7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74"/>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7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7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74"/>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94"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395"/>
      <c r="Q16" s="1263"/>
      <c r="R16" s="667"/>
      <c r="S16" s="668"/>
      <c r="T16" s="667"/>
      <c r="U16" s="668"/>
      <c r="V16" s="667"/>
      <c r="W16" s="668"/>
      <c r="X16" s="1265"/>
      <c r="Y16" s="3397"/>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89"/>
      <c r="M18" s="2484"/>
      <c r="N18" s="2484"/>
      <c r="O18" s="2484"/>
      <c r="P18" s="3395"/>
      <c r="Q18" s="1263"/>
      <c r="R18" s="667"/>
      <c r="S18" s="668"/>
      <c r="T18" s="667"/>
      <c r="U18" s="668"/>
      <c r="V18" s="667"/>
      <c r="W18" s="668"/>
      <c r="X18" s="1265"/>
      <c r="Y18" s="3397"/>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89"/>
      <c r="M20" s="2484"/>
      <c r="N20" s="2484"/>
      <c r="O20" s="2484"/>
      <c r="P20" s="3395"/>
      <c r="Q20" s="1263"/>
      <c r="R20" s="667"/>
      <c r="S20" s="668"/>
      <c r="T20" s="667"/>
      <c r="U20" s="668"/>
      <c r="V20" s="667"/>
      <c r="W20" s="668"/>
      <c r="X20" s="1265"/>
      <c r="Y20" s="3397"/>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89"/>
      <c r="M22" s="2484"/>
      <c r="N22" s="2484"/>
      <c r="O22" s="2484"/>
      <c r="P22" s="3395"/>
      <c r="Q22" s="1263"/>
      <c r="R22" s="667"/>
      <c r="S22" s="668"/>
      <c r="T22" s="667"/>
      <c r="U22" s="668"/>
      <c r="V22" s="667"/>
      <c r="W22" s="668"/>
      <c r="X22" s="1265"/>
      <c r="Y22" s="3397"/>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95"/>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89"/>
      <c r="M24" s="2484"/>
      <c r="N24" s="2484"/>
      <c r="O24" s="2484"/>
      <c r="P24" s="3395"/>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95"/>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95"/>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395"/>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95"/>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398" t="s">
        <v>1696</v>
      </c>
      <c r="Q32" s="1263" t="str">
        <f t="shared" si="11"/>
        <v>商业类型</v>
      </c>
      <c r="R32" s="667" t="s">
        <v>14</v>
      </c>
      <c r="S32" s="668">
        <f t="shared" si="12"/>
        <v>100</v>
      </c>
      <c r="T32" s="667" t="s">
        <v>14</v>
      </c>
      <c r="U32" s="668">
        <f t="shared" si="13"/>
        <v>100</v>
      </c>
      <c r="V32" s="667" t="s">
        <v>14</v>
      </c>
      <c r="W32" s="668">
        <f t="shared" si="14"/>
        <v>100</v>
      </c>
      <c r="X32" s="1265"/>
      <c r="Y32" s="340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99"/>
      <c r="Q33" s="531" t="str">
        <f t="shared" si="11"/>
        <v>项目建筑规模</v>
      </c>
      <c r="R33" s="669" t="s">
        <v>14</v>
      </c>
      <c r="S33" s="670" t="e">
        <f t="shared" si="12"/>
        <v>#N/A</v>
      </c>
      <c r="T33" s="669" t="s">
        <v>14</v>
      </c>
      <c r="U33" s="670" t="e">
        <f t="shared" si="13"/>
        <v>#N/A</v>
      </c>
      <c r="V33" s="669" t="s">
        <v>14</v>
      </c>
      <c r="W33" s="670" t="e">
        <f t="shared" si="14"/>
        <v>#N/A</v>
      </c>
      <c r="X33" s="671"/>
      <c r="Y33" s="340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99"/>
      <c r="Q34" s="1263" t="str">
        <f t="shared" si="11"/>
        <v>建筑结构</v>
      </c>
      <c r="R34" s="667" t="s">
        <v>14</v>
      </c>
      <c r="S34" s="668">
        <f t="shared" si="12"/>
        <v>100</v>
      </c>
      <c r="T34" s="667" t="s">
        <v>14</v>
      </c>
      <c r="U34" s="668">
        <f t="shared" si="13"/>
        <v>100</v>
      </c>
      <c r="V34" s="667" t="s">
        <v>14</v>
      </c>
      <c r="W34" s="668">
        <f t="shared" si="14"/>
        <v>100</v>
      </c>
      <c r="X34" s="1265"/>
      <c r="Y34" s="3401"/>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399"/>
      <c r="Q35" s="1263" t="str">
        <f t="shared" si="11"/>
        <v>公共部分装修</v>
      </c>
      <c r="R35" s="667" t="s">
        <v>14</v>
      </c>
      <c r="S35" s="668">
        <f t="shared" si="12"/>
        <v>100</v>
      </c>
      <c r="T35" s="667" t="s">
        <v>14</v>
      </c>
      <c r="U35" s="668">
        <f t="shared" si="13"/>
        <v>100</v>
      </c>
      <c r="V35" s="667" t="s">
        <v>14</v>
      </c>
      <c r="W35" s="668">
        <f t="shared" si="14"/>
        <v>100</v>
      </c>
      <c r="X35" s="1265"/>
      <c r="Y35" s="340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99"/>
      <c r="Q36" s="1263" t="str">
        <f t="shared" si="11"/>
        <v>成新度</v>
      </c>
      <c r="R36" s="667" t="s">
        <v>14</v>
      </c>
      <c r="S36" s="668" t="e">
        <f t="shared" si="12"/>
        <v>#N/A</v>
      </c>
      <c r="T36" s="667" t="s">
        <v>14</v>
      </c>
      <c r="U36" s="668" t="e">
        <f t="shared" si="13"/>
        <v>#N/A</v>
      </c>
      <c r="V36" s="667" t="s">
        <v>14</v>
      </c>
      <c r="W36" s="668" t="e">
        <f t="shared" si="14"/>
        <v>#N/A</v>
      </c>
      <c r="X36" s="1265"/>
      <c r="Y36" s="3401"/>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399" t="s">
        <v>1696</v>
      </c>
      <c r="Q38" s="1263" t="str">
        <f t="shared" si="11"/>
        <v>业态</v>
      </c>
      <c r="R38" s="667" t="s">
        <v>14</v>
      </c>
      <c r="S38" s="668">
        <f t="shared" si="12"/>
        <v>100</v>
      </c>
      <c r="T38" s="667" t="s">
        <v>14</v>
      </c>
      <c r="U38" s="668">
        <f t="shared" si="13"/>
        <v>100</v>
      </c>
      <c r="V38" s="667" t="s">
        <v>14</v>
      </c>
      <c r="W38" s="668">
        <f t="shared" si="14"/>
        <v>100</v>
      </c>
      <c r="X38" s="1265"/>
      <c r="Y38" s="3401"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399"/>
      <c r="Q39" s="1263" t="str">
        <f t="shared" si="11"/>
        <v>层高</v>
      </c>
      <c r="R39" s="667" t="s">
        <v>14</v>
      </c>
      <c r="S39" s="668">
        <f t="shared" si="12"/>
        <v>100</v>
      </c>
      <c r="T39" s="667" t="s">
        <v>14</v>
      </c>
      <c r="U39" s="668">
        <f t="shared" si="13"/>
        <v>100</v>
      </c>
      <c r="V39" s="667" t="s">
        <v>14</v>
      </c>
      <c r="W39" s="668">
        <f t="shared" si="14"/>
        <v>100</v>
      </c>
      <c r="X39" s="1265"/>
      <c r="Y39" s="340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99"/>
      <c r="Q40" s="1263" t="str">
        <f t="shared" si="11"/>
        <v>单套建筑面积</v>
      </c>
      <c r="R40" s="667" t="s">
        <v>14</v>
      </c>
      <c r="S40" s="668">
        <f t="shared" si="12"/>
        <v>100</v>
      </c>
      <c r="T40" s="667" t="s">
        <v>14</v>
      </c>
      <c r="U40" s="668">
        <f t="shared" si="13"/>
        <v>100</v>
      </c>
      <c r="V40" s="667" t="s">
        <v>14</v>
      </c>
      <c r="W40" s="668">
        <f t="shared" si="14"/>
        <v>100</v>
      </c>
      <c r="X40" s="1265"/>
      <c r="Y40" s="340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399"/>
      <c r="Q42" s="1263" t="str">
        <f t="shared" si="11"/>
        <v>内部装修</v>
      </c>
      <c r="R42" s="667" t="s">
        <v>14</v>
      </c>
      <c r="S42" s="668">
        <f t="shared" si="12"/>
        <v>100</v>
      </c>
      <c r="T42" s="667" t="s">
        <v>14</v>
      </c>
      <c r="U42" s="668">
        <f t="shared" si="13"/>
        <v>100</v>
      </c>
      <c r="V42" s="667" t="s">
        <v>14</v>
      </c>
      <c r="W42" s="668">
        <f t="shared" si="14"/>
        <v>100</v>
      </c>
      <c r="X42" s="1265"/>
      <c r="Y42" s="3401"/>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399"/>
      <c r="Q43" s="1263" t="str">
        <f t="shared" si="11"/>
        <v>内部装修维护情况</v>
      </c>
      <c r="R43" s="667" t="s">
        <v>14</v>
      </c>
      <c r="S43" s="668">
        <f t="shared" si="12"/>
        <v>100</v>
      </c>
      <c r="T43" s="667" t="s">
        <v>14</v>
      </c>
      <c r="U43" s="668">
        <f t="shared" si="13"/>
        <v>100</v>
      </c>
      <c r="V43" s="667" t="s">
        <v>14</v>
      </c>
      <c r="W43" s="668">
        <f t="shared" si="14"/>
        <v>100</v>
      </c>
      <c r="X43" s="1265"/>
      <c r="Y43" s="340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99"/>
      <c r="Q44" s="530">
        <f t="shared" si="11"/>
        <v>111</v>
      </c>
      <c r="R44" s="664" t="s">
        <v>14</v>
      </c>
      <c r="S44" s="665">
        <f t="shared" si="12"/>
        <v>100</v>
      </c>
      <c r="T44" s="664" t="s">
        <v>14</v>
      </c>
      <c r="U44" s="665">
        <f t="shared" si="13"/>
        <v>100</v>
      </c>
      <c r="V44" s="664" t="s">
        <v>14</v>
      </c>
      <c r="W44" s="665">
        <f t="shared" si="14"/>
        <v>100</v>
      </c>
      <c r="X44" s="666"/>
      <c r="Y44" s="34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99"/>
      <c r="Q45" s="1263">
        <f t="shared" si="11"/>
        <v>111</v>
      </c>
      <c r="R45" s="667" t="s">
        <v>14</v>
      </c>
      <c r="S45" s="668">
        <f t="shared" si="12"/>
        <v>100</v>
      </c>
      <c r="T45" s="667" t="s">
        <v>14</v>
      </c>
      <c r="U45" s="668">
        <f t="shared" si="13"/>
        <v>100</v>
      </c>
      <c r="V45" s="667" t="s">
        <v>14</v>
      </c>
      <c r="W45" s="668">
        <f t="shared" si="14"/>
        <v>100</v>
      </c>
      <c r="X45" s="1265"/>
      <c r="Y45" s="3401"/>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403" t="str">
        <f>A47</f>
        <v>成交单价（元/平方米）</v>
      </c>
      <c r="Q47" s="3403"/>
      <c r="R47" s="3391">
        <f>E47</f>
        <v>0</v>
      </c>
      <c r="S47" s="3391"/>
      <c r="T47" s="3391">
        <f>G47</f>
        <v>0</v>
      </c>
      <c r="U47" s="3391"/>
      <c r="V47" s="3391">
        <f>I47</f>
        <v>0</v>
      </c>
      <c r="W47" s="3391"/>
      <c r="X47" s="385"/>
      <c r="Y47" s="673"/>
      <c r="Z47" s="385"/>
      <c r="AA47" s="385"/>
      <c r="AB47" s="385"/>
      <c r="AC47" s="385"/>
    </row>
    <row r="48" spans="1:29" ht="15" thickBot="1">
      <c r="A48" s="423" t="s">
        <v>1793</v>
      </c>
      <c r="B48" s="424"/>
      <c r="C48" s="1082" t="e">
        <f>R49</f>
        <v>#DIV/0!</v>
      </c>
      <c r="D48" s="2139" t="s">
        <v>2138</v>
      </c>
      <c r="E48" s="1083" t="e">
        <f>R48</f>
        <v>#DIV/0!</v>
      </c>
      <c r="F48" s="2140"/>
      <c r="G48" s="1082" t="e">
        <f>T48</f>
        <v>#DIV/0!</v>
      </c>
      <c r="H48" s="2140"/>
      <c r="I48" s="1083" t="e">
        <f>V48</f>
        <v>#DIV/0!</v>
      </c>
      <c r="J48" s="2140"/>
      <c r="K48" s="2142">
        <f>F48+H48+J48</f>
        <v>0</v>
      </c>
      <c r="L48" s="2491"/>
      <c r="M48" s="2484"/>
      <c r="N48" s="2484"/>
      <c r="O48" s="2484"/>
      <c r="P48" s="3403" t="str">
        <f>A48</f>
        <v>比较价值（元/平方米）</v>
      </c>
      <c r="Q48" s="3403"/>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FCF7B-1502-4032-8ED0-A23B8D666EB2}">
  <sheetPr>
    <tabColor rgb="FF92D050"/>
    <pageSetUpPr fitToPage="1"/>
  </sheetPr>
  <dimension ref="A1:AC132"/>
  <sheetViews>
    <sheetView view="pageBreakPreview" topLeftCell="A43" zoomScale="70" zoomScaleNormal="70" zoomScaleSheetLayoutView="70" workbookViewId="0">
      <selection activeCell="E7" sqref="E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t="s">
        <v>21</v>
      </c>
      <c r="E1" s="3128" t="s">
        <v>3418</v>
      </c>
      <c r="F1" s="1734" t="s">
        <v>3474</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0.42509999999999998</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5.6</v>
      </c>
      <c r="C3" s="344" t="s">
        <v>1665</v>
      </c>
      <c r="D3" s="343">
        <f>IF(D1="",'数据-汇总表'!E3,SUMIF('数据-汇总表'!$C19:$C33,D1,'数据-汇总表'!$E19:$E33))</f>
        <v>759.02</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1666</v>
      </c>
      <c r="B4" s="346"/>
      <c r="C4" s="3378" t="s">
        <v>1667</v>
      </c>
      <c r="D4" s="3379"/>
      <c r="E4" s="3380" t="s">
        <v>1668</v>
      </c>
      <c r="F4" s="3381"/>
      <c r="G4" s="3378" t="s">
        <v>1669</v>
      </c>
      <c r="H4" s="3379"/>
      <c r="I4" s="3378" t="s">
        <v>1670</v>
      </c>
      <c r="J4" s="3379"/>
      <c r="K4" s="537" t="s">
        <v>1671</v>
      </c>
      <c r="L4" s="2483"/>
      <c r="M4" s="2484"/>
      <c r="N4" s="2484"/>
      <c r="O4" s="2484"/>
      <c r="P4" s="3382" t="s">
        <v>1672</v>
      </c>
      <c r="Q4" s="3383"/>
      <c r="R4" s="3364" t="s">
        <v>1668</v>
      </c>
      <c r="S4" s="3365"/>
      <c r="T4" s="3364" t="s">
        <v>1669</v>
      </c>
      <c r="U4" s="3365"/>
      <c r="V4" s="3390" t="s">
        <v>1670</v>
      </c>
      <c r="W4" s="3390"/>
      <c r="X4" s="1808"/>
      <c r="Y4" s="3364" t="s">
        <v>1672</v>
      </c>
      <c r="Z4" s="3365"/>
      <c r="AA4" s="3359" t="s">
        <v>1668</v>
      </c>
      <c r="AB4" s="3359" t="s">
        <v>1669</v>
      </c>
      <c r="AC4" s="3375" t="s">
        <v>1670</v>
      </c>
    </row>
    <row r="5" spans="1:29" ht="13.8" customHeight="1">
      <c r="A5" s="348"/>
      <c r="B5" s="349"/>
      <c r="C5" s="3368" t="s">
        <v>3424</v>
      </c>
      <c r="D5" s="3369"/>
      <c r="E5" s="3368" t="s">
        <v>3424</v>
      </c>
      <c r="F5" s="3369"/>
      <c r="G5" s="3368" t="s">
        <v>3424</v>
      </c>
      <c r="H5" s="3369"/>
      <c r="I5" s="3368" t="s">
        <v>3424</v>
      </c>
      <c r="J5" s="3369"/>
      <c r="K5" s="537"/>
      <c r="L5" s="2483"/>
      <c r="M5" s="2484"/>
      <c r="N5" s="2484"/>
      <c r="O5" s="2484"/>
      <c r="P5" s="3384"/>
      <c r="Q5" s="3385"/>
      <c r="R5" s="3366"/>
      <c r="S5" s="3367"/>
      <c r="T5" s="3366"/>
      <c r="U5" s="3367"/>
      <c r="V5" s="3391"/>
      <c r="W5" s="3391"/>
      <c r="X5" s="1265"/>
      <c r="Y5" s="3366"/>
      <c r="Z5" s="3367"/>
      <c r="AA5" s="3360"/>
      <c r="AB5" s="3360"/>
      <c r="AC5" s="3376"/>
    </row>
    <row r="6" spans="1:29" ht="15" thickBot="1">
      <c r="A6" s="350"/>
      <c r="B6" s="351"/>
      <c r="C6" s="3370" t="s">
        <v>1677</v>
      </c>
      <c r="D6" s="3371"/>
      <c r="E6" s="3372" t="s">
        <v>1677</v>
      </c>
      <c r="F6" s="3373"/>
      <c r="G6" s="3370" t="s">
        <v>1677</v>
      </c>
      <c r="H6" s="3371"/>
      <c r="I6" s="3370" t="s">
        <v>1677</v>
      </c>
      <c r="J6" s="3371"/>
      <c r="K6" s="537" t="s">
        <v>1678</v>
      </c>
      <c r="L6" s="2483"/>
      <c r="M6" s="2484"/>
      <c r="N6" s="2484"/>
      <c r="O6" s="2484"/>
      <c r="P6" s="3386"/>
      <c r="Q6" s="3387"/>
      <c r="R6" s="3366"/>
      <c r="S6" s="3367"/>
      <c r="T6" s="3388"/>
      <c r="U6" s="3389"/>
      <c r="V6" s="3391"/>
      <c r="W6" s="3391"/>
      <c r="X6" s="1265"/>
      <c r="Y6" s="3388"/>
      <c r="Z6" s="3389"/>
      <c r="AA6" s="3361"/>
      <c r="AB6" s="3361"/>
      <c r="AC6" s="3377"/>
    </row>
    <row r="7" spans="1:29" s="102" customFormat="1" ht="15" thickBot="1">
      <c r="A7" s="352" t="s">
        <v>1679</v>
      </c>
      <c r="B7" s="353"/>
      <c r="C7" s="354">
        <f>'数据-取费表'!B2</f>
        <v>45694</v>
      </c>
      <c r="D7" s="355">
        <v>100</v>
      </c>
      <c r="E7" s="356">
        <f>C7</f>
        <v>45694</v>
      </c>
      <c r="F7" s="357">
        <f>SUMIF(59:59,YEAR(E7)&amp;"-"&amp;MONTH(E7),60:60)</f>
        <v>100</v>
      </c>
      <c r="G7" s="356">
        <f>C7</f>
        <v>45694</v>
      </c>
      <c r="H7" s="355">
        <f>SUMIF(59:59,YEAR(G7)&amp;"-"&amp;MONTH(G7),60:60)</f>
        <v>100</v>
      </c>
      <c r="I7" s="356">
        <f>C7</f>
        <v>45694</v>
      </c>
      <c r="J7" s="355">
        <f>SUMIF(59:59,YEAR(I7)&amp;"-"&amp;MONTH(I7),60:60)</f>
        <v>100</v>
      </c>
      <c r="K7" s="38"/>
      <c r="L7" s="2485"/>
      <c r="M7" s="2437"/>
      <c r="N7" s="2437"/>
      <c r="O7" s="2437"/>
      <c r="P7" s="3392" t="s">
        <v>1680</v>
      </c>
      <c r="Q7" s="3393"/>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802">
        <f>D7/J7</f>
        <v>1</v>
      </c>
    </row>
    <row r="8" spans="1:29" s="102" customFormat="1" ht="15" thickBot="1">
      <c r="A8" s="352" t="s">
        <v>1681</v>
      </c>
      <c r="B8" s="353"/>
      <c r="C8" s="358" t="s">
        <v>3425</v>
      </c>
      <c r="D8" s="355">
        <v>100</v>
      </c>
      <c r="E8" s="358" t="s">
        <v>3426</v>
      </c>
      <c r="F8" s="357">
        <f>SUMIF(62:62,E8,63:63)-SUMIF(62:62,C8,63:63)+100</f>
        <v>101</v>
      </c>
      <c r="G8" s="358" t="s">
        <v>3426</v>
      </c>
      <c r="H8" s="355">
        <f>SUMIF(62:62,G8,63:63)-SUMIF(62:62,C8,63:63)+100</f>
        <v>101</v>
      </c>
      <c r="I8" s="358" t="s">
        <v>3426</v>
      </c>
      <c r="J8" s="355">
        <f>SUMIF(62:62,I8,63:63)-SUMIF(62:62,C8,63:63)+100</f>
        <v>101</v>
      </c>
      <c r="K8" s="38"/>
      <c r="L8" s="2485"/>
      <c r="M8" s="2437"/>
      <c r="N8" s="2437"/>
      <c r="O8" s="2437"/>
      <c r="P8" s="3392" t="s">
        <v>1683</v>
      </c>
      <c r="Q8" s="3363"/>
      <c r="R8" s="664" t="s">
        <v>14</v>
      </c>
      <c r="S8" s="665">
        <f t="shared" si="0"/>
        <v>101</v>
      </c>
      <c r="T8" s="664" t="s">
        <v>14</v>
      </c>
      <c r="U8" s="665">
        <f t="shared" si="1"/>
        <v>101</v>
      </c>
      <c r="V8" s="664" t="s">
        <v>14</v>
      </c>
      <c r="W8" s="665">
        <f t="shared" si="2"/>
        <v>101</v>
      </c>
      <c r="X8" s="666"/>
      <c r="Y8" s="3362" t="s">
        <v>1683</v>
      </c>
      <c r="Z8" s="3363"/>
      <c r="AA8" s="50">
        <f t="shared" ref="AA8:AA47" si="3">D8/F8</f>
        <v>0.99009900990099009</v>
      </c>
      <c r="AB8" s="50">
        <f t="shared" ref="AB8:AB47" si="4">D8/H8</f>
        <v>0.99009900990099009</v>
      </c>
      <c r="AC8" s="802">
        <f t="shared" ref="AC8:AC47" si="5">D8/J8</f>
        <v>0.99009900990099009</v>
      </c>
    </row>
    <row r="9" spans="1:29" s="102" customFormat="1" ht="15" thickBot="1">
      <c r="A9" s="359" t="s">
        <v>1684</v>
      </c>
      <c r="B9" s="60" t="s">
        <v>1685</v>
      </c>
      <c r="C9" s="3152" t="s">
        <v>3438</v>
      </c>
      <c r="D9" s="59">
        <v>100</v>
      </c>
      <c r="E9" s="362" t="s">
        <v>21</v>
      </c>
      <c r="F9" s="59">
        <f>SUMIF(64:64,E9,65:65)-SUMIF(64:64,C9,65:65)+100</f>
        <v>100</v>
      </c>
      <c r="G9" s="362" t="s">
        <v>21</v>
      </c>
      <c r="H9" s="59">
        <f>SUMIF(64:64,G9,65:65)-SUMIF(64:64,C9,65:65)+100</f>
        <v>100</v>
      </c>
      <c r="I9" s="362" t="s">
        <v>21</v>
      </c>
      <c r="J9" s="59">
        <f>SUMIF(64:64,I9,65:65)-SUMIF(64:64,C9,65:65)+100</f>
        <v>100</v>
      </c>
      <c r="K9" s="38"/>
      <c r="L9" s="2485"/>
      <c r="M9" s="2437"/>
      <c r="N9" s="2437"/>
      <c r="O9" s="2437"/>
      <c r="P9" s="3374"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6"/>
      <c r="M10" s="2487"/>
      <c r="N10" s="2487"/>
      <c r="O10" s="2487"/>
      <c r="P10" s="337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4"/>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37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37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374"/>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9"/>
      <c r="M15" s="2484"/>
      <c r="N15" s="2484"/>
      <c r="O15" s="2484"/>
      <c r="P15" s="3394"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1">
        <f t="shared" si="5"/>
        <v>1</v>
      </c>
    </row>
    <row r="16" spans="1:29" ht="15">
      <c r="A16" s="367"/>
      <c r="B16" s="555"/>
      <c r="C16" s="1757" t="s">
        <v>3439</v>
      </c>
      <c r="D16" s="387"/>
      <c r="E16" s="1757" t="s">
        <v>3439</v>
      </c>
      <c r="F16" s="387"/>
      <c r="G16" s="1757" t="s">
        <v>3439</v>
      </c>
      <c r="H16" s="389"/>
      <c r="I16" s="1757" t="s">
        <v>3439</v>
      </c>
      <c r="J16" s="387"/>
      <c r="K16" s="541"/>
      <c r="L16" s="2489"/>
      <c r="M16" s="2484"/>
      <c r="N16" s="2484"/>
      <c r="O16" s="2484"/>
      <c r="P16" s="3395"/>
      <c r="Q16" s="1263"/>
      <c r="R16" s="667"/>
      <c r="S16" s="668"/>
      <c r="T16" s="667"/>
      <c r="U16" s="668"/>
      <c r="V16" s="667"/>
      <c r="W16" s="668"/>
      <c r="X16" s="1265"/>
      <c r="Y16" s="3397"/>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1">
        <f t="shared" si="5"/>
        <v>1</v>
      </c>
    </row>
    <row r="18" spans="1:29" ht="15">
      <c r="A18" s="367"/>
      <c r="B18" s="401"/>
      <c r="C18" s="1757" t="s">
        <v>3439</v>
      </c>
      <c r="D18" s="389"/>
      <c r="E18" s="1757" t="s">
        <v>3439</v>
      </c>
      <c r="F18" s="389"/>
      <c r="G18" s="1757" t="s">
        <v>3439</v>
      </c>
      <c r="H18" s="387"/>
      <c r="I18" s="1757" t="s">
        <v>3439</v>
      </c>
      <c r="J18" s="387"/>
      <c r="K18" s="541"/>
      <c r="L18" s="2489"/>
      <c r="M18" s="2484"/>
      <c r="N18" s="2484"/>
      <c r="O18" s="2484"/>
      <c r="P18" s="3395"/>
      <c r="Q18" s="1263"/>
      <c r="R18" s="667"/>
      <c r="S18" s="668"/>
      <c r="T18" s="667"/>
      <c r="U18" s="668"/>
      <c r="V18" s="667"/>
      <c r="W18" s="668"/>
      <c r="X18" s="1265"/>
      <c r="Y18" s="3397"/>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1">
        <f t="shared" si="5"/>
        <v>1</v>
      </c>
    </row>
    <row r="20" spans="1:29" ht="15">
      <c r="A20" s="367"/>
      <c r="B20" s="401"/>
      <c r="C20" s="1757" t="s">
        <v>3439</v>
      </c>
      <c r="D20" s="387"/>
      <c r="E20" s="1757" t="s">
        <v>3439</v>
      </c>
      <c r="F20" s="387"/>
      <c r="G20" s="1757" t="s">
        <v>3439</v>
      </c>
      <c r="H20" s="387"/>
      <c r="I20" s="1757" t="s">
        <v>3439</v>
      </c>
      <c r="J20" s="387"/>
      <c r="K20" s="541"/>
      <c r="L20" s="2489"/>
      <c r="M20" s="2484"/>
      <c r="N20" s="2484"/>
      <c r="O20" s="2484"/>
      <c r="P20" s="3395"/>
      <c r="Q20" s="1263"/>
      <c r="R20" s="667"/>
      <c r="S20" s="668"/>
      <c r="T20" s="667"/>
      <c r="U20" s="668"/>
      <c r="V20" s="667"/>
      <c r="W20" s="668"/>
      <c r="X20" s="1265"/>
      <c r="Y20" s="3397"/>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89"/>
      <c r="M21" s="2484"/>
      <c r="N21" s="2484"/>
      <c r="O21" s="2484"/>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1">
        <f t="shared" ref="AC21" si="10">D21/J21</f>
        <v>1</v>
      </c>
    </row>
    <row r="22" spans="1:29" ht="15">
      <c r="A22" s="367"/>
      <c r="B22" s="557"/>
      <c r="C22" s="1813" t="s">
        <v>3440</v>
      </c>
      <c r="D22" s="387"/>
      <c r="E22" s="1813" t="s">
        <v>3440</v>
      </c>
      <c r="F22" s="387"/>
      <c r="G22" s="1813" t="s">
        <v>3440</v>
      </c>
      <c r="H22" s="387"/>
      <c r="I22" s="1813" t="s">
        <v>3440</v>
      </c>
      <c r="J22" s="387"/>
      <c r="K22" s="1064"/>
      <c r="L22" s="2489"/>
      <c r="M22" s="2484"/>
      <c r="N22" s="2484"/>
      <c r="O22" s="2484"/>
      <c r="P22" s="3395"/>
      <c r="Q22" s="1263"/>
      <c r="R22" s="667"/>
      <c r="S22" s="668"/>
      <c r="T22" s="667"/>
      <c r="U22" s="668"/>
      <c r="V22" s="667"/>
      <c r="W22" s="668"/>
      <c r="X22" s="1265"/>
      <c r="Y22" s="3397"/>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1</v>
      </c>
      <c r="L23" s="2489"/>
      <c r="M23" s="2484"/>
      <c r="N23" s="2484"/>
      <c r="O23" s="2484"/>
      <c r="P23" s="3395"/>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1">
        <f t="shared" si="5"/>
        <v>1</v>
      </c>
    </row>
    <row r="24" spans="1:29" ht="15">
      <c r="A24" s="367"/>
      <c r="B24" s="557"/>
      <c r="C24" s="1757" t="s">
        <v>3439</v>
      </c>
      <c r="D24" s="387"/>
      <c r="E24" s="1757" t="s">
        <v>3439</v>
      </c>
      <c r="F24" s="387"/>
      <c r="G24" s="1757" t="s">
        <v>3439</v>
      </c>
      <c r="H24" s="387"/>
      <c r="I24" s="1757" t="s">
        <v>3439</v>
      </c>
      <c r="J24" s="387"/>
      <c r="K24" s="541"/>
      <c r="L24" s="2489"/>
      <c r="M24" s="2484"/>
      <c r="N24" s="2484"/>
      <c r="O24" s="2484"/>
      <c r="P24" s="3395"/>
      <c r="Q24" s="1263"/>
      <c r="R24" s="667"/>
      <c r="S24" s="668"/>
      <c r="T24" s="667"/>
      <c r="U24" s="668"/>
      <c r="V24" s="667"/>
      <c r="W24" s="668"/>
      <c r="X24" s="1265"/>
      <c r="Y24" s="3397"/>
      <c r="Z24" s="1264"/>
      <c r="AA24" s="1264">
        <v>1</v>
      </c>
      <c r="AB24" s="1264">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9"/>
      <c r="M25" s="2484"/>
      <c r="N25" s="2484"/>
      <c r="O25" s="2484"/>
      <c r="P25" s="3395"/>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89"/>
      <c r="M26" s="2484"/>
      <c r="N26" s="2484"/>
      <c r="O26" s="2484"/>
      <c r="P26" s="3395"/>
      <c r="Q26" s="1263"/>
      <c r="R26" s="667"/>
      <c r="S26" s="668"/>
      <c r="T26" s="667"/>
      <c r="U26" s="668"/>
      <c r="V26" s="667"/>
      <c r="W26" s="668"/>
      <c r="X26" s="1265"/>
      <c r="Y26" s="3397"/>
      <c r="Z26" s="1264"/>
      <c r="AA26" s="1264">
        <v>1</v>
      </c>
      <c r="AB26" s="1264">
        <v>1</v>
      </c>
      <c r="AC26" s="1811">
        <v>1</v>
      </c>
    </row>
    <row r="27" spans="1:29" ht="15">
      <c r="A27" s="367"/>
      <c r="B27" s="401" t="s">
        <v>1783</v>
      </c>
      <c r="C27" s="558" t="s">
        <v>3441</v>
      </c>
      <c r="D27" s="374">
        <v>100</v>
      </c>
      <c r="E27" s="542" t="s">
        <v>3445</v>
      </c>
      <c r="F27" s="374">
        <f>SUMIF(89:89,E27,90:90)-SUMIF(89:89,C27,90:90)+100</f>
        <v>96</v>
      </c>
      <c r="G27" s="558" t="s">
        <v>3441</v>
      </c>
      <c r="H27" s="374">
        <f>SUMIF(89:89,G27,90:90)-SUMIF(89:89,C27,90:90)+100</f>
        <v>100</v>
      </c>
      <c r="I27" s="542" t="s">
        <v>3443</v>
      </c>
      <c r="J27" s="374">
        <f>SUMIF(89:89,I27,90:90)-SUMIF(89:89,C27,90:90)+100</f>
        <v>98</v>
      </c>
      <c r="K27" s="538">
        <v>2</v>
      </c>
      <c r="L27" s="2489"/>
      <c r="M27" s="2484"/>
      <c r="N27" s="2484"/>
      <c r="O27" s="2484"/>
      <c r="P27" s="3395"/>
      <c r="Q27" s="1263" t="str">
        <f t="shared" ref="Q27:Q47" si="11">B27</f>
        <v>楼层</v>
      </c>
      <c r="R27" s="667" t="s">
        <v>14</v>
      </c>
      <c r="S27" s="668">
        <f>F27</f>
        <v>96</v>
      </c>
      <c r="T27" s="667" t="s">
        <v>14</v>
      </c>
      <c r="U27" s="668">
        <f>H27</f>
        <v>100</v>
      </c>
      <c r="V27" s="667" t="s">
        <v>14</v>
      </c>
      <c r="W27" s="668">
        <f>J27</f>
        <v>98</v>
      </c>
      <c r="X27" s="1265"/>
      <c r="Y27" s="3397"/>
      <c r="Z27" s="1264" t="str">
        <f>Q27</f>
        <v>楼层</v>
      </c>
      <c r="AA27" s="1264">
        <f t="shared" si="3"/>
        <v>1.0416666666666667</v>
      </c>
      <c r="AB27" s="1264">
        <f t="shared" si="4"/>
        <v>1</v>
      </c>
      <c r="AC27" s="1811">
        <f t="shared" si="5"/>
        <v>1.0204081632653061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395"/>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395"/>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1">
        <f t="shared" si="5"/>
        <v>1</v>
      </c>
    </row>
    <row r="33" spans="1:29" ht="15">
      <c r="A33" s="379" t="s">
        <v>1694</v>
      </c>
      <c r="B33" s="60" t="s">
        <v>1817</v>
      </c>
      <c r="C33" s="1763" t="s">
        <v>3451</v>
      </c>
      <c r="D33" s="405">
        <v>100</v>
      </c>
      <c r="E33" s="1763" t="s">
        <v>3451</v>
      </c>
      <c r="F33" s="400">
        <f>SUMIF(101:101,E33,102:102)-SUMIF(101:101,C33,102:102)+100</f>
        <v>100</v>
      </c>
      <c r="G33" s="1763" t="s">
        <v>3451</v>
      </c>
      <c r="H33" s="374">
        <f>SUMIF(101:101,G33,102:102)-SUMIF(101:101,C33,102:102)+100</f>
        <v>100</v>
      </c>
      <c r="I33" s="1763" t="s">
        <v>3451</v>
      </c>
      <c r="J33" s="405">
        <f>SUMIF(101:101,I33,102:102)-SUMIF(101:101,C33,102:102)+100</f>
        <v>100</v>
      </c>
      <c r="K33" s="538">
        <v>2</v>
      </c>
      <c r="L33" s="2489"/>
      <c r="M33" s="2484"/>
      <c r="N33" s="2484"/>
      <c r="O33" s="2484"/>
      <c r="P33" s="3398" t="s">
        <v>1696</v>
      </c>
      <c r="Q33" s="1263" t="str">
        <f t="shared" si="11"/>
        <v>建筑类型</v>
      </c>
      <c r="R33" s="667" t="s">
        <v>14</v>
      </c>
      <c r="S33" s="668">
        <f t="shared" si="12"/>
        <v>100</v>
      </c>
      <c r="T33" s="667" t="s">
        <v>14</v>
      </c>
      <c r="U33" s="668">
        <f t="shared" si="13"/>
        <v>100</v>
      </c>
      <c r="V33" s="667" t="s">
        <v>14</v>
      </c>
      <c r="W33" s="668">
        <f t="shared" si="14"/>
        <v>100</v>
      </c>
      <c r="X33" s="1265"/>
      <c r="Y33" s="3401" t="s">
        <v>1696</v>
      </c>
      <c r="Z33" s="1264" t="str">
        <f t="shared" si="15"/>
        <v>建筑类型</v>
      </c>
      <c r="AA33" s="1264">
        <f t="shared" si="3"/>
        <v>1</v>
      </c>
      <c r="AB33" s="1264">
        <f t="shared" si="4"/>
        <v>1</v>
      </c>
      <c r="AC33" s="1811">
        <f t="shared" si="5"/>
        <v>1</v>
      </c>
    </row>
    <row r="34" spans="1:29" s="408" customFormat="1" ht="15">
      <c r="A34" s="406"/>
      <c r="B34" s="364" t="s">
        <v>1697</v>
      </c>
      <c r="C34" s="407">
        <f>'数据-汇总表'!E19</f>
        <v>759.02</v>
      </c>
      <c r="D34" s="119">
        <v>100</v>
      </c>
      <c r="E34" s="369">
        <v>300</v>
      </c>
      <c r="F34" s="364">
        <f>LOOKUP(E34,104:104,105:105)-LOOKUP(C34,104:104,105:105)+100</f>
        <v>102</v>
      </c>
      <c r="G34" s="368">
        <v>885</v>
      </c>
      <c r="H34" s="119">
        <f>LOOKUP(G34,104:104,105:105)-LOOKUP(C34,104:104,105:105)+100</f>
        <v>100</v>
      </c>
      <c r="I34" s="368">
        <v>700</v>
      </c>
      <c r="J34" s="119">
        <f>LOOKUP(I34,104:104,105:105)-LOOKUP(C34,104:104,105:105)+100</f>
        <v>100</v>
      </c>
      <c r="K34" s="539"/>
      <c r="L34" s="2488"/>
      <c r="M34" s="2490"/>
      <c r="N34" s="2490"/>
      <c r="O34" s="2490"/>
      <c r="P34" s="3399"/>
      <c r="Q34" s="531" t="str">
        <f t="shared" si="11"/>
        <v>项目建筑规模</v>
      </c>
      <c r="R34" s="669" t="s">
        <v>14</v>
      </c>
      <c r="S34" s="670">
        <f t="shared" si="12"/>
        <v>102</v>
      </c>
      <c r="T34" s="669" t="s">
        <v>14</v>
      </c>
      <c r="U34" s="670">
        <f t="shared" si="13"/>
        <v>100</v>
      </c>
      <c r="V34" s="669" t="s">
        <v>14</v>
      </c>
      <c r="W34" s="670">
        <f t="shared" si="14"/>
        <v>100</v>
      </c>
      <c r="X34" s="671"/>
      <c r="Y34" s="3401"/>
      <c r="Z34" s="672" t="str">
        <f t="shared" si="15"/>
        <v>项目建筑规模</v>
      </c>
      <c r="AA34" s="1264">
        <f t="shared" si="3"/>
        <v>0.98039215686274506</v>
      </c>
      <c r="AB34" s="1264">
        <f t="shared" si="4"/>
        <v>1</v>
      </c>
      <c r="AC34" s="1811">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89"/>
      <c r="M35" s="2484"/>
      <c r="N35" s="2484"/>
      <c r="O35" s="2484"/>
      <c r="P35" s="3399"/>
      <c r="Q35" s="1263" t="str">
        <f t="shared" si="11"/>
        <v>建筑结构</v>
      </c>
      <c r="R35" s="667" t="s">
        <v>14</v>
      </c>
      <c r="S35" s="668">
        <f t="shared" si="12"/>
        <v>100</v>
      </c>
      <c r="T35" s="667" t="s">
        <v>14</v>
      </c>
      <c r="U35" s="668">
        <f t="shared" si="13"/>
        <v>100</v>
      </c>
      <c r="V35" s="667" t="s">
        <v>14</v>
      </c>
      <c r="W35" s="668">
        <f t="shared" si="14"/>
        <v>100</v>
      </c>
      <c r="X35" s="1265"/>
      <c r="Y35" s="3401"/>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9"/>
      <c r="M36" s="2484"/>
      <c r="N36" s="2484"/>
      <c r="O36" s="2484"/>
      <c r="P36" s="3399"/>
      <c r="Q36" s="1263" t="str">
        <f t="shared" si="11"/>
        <v>公共部分装修</v>
      </c>
      <c r="R36" s="667" t="s">
        <v>14</v>
      </c>
      <c r="S36" s="668">
        <f t="shared" si="12"/>
        <v>100</v>
      </c>
      <c r="T36" s="667" t="s">
        <v>14</v>
      </c>
      <c r="U36" s="668">
        <f t="shared" si="13"/>
        <v>100</v>
      </c>
      <c r="V36" s="667" t="s">
        <v>14</v>
      </c>
      <c r="W36" s="668">
        <f t="shared" si="14"/>
        <v>100</v>
      </c>
      <c r="X36" s="1265"/>
      <c r="Y36" s="3401"/>
      <c r="Z36" s="1264" t="str">
        <f t="shared" si="15"/>
        <v>公共部分装修</v>
      </c>
      <c r="AA36" s="1264">
        <f t="shared" si="3"/>
        <v>1</v>
      </c>
      <c r="AB36" s="1264">
        <f t="shared" si="4"/>
        <v>1</v>
      </c>
      <c r="AC36" s="1811">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1</v>
      </c>
      <c r="L37" s="2489"/>
      <c r="M37" s="2484"/>
      <c r="N37" s="2484"/>
      <c r="O37" s="2484"/>
      <c r="P37" s="3399"/>
      <c r="Q37" s="1263" t="str">
        <f t="shared" si="11"/>
        <v>成新度</v>
      </c>
      <c r="R37" s="667" t="s">
        <v>14</v>
      </c>
      <c r="S37" s="668">
        <f t="shared" si="12"/>
        <v>100</v>
      </c>
      <c r="T37" s="667" t="s">
        <v>14</v>
      </c>
      <c r="U37" s="668">
        <f t="shared" si="13"/>
        <v>100</v>
      </c>
      <c r="V37" s="667" t="s">
        <v>14</v>
      </c>
      <c r="W37" s="668">
        <f t="shared" si="14"/>
        <v>100</v>
      </c>
      <c r="X37" s="1265"/>
      <c r="Y37" s="3401"/>
      <c r="Z37" s="1264" t="str">
        <f t="shared" si="15"/>
        <v>成新度</v>
      </c>
      <c r="AA37" s="1264">
        <f t="shared" si="3"/>
        <v>1</v>
      </c>
      <c r="AB37" s="1264">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5"/>
      <c r="M38" s="2437"/>
      <c r="N38" s="2437"/>
      <c r="O38" s="2437"/>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t="s">
        <v>3465</v>
      </c>
      <c r="D39" s="374">
        <v>100</v>
      </c>
      <c r="E39" s="399" t="s">
        <v>3465</v>
      </c>
      <c r="F39" s="400">
        <f>SUMIF(115:115,E39,116:116)-SUMIF(115:115,C39,116:116)+100</f>
        <v>100</v>
      </c>
      <c r="G39" s="399" t="s">
        <v>3465</v>
      </c>
      <c r="H39" s="374">
        <f>SUMIF(115:115,G39,116:116)-SUMIF(115:115,C39,116:116)+100</f>
        <v>100</v>
      </c>
      <c r="I39" s="399" t="s">
        <v>3465</v>
      </c>
      <c r="J39" s="374">
        <f>SUMIF(115:115,I39,116:116)-SUMIF(115:115,C39,116:116)+100</f>
        <v>100</v>
      </c>
      <c r="K39" s="538">
        <v>2</v>
      </c>
      <c r="L39" s="2489"/>
      <c r="M39" s="2484"/>
      <c r="N39" s="2484"/>
      <c r="O39" s="2484"/>
      <c r="P39" s="3399" t="s">
        <v>1696</v>
      </c>
      <c r="Q39" s="1263" t="str">
        <f t="shared" si="11"/>
        <v>物业管理</v>
      </c>
      <c r="R39" s="667" t="s">
        <v>14</v>
      </c>
      <c r="S39" s="668">
        <f t="shared" si="12"/>
        <v>100</v>
      </c>
      <c r="T39" s="667" t="s">
        <v>14</v>
      </c>
      <c r="U39" s="668">
        <f t="shared" si="13"/>
        <v>100</v>
      </c>
      <c r="V39" s="667" t="s">
        <v>14</v>
      </c>
      <c r="W39" s="668">
        <f t="shared" si="14"/>
        <v>100</v>
      </c>
      <c r="X39" s="1265"/>
      <c r="Y39" s="3401" t="s">
        <v>1696</v>
      </c>
      <c r="Z39" s="1264" t="str">
        <f t="shared" si="15"/>
        <v>物业管理</v>
      </c>
      <c r="AA39" s="1264">
        <f t="shared" si="3"/>
        <v>1</v>
      </c>
      <c r="AB39" s="1264">
        <f t="shared" si="4"/>
        <v>1</v>
      </c>
      <c r="AC39" s="1811">
        <f t="shared" si="5"/>
        <v>1</v>
      </c>
    </row>
    <row r="40" spans="1:29" ht="15">
      <c r="A40" s="409"/>
      <c r="B40" s="364" t="s">
        <v>1787</v>
      </c>
      <c r="C40" s="399" t="s">
        <v>3504</v>
      </c>
      <c r="D40" s="374">
        <v>100</v>
      </c>
      <c r="E40" s="399" t="s">
        <v>3504</v>
      </c>
      <c r="F40" s="400">
        <f>SUMIF(117:117,E40,118:118)-SUMIF(117:117,C40,118:118)+100</f>
        <v>100</v>
      </c>
      <c r="G40" s="399" t="s">
        <v>3504</v>
      </c>
      <c r="H40" s="374">
        <f>SUMIF(117:117,G40,118:118)-SUMIF(117:117,C40,118:118)+100</f>
        <v>100</v>
      </c>
      <c r="I40" s="399" t="s">
        <v>3504</v>
      </c>
      <c r="J40" s="374">
        <f>SUMIF(117:117,I40,118:118)-SUMIF(117:117,C40,118:118)+100</f>
        <v>100</v>
      </c>
      <c r="K40" s="538">
        <v>1</v>
      </c>
      <c r="L40" s="2489"/>
      <c r="M40" s="2484"/>
      <c r="N40" s="2484"/>
      <c r="O40" s="2484"/>
      <c r="P40" s="3399"/>
      <c r="Q40" s="1263" t="str">
        <f t="shared" si="11"/>
        <v>市政基础设施</v>
      </c>
      <c r="R40" s="667" t="s">
        <v>14</v>
      </c>
      <c r="S40" s="668">
        <f t="shared" si="12"/>
        <v>100</v>
      </c>
      <c r="T40" s="667" t="s">
        <v>14</v>
      </c>
      <c r="U40" s="668">
        <f t="shared" si="13"/>
        <v>100</v>
      </c>
      <c r="V40" s="667" t="s">
        <v>14</v>
      </c>
      <c r="W40" s="668">
        <f t="shared" si="14"/>
        <v>100</v>
      </c>
      <c r="X40" s="1265"/>
      <c r="Y40" s="3401"/>
      <c r="Z40" s="1264" t="str">
        <f t="shared" si="15"/>
        <v>市政基础设施</v>
      </c>
      <c r="AA40" s="1264">
        <f t="shared" si="3"/>
        <v>1</v>
      </c>
      <c r="AB40" s="1264">
        <f t="shared" si="4"/>
        <v>1</v>
      </c>
      <c r="AC40" s="1811">
        <f t="shared" si="5"/>
        <v>1</v>
      </c>
    </row>
    <row r="41" spans="1:29" ht="15">
      <c r="A41" s="409"/>
      <c r="B41" s="364" t="s">
        <v>1789</v>
      </c>
      <c r="C41" s="542" t="s">
        <v>3472</v>
      </c>
      <c r="D41" s="374">
        <v>100</v>
      </c>
      <c r="E41" s="542" t="s">
        <v>3472</v>
      </c>
      <c r="F41" s="400">
        <f>SUMIF(119:119,E41,120:120)-SUMIF(119:119,C41,120:120)+100</f>
        <v>100</v>
      </c>
      <c r="G41" s="542" t="s">
        <v>3472</v>
      </c>
      <c r="H41" s="374">
        <f>SUMIF(119:119,G41,120:120)-SUMIF(119:119,C41,120:120)+100</f>
        <v>100</v>
      </c>
      <c r="I41" s="542" t="s">
        <v>3472</v>
      </c>
      <c r="J41" s="374">
        <f>SUMIF(119:119,I41,120:120)-SUMIF(119:119,C41,120:120)+100</f>
        <v>100</v>
      </c>
      <c r="K41" s="538">
        <v>5</v>
      </c>
      <c r="L41" s="2489"/>
      <c r="M41" s="2484"/>
      <c r="N41" s="2484"/>
      <c r="O41" s="2484"/>
      <c r="P41" s="3399"/>
      <c r="Q41" s="1263" t="str">
        <f t="shared" si="11"/>
        <v>层高</v>
      </c>
      <c r="R41" s="667" t="s">
        <v>14</v>
      </c>
      <c r="S41" s="668">
        <f t="shared" si="12"/>
        <v>100</v>
      </c>
      <c r="T41" s="667" t="s">
        <v>14</v>
      </c>
      <c r="U41" s="668">
        <f t="shared" si="13"/>
        <v>100</v>
      </c>
      <c r="V41" s="667" t="s">
        <v>14</v>
      </c>
      <c r="W41" s="668">
        <f t="shared" si="14"/>
        <v>100</v>
      </c>
      <c r="X41" s="1265"/>
      <c r="Y41" s="3401"/>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4">
        <f t="shared" si="3"/>
        <v>1</v>
      </c>
      <c r="AB42" s="1264">
        <f t="shared" si="4"/>
        <v>1</v>
      </c>
      <c r="AC42" s="1811">
        <f t="shared" si="5"/>
        <v>1</v>
      </c>
    </row>
    <row r="43" spans="1:29" ht="15">
      <c r="A43" s="409"/>
      <c r="B43" s="364" t="s">
        <v>1792</v>
      </c>
      <c r="C43" s="399" t="s">
        <v>3457</v>
      </c>
      <c r="D43" s="374">
        <v>100</v>
      </c>
      <c r="E43" s="399" t="s">
        <v>3455</v>
      </c>
      <c r="F43" s="400">
        <f>SUMIF(123:123,E43,124:124)-SUMIF(123:123,C43,124:124)+100</f>
        <v>102</v>
      </c>
      <c r="G43" s="399" t="s">
        <v>3455</v>
      </c>
      <c r="H43" s="374">
        <f>SUMIF(123:123,G43,124:124)-SUMIF(123:123,C43,124:124)+100</f>
        <v>102</v>
      </c>
      <c r="I43" s="399" t="s">
        <v>3455</v>
      </c>
      <c r="J43" s="374">
        <f>SUMIF(123:123,I43,124:124)-SUMIF(123:123,C43,124:124)+100</f>
        <v>102</v>
      </c>
      <c r="K43" s="538">
        <v>2</v>
      </c>
      <c r="L43" s="2489"/>
      <c r="M43" s="2484"/>
      <c r="N43" s="2484"/>
      <c r="O43" s="2484"/>
      <c r="P43" s="3399"/>
      <c r="Q43" s="1263" t="str">
        <f t="shared" si="11"/>
        <v>内部装修</v>
      </c>
      <c r="R43" s="667" t="s">
        <v>14</v>
      </c>
      <c r="S43" s="668">
        <f t="shared" si="12"/>
        <v>102</v>
      </c>
      <c r="T43" s="667" t="s">
        <v>14</v>
      </c>
      <c r="U43" s="668">
        <f t="shared" si="13"/>
        <v>102</v>
      </c>
      <c r="V43" s="667" t="s">
        <v>14</v>
      </c>
      <c r="W43" s="668">
        <f t="shared" si="14"/>
        <v>102</v>
      </c>
      <c r="X43" s="1265"/>
      <c r="Y43" s="3401"/>
      <c r="Z43" s="1264" t="str">
        <f t="shared" si="15"/>
        <v>内部装修</v>
      </c>
      <c r="AA43" s="1264">
        <f t="shared" si="3"/>
        <v>0.98039215686274506</v>
      </c>
      <c r="AB43" s="1264">
        <f t="shared" si="4"/>
        <v>0.98039215686274506</v>
      </c>
      <c r="AC43" s="1811">
        <f t="shared" si="5"/>
        <v>0.98039215686274506</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89"/>
      <c r="M44" s="2484"/>
      <c r="N44" s="2484"/>
      <c r="O44" s="2484"/>
      <c r="P44" s="3399"/>
      <c r="Q44" s="1263" t="str">
        <f t="shared" si="11"/>
        <v>内部装修维护情况</v>
      </c>
      <c r="R44" s="667" t="s">
        <v>14</v>
      </c>
      <c r="S44" s="668">
        <f t="shared" si="12"/>
        <v>100</v>
      </c>
      <c r="T44" s="667" t="s">
        <v>14</v>
      </c>
      <c r="U44" s="668">
        <f t="shared" si="13"/>
        <v>100</v>
      </c>
      <c r="V44" s="667" t="s">
        <v>14</v>
      </c>
      <c r="W44" s="668">
        <f t="shared" si="14"/>
        <v>100</v>
      </c>
      <c r="X44" s="1265"/>
      <c r="Y44" s="3401"/>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0"/>
      <c r="Q47" s="1263">
        <f t="shared" si="11"/>
        <v>111</v>
      </c>
      <c r="R47" s="667" t="s">
        <v>14</v>
      </c>
      <c r="S47" s="668">
        <f t="shared" si="12"/>
        <v>100</v>
      </c>
      <c r="T47" s="667" t="s">
        <v>14</v>
      </c>
      <c r="U47" s="668">
        <f t="shared" si="13"/>
        <v>100</v>
      </c>
      <c r="V47" s="667" t="s">
        <v>14</v>
      </c>
      <c r="W47" s="668">
        <f t="shared" si="14"/>
        <v>100</v>
      </c>
      <c r="X47" s="1265"/>
      <c r="Y47" s="3402"/>
      <c r="Z47" s="1264">
        <f t="shared" si="15"/>
        <v>111</v>
      </c>
      <c r="AA47" s="1264">
        <f t="shared" si="3"/>
        <v>1</v>
      </c>
      <c r="AB47" s="1264">
        <f t="shared" si="4"/>
        <v>1</v>
      </c>
      <c r="AC47" s="1811">
        <f t="shared" si="5"/>
        <v>1</v>
      </c>
    </row>
    <row r="48" spans="1:29" ht="14.4">
      <c r="A48" s="416" t="s">
        <v>1708</v>
      </c>
      <c r="B48" s="417"/>
      <c r="C48" s="1081" t="s">
        <v>0</v>
      </c>
      <c r="D48" s="418"/>
      <c r="E48" s="419">
        <v>6</v>
      </c>
      <c r="F48" s="420"/>
      <c r="G48" s="421">
        <v>5.5</v>
      </c>
      <c r="H48" s="422"/>
      <c r="I48" s="419">
        <v>5.8</v>
      </c>
      <c r="J48" s="422"/>
      <c r="K48" s="674"/>
      <c r="L48" s="2491"/>
      <c r="M48" s="2484"/>
      <c r="N48" s="2484"/>
      <c r="O48" s="2484"/>
      <c r="P48" s="3374" t="str">
        <f>A48</f>
        <v>成交单价（元/平方米）</v>
      </c>
      <c r="Q48" s="3403"/>
      <c r="R48" s="3391">
        <f>E48</f>
        <v>6</v>
      </c>
      <c r="S48" s="3391"/>
      <c r="T48" s="3391">
        <f>G48</f>
        <v>5.5</v>
      </c>
      <c r="U48" s="3391"/>
      <c r="V48" s="3391">
        <f>I48</f>
        <v>5.8</v>
      </c>
      <c r="W48" s="3391"/>
      <c r="X48" s="385"/>
      <c r="Y48" s="673"/>
      <c r="Z48" s="385"/>
      <c r="AA48" s="385"/>
      <c r="AB48" s="385"/>
      <c r="AC48" s="555"/>
    </row>
    <row r="49" spans="1:29" ht="15" thickBot="1">
      <c r="A49" s="423" t="s">
        <v>1709</v>
      </c>
      <c r="B49" s="424"/>
      <c r="C49" s="1082">
        <f>R50</f>
        <v>5.6</v>
      </c>
      <c r="D49" s="2139" t="s">
        <v>2138</v>
      </c>
      <c r="E49" s="1083">
        <f>R49</f>
        <v>5.9</v>
      </c>
      <c r="F49" s="2140"/>
      <c r="G49" s="1082">
        <f>T49</f>
        <v>5.3</v>
      </c>
      <c r="H49" s="2140"/>
      <c r="I49" s="1083">
        <f>V49</f>
        <v>5.7</v>
      </c>
      <c r="J49" s="2140"/>
      <c r="K49" s="2142">
        <f>F49+H49+J49</f>
        <v>0</v>
      </c>
      <c r="L49" s="2491"/>
      <c r="M49" s="2484"/>
      <c r="N49" s="2484"/>
      <c r="O49" s="2484"/>
      <c r="P49" s="3374" t="str">
        <f>A49</f>
        <v>比较价值（元/平方米）</v>
      </c>
      <c r="Q49" s="3403"/>
      <c r="R49" s="3391">
        <f>IF(F1="售价",ROUND(PRODUCT(R48,AA7:AA47),0),ROUND(PRODUCT(R48,AA7:AA47),1))</f>
        <v>5.9</v>
      </c>
      <c r="S49" s="3391"/>
      <c r="T49" s="3391">
        <f>IF(F1="售价",ROUND(PRODUCT(T48,AB7:AB47),0),ROUND(PRODUCT(T48,AB7:AB47),1))</f>
        <v>5.3</v>
      </c>
      <c r="U49" s="3391"/>
      <c r="V49" s="3391">
        <f>IF(F1="售价",ROUND(PRODUCT(V48,AC7:AC47),0),ROUND(PRODUCT(V48,AC7:AC47),1))</f>
        <v>5.7</v>
      </c>
      <c r="W49" s="3391"/>
      <c r="X49" s="385"/>
      <c r="Y49" s="385"/>
      <c r="Z49" s="385"/>
      <c r="AA49" s="385"/>
      <c r="AB49" s="385"/>
      <c r="AC49" s="555"/>
    </row>
    <row r="50" spans="1:29" ht="15" thickBot="1">
      <c r="A50" s="427" t="s">
        <v>1710</v>
      </c>
      <c r="B50" s="428"/>
      <c r="C50" s="351">
        <f>R50</f>
        <v>5.6</v>
      </c>
      <c r="D50" s="351"/>
      <c r="E50" s="351"/>
      <c r="F50" s="351"/>
      <c r="G50" s="351"/>
      <c r="H50" s="351"/>
      <c r="I50" s="351"/>
      <c r="J50" s="429"/>
      <c r="K50" s="675"/>
      <c r="L50" s="2491"/>
      <c r="M50" s="2484"/>
      <c r="N50" s="2484"/>
      <c r="O50" s="2484"/>
      <c r="P50" s="3404" t="str">
        <f>A50</f>
        <v>估价对象XX用房的比较价值（楼面单价，元/平方米）</v>
      </c>
      <c r="Q50" s="3405"/>
      <c r="R50" s="3406">
        <f>IF(F1="售价",ROUND(IF(D49="简单平均",AVERAGE(R49:V49),R49*F49+T49*H49+V49*J49),0),ROUND(IF(D49="简单平均",AVERAGE(R49:V49),R49*F49+T49*H49+V49*J49),1))</f>
        <v>5.6</v>
      </c>
      <c r="S50" s="3406"/>
      <c r="T50" s="3406"/>
      <c r="U50" s="3406"/>
      <c r="V50" s="3406"/>
      <c r="W50" s="3406"/>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1711</v>
      </c>
      <c r="D53" s="433"/>
      <c r="E53" s="434">
        <f>IF(E48&lt;E49,E49/E48-1,E48/E49-1)</f>
        <v>1.6949152542372836E-2</v>
      </c>
      <c r="F53" s="435" t="str">
        <f>IF(OR(E53&gt;=0.3,E53&lt;=-0.3),"超过30%","")</f>
        <v/>
      </c>
      <c r="G53" s="434">
        <f>IF(G48&lt;G49,G49/G48-1,G48/G49-1)</f>
        <v>3.7735849056603765E-2</v>
      </c>
      <c r="H53" s="435" t="str">
        <f>IF(OR(G53&gt;=0.3,G53&lt;=-0.3),"超过30%","")</f>
        <v/>
      </c>
      <c r="I53" s="434">
        <f>IF(I48&lt;I49,I49/I48-1,I48/I49-1)</f>
        <v>1.754385964912264E-2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1712</v>
      </c>
      <c r="D54" s="436"/>
      <c r="E54" s="434">
        <f>IF(E49&lt;G49,G49/E49-1,E49/G49-1)</f>
        <v>0.11320754716981152</v>
      </c>
      <c r="F54" s="435" t="str">
        <f>IF(OR(E54&gt;=0.2,E54&lt;=-0.2),"超过20%","")</f>
        <v/>
      </c>
      <c r="G54" s="434">
        <f>IF(G49&lt;I49,I49/G49-1,G49/I49-1)</f>
        <v>7.547169811320753E-2</v>
      </c>
      <c r="H54" s="435" t="str">
        <f>IF(OR(G54&gt;=0.2,G54&lt;=-0.2),"超过20%","")</f>
        <v/>
      </c>
      <c r="I54" s="434">
        <f>IF(I49&lt;E49,E49/I49-1,I49/E49-1)</f>
        <v>3.5087719298245723E-2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1713</v>
      </c>
      <c r="D55" s="436"/>
      <c r="E55" s="434">
        <f>IF(E48&lt;G48,G48/E48-1,E48/G48-1)</f>
        <v>9.0909090909090828E-2</v>
      </c>
      <c r="F55" s="435" t="str">
        <f>IF(OR(E55&gt;=0.3,E55&lt;=-0.3),"超过30%","")</f>
        <v/>
      </c>
      <c r="G55" s="434">
        <f>IF(G48&lt;I48,I48/G48-1,G48/I48-1)</f>
        <v>5.4545454545454453E-2</v>
      </c>
      <c r="H55" s="435" t="str">
        <f>IF(OR(G55&gt;=0.3,G55&lt;=-0.3),"超过30%","")</f>
        <v/>
      </c>
      <c r="I55" s="434">
        <f>IF(I48&lt;E48,E48/I48-1,I48/E48-1)</f>
        <v>3.4482758620689724E-2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1714</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1718</v>
      </c>
      <c r="D62" s="3151" t="s">
        <v>3427</v>
      </c>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v>101</v>
      </c>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3428</v>
      </c>
      <c r="D66" s="513" t="s">
        <v>3429</v>
      </c>
      <c r="E66" s="513" t="s">
        <v>3430</v>
      </c>
      <c r="F66" s="513" t="s">
        <v>3431</v>
      </c>
      <c r="G66" s="513" t="s">
        <v>3432</v>
      </c>
      <c r="H66" s="513" t="s">
        <v>3433</v>
      </c>
      <c r="I66" s="513" t="s">
        <v>3434</v>
      </c>
      <c r="J66" s="513" t="s">
        <v>3435</v>
      </c>
      <c r="K66" s="514" t="s">
        <v>3436</v>
      </c>
      <c r="L66" s="515" t="s">
        <v>3437</v>
      </c>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98</v>
      </c>
      <c r="E84" s="475">
        <f>D84-$K21</f>
        <v>96</v>
      </c>
      <c r="F84" s="475">
        <f>E84-$K21</f>
        <v>94</v>
      </c>
      <c r="G84" s="475">
        <f>F84-$K21</f>
        <v>92</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99</v>
      </c>
      <c r="E86" s="475">
        <f>D86-$K23</f>
        <v>98</v>
      </c>
      <c r="F86" s="475">
        <f>E86-$K23</f>
        <v>97</v>
      </c>
      <c r="G86" s="475">
        <f>F86-$K23</f>
        <v>96</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3154" t="s">
        <v>3447</v>
      </c>
      <c r="D87" s="3153" t="s">
        <v>3448</v>
      </c>
      <c r="E87" s="3153" t="s">
        <v>3449</v>
      </c>
      <c r="F87" s="3153" t="s">
        <v>3450</v>
      </c>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70"/>
      <c r="B89" s="469" t="str">
        <f>B27</f>
        <v>楼层</v>
      </c>
      <c r="C89" s="3153" t="s">
        <v>3442</v>
      </c>
      <c r="D89" s="3153" t="s">
        <v>3444</v>
      </c>
      <c r="E89" s="3153" t="s">
        <v>3446</v>
      </c>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55" t="s">
        <v>3452</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700(含)-1000</v>
      </c>
      <c r="H103" s="509" t="str">
        <f t="shared" si="24"/>
        <v>1000(含)-1500</v>
      </c>
      <c r="I103" s="509" t="str">
        <f t="shared" si="24"/>
        <v>1500(含)-</v>
      </c>
      <c r="J103" s="509" t="str">
        <f t="shared" si="24"/>
        <v>(含)-</v>
      </c>
      <c r="K103" s="509" t="str">
        <f t="shared" si="24"/>
        <v>(含)-</v>
      </c>
      <c r="L103" s="509" t="str">
        <f t="shared" si="24"/>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100</v>
      </c>
      <c r="E104" s="6">
        <v>300</v>
      </c>
      <c r="F104" s="6">
        <v>500</v>
      </c>
      <c r="G104" s="6">
        <v>700</v>
      </c>
      <c r="H104" s="6">
        <v>1000</v>
      </c>
      <c r="I104" s="6">
        <v>1500</v>
      </c>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67">
        <f>D105-1</f>
        <v>98</v>
      </c>
      <c r="D105" s="467">
        <f>E105-1</f>
        <v>99</v>
      </c>
      <c r="E105" s="467">
        <v>100</v>
      </c>
      <c r="F105" s="467">
        <f t="shared" ref="F105:I105" si="25">E105-1</f>
        <v>99</v>
      </c>
      <c r="G105" s="467">
        <f t="shared" si="25"/>
        <v>98</v>
      </c>
      <c r="H105" s="467">
        <f t="shared" si="25"/>
        <v>97</v>
      </c>
      <c r="I105" s="467">
        <f t="shared" si="25"/>
        <v>96</v>
      </c>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53" t="s">
        <v>3454</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53" t="s">
        <v>3456</v>
      </c>
      <c r="D108" s="3153" t="s">
        <v>3458</v>
      </c>
      <c r="E108" s="3153" t="s">
        <v>3459</v>
      </c>
      <c r="F108" s="3156" t="s">
        <v>3460</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3153" t="s">
        <v>3461</v>
      </c>
      <c r="D113" s="3153" t="s">
        <v>3462</v>
      </c>
      <c r="E113" s="3153" t="s">
        <v>3463</v>
      </c>
      <c r="F113" s="3153" t="s">
        <v>3464</v>
      </c>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53" t="s">
        <v>3466</v>
      </c>
      <c r="D115" s="3153" t="s">
        <v>3467</v>
      </c>
      <c r="E115" s="3156" t="s">
        <v>3468</v>
      </c>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53" t="s">
        <v>3469</v>
      </c>
      <c r="D117" s="3153" t="s">
        <v>3471</v>
      </c>
      <c r="E117" s="3153" t="s">
        <v>3470</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156" t="s">
        <v>3473</v>
      </c>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53" t="s">
        <v>3456</v>
      </c>
      <c r="D123" s="3153" t="s">
        <v>3458</v>
      </c>
      <c r="E123" s="3153" t="s">
        <v>3459</v>
      </c>
      <c r="F123" s="3156" t="s">
        <v>3460</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92" priority="14" stopIfTrue="1">
      <formula>$F$53="超过30%"</formula>
    </cfRule>
  </conditionalFormatting>
  <conditionalFormatting sqref="E54">
    <cfRule type="expression" dxfId="91" priority="13" stopIfTrue="1">
      <formula>$F$54="超过20%"</formula>
    </cfRule>
  </conditionalFormatting>
  <conditionalFormatting sqref="E55">
    <cfRule type="expression" dxfId="90" priority="12"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5" stopIfTrue="1" operator="containsText" text="超过">
      <formula>NOT(ISERROR(SEARCH("超过",F53)))</formula>
    </cfRule>
  </conditionalFormatting>
  <conditionalFormatting sqref="G53">
    <cfRule type="expression" dxfId="86" priority="10" stopIfTrue="1">
      <formula>$H$53="超过30%"</formula>
    </cfRule>
  </conditionalFormatting>
  <conditionalFormatting sqref="G54">
    <cfRule type="expression" dxfId="85" priority="9" stopIfTrue="1">
      <formula>$H$54="超过20%"</formula>
    </cfRule>
  </conditionalFormatting>
  <conditionalFormatting sqref="G55">
    <cfRule type="expression" dxfId="84" priority="11"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E1" xr:uid="{D3F259AF-6F5B-46EE-B389-3D8D3602926A}">
      <formula1>"项目模式,单套模式"</formula1>
    </dataValidation>
    <dataValidation type="list" allowBlank="1" showInputMessage="1" showErrorMessage="1" sqref="D49" xr:uid="{ABFF5FA1-C923-42AE-85DB-57F13395E212}">
      <formula1>"简单平均,加权平均"</formula1>
    </dataValidation>
    <dataValidation type="list" allowBlank="1" showInputMessage="1" showErrorMessage="1" sqref="F2" xr:uid="{6F57011D-60B4-48E6-A991-BC51F1802F1C}">
      <formula1>估价方法</formula1>
    </dataValidation>
    <dataValidation type="list" allowBlank="1" showInputMessage="1" showErrorMessage="1" sqref="C2" xr:uid="{8F52CFF5-7335-4A49-92AF-105F5E90E65E}">
      <formula1>"需扣减承租人权益,——"</formula1>
    </dataValidation>
    <dataValidation type="list" allowBlank="1" showInputMessage="1" showErrorMessage="1" sqref="F1" xr:uid="{8644A888-6AC0-4258-BEC6-E515F08CBABE}">
      <formula1>"售价,租金"</formula1>
    </dataValidation>
    <dataValidation type="list" allowBlank="1" showInputMessage="1" showErrorMessage="1" sqref="C22 E22 G22 I22" xr:uid="{D27A21D4-933C-4678-B827-F8E30DEC4D49}">
      <formula1>基础设施水平</formula1>
    </dataValidation>
    <dataValidation type="list" allowBlank="1" showInputMessage="1" showErrorMessage="1" sqref="C8 E8 G8 I8" xr:uid="{9B5A6D97-462B-4BB4-B1FA-265C9ED995EE}">
      <formula1>办公交易情况</formula1>
    </dataValidation>
    <dataValidation type="list" allowBlank="1" showInputMessage="1" showErrorMessage="1" sqref="C43 E43 G43 I43" xr:uid="{B33A39AA-6B87-4939-BC27-B203482A1D43}">
      <formula1>办公内部装修</formula1>
    </dataValidation>
    <dataValidation type="list" allowBlank="1" showInputMessage="1" showErrorMessage="1" sqref="C41 E41 G41 I41" xr:uid="{CA7500D5-4C3C-465E-80F6-934B82ED659B}">
      <formula1>办公层高</formula1>
    </dataValidation>
    <dataValidation type="list" allowBlank="1" showInputMessage="1" showErrorMessage="1" sqref="C40 E40 G40 I40" xr:uid="{9AFDA159-45AE-446D-BB28-650827F3C279}">
      <formula1>办公基础设施水平</formula1>
    </dataValidation>
    <dataValidation type="list" allowBlank="1" showInputMessage="1" showErrorMessage="1" sqref="C39 E39 G39 I39" xr:uid="{C65116A1-EA44-4C95-8275-924E610ECEDE}">
      <formula1>办公物业管理</formula1>
    </dataValidation>
    <dataValidation type="list" allowBlank="1" showInputMessage="1" showErrorMessage="1" sqref="C38 E38 G38 I38" xr:uid="{FD47D741-4E35-49F0-8036-FE6EB03102E9}">
      <formula1>写字楼等级</formula1>
    </dataValidation>
    <dataValidation type="list" allowBlank="1" showInputMessage="1" showErrorMessage="1" sqref="C36 E36 G36 I36" xr:uid="{C59504D7-7FE6-44FB-B895-E3F48A7B3A7E}">
      <formula1>办公公共部分装修</formula1>
    </dataValidation>
    <dataValidation type="list" allowBlank="1" showInputMessage="1" showErrorMessage="1" sqref="C33 E33 G33 I33" xr:uid="{4DB5B336-4623-4477-B7C3-ECC233166AFB}">
      <formula1>办公建筑类型</formula1>
    </dataValidation>
    <dataValidation type="list" allowBlank="1" showInputMessage="1" showErrorMessage="1" sqref="C27 E27 G27 I27" xr:uid="{D89664B9-9F13-4D24-810C-D0B43FEC3736}">
      <formula1>办公楼层</formula1>
    </dataValidation>
    <dataValidation type="list" allowBlank="1" showInputMessage="1" showErrorMessage="1" sqref="C28 E28 G28 I28" xr:uid="{C4422A82-370D-4296-867B-3B2F93C4377B}">
      <formula1>办公朝向</formula1>
    </dataValidation>
    <dataValidation type="list" allowBlank="1" showInputMessage="1" showErrorMessage="1" sqref="G26 C26 E26 I26" xr:uid="{28FBB760-45BB-4EBE-9A7D-0B911979BE60}">
      <formula1>办公道路级别</formula1>
    </dataValidation>
    <dataValidation type="list" allowBlank="1" showInputMessage="1" showErrorMessage="1" sqref="C16 E16 G16 I16" xr:uid="{6D617EED-8D75-4BE0-B3ED-6D38BD35CAE5}">
      <formula1>办公集聚程度</formula1>
    </dataValidation>
    <dataValidation type="list" allowBlank="1" showInputMessage="1" showErrorMessage="1" sqref="E9 G9 I9" xr:uid="{1CE356F8-4067-4516-BD83-50222055DAE3}">
      <formula1>办公用途</formula1>
    </dataValidation>
    <dataValidation type="list" allowBlank="1" showInputMessage="1" showErrorMessage="1" sqref="D1" xr:uid="{B60E517E-987B-4EB3-B772-6E66B18A1A71}">
      <formula1>项目类型</formula1>
    </dataValidation>
    <dataValidation type="list" allowBlank="1" showInputMessage="1" showErrorMessage="1" sqref="C44 E44 G44 I44" xr:uid="{5C8CF41E-0307-4494-81EC-D1827EC7A751}">
      <formula1>内部装修维护情况</formula1>
    </dataValidation>
    <dataValidation type="list" allowBlank="1" showInputMessage="1" showErrorMessage="1" sqref="E20 I20 G20 C20" xr:uid="{1E8A4930-E884-451B-BD8D-F0133A2B4338}">
      <formula1>公共配套设施</formula1>
    </dataValidation>
    <dataValidation type="list" allowBlank="1" showInputMessage="1" showErrorMessage="1" sqref="E18 G18 I18 C18" xr:uid="{4E6CFDE3-F5E6-40F3-9ED5-891107D3B47F}">
      <formula1>交通便捷度</formula1>
    </dataValidation>
    <dataValidation type="list" allowBlank="1" showInputMessage="1" showErrorMessage="1" sqref="E24 G24 I24 C24" xr:uid="{479B2A92-8560-4E6B-B4FF-BCD01F3089F6}">
      <formula1>环境</formula1>
    </dataValidation>
    <dataValidation type="list" allowBlank="1" showInputMessage="1" showErrorMessage="1" sqref="C35 E35 G35 I35" xr:uid="{78D066D6-D7A1-482F-A58E-685B598238B4}">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4748B-2FFB-4FFA-BAA2-9E9CF4DD554A}">
  <sheetPr>
    <tabColor rgb="FF7030A0"/>
  </sheetPr>
  <dimension ref="M2:O208"/>
  <sheetViews>
    <sheetView workbookViewId="0">
      <selection activeCell="A242" sqref="A242"/>
    </sheetView>
  </sheetViews>
  <sheetFormatPr defaultRowHeight="14.4"/>
  <sheetData>
    <row r="2" spans="13:15">
      <c r="M2" s="1405" t="s">
        <v>3420</v>
      </c>
      <c r="N2" s="1405"/>
      <c r="O2" s="1405" t="s">
        <v>3421</v>
      </c>
    </row>
    <row r="3" spans="13:15">
      <c r="O3" s="1405" t="s">
        <v>3422</v>
      </c>
    </row>
    <row r="4" spans="13:15">
      <c r="O4" s="1405" t="s">
        <v>3423</v>
      </c>
    </row>
    <row r="208" spans="14:14">
      <c r="N208" t="s">
        <v>3479</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受贵公司委托，我公司对北京市海淀区首体南路22号楼19C、D、E房地产抵押价值进行了预评估。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估价对象为北京市海淀区首体南路22号楼19C、D、E房地产，为北京龙泰鸿业担保有限公司所有。根据《国有土地使用证》[]，估价对象（分摊）出让国有建设用地使用权面积为0平方米，建筑面积为759.02平方米。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首体南路22号楼19C、D、E房地产,属北京龙泰鸿业担保有限公司开发建设的办公项目，该项目尚在开发建设中。根据《国有土地使用证》[]，估价对象（分摊）出让国有建设用地使用权面积为0平方米，规划建筑面积为759.02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首体南路22号楼19C、D、E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8"/>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759.02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860"/>
      <c r="M4" s="861"/>
      <c r="N4" s="861"/>
      <c r="O4" s="861"/>
      <c r="P4" s="3434" t="s">
        <v>1775</v>
      </c>
      <c r="Q4" s="3435"/>
      <c r="R4" s="3429" t="s">
        <v>1771</v>
      </c>
      <c r="S4" s="3430"/>
      <c r="T4" s="3429" t="s">
        <v>1772</v>
      </c>
      <c r="U4" s="3430"/>
      <c r="V4" s="3391" t="s">
        <v>1773</v>
      </c>
      <c r="W4" s="3391"/>
      <c r="X4" s="1265"/>
      <c r="Y4" s="3429" t="s">
        <v>1775</v>
      </c>
      <c r="Z4" s="3430"/>
      <c r="AA4" s="3428" t="s">
        <v>1771</v>
      </c>
      <c r="AB4" s="3360" t="s">
        <v>1772</v>
      </c>
      <c r="AC4" s="3428" t="s">
        <v>1773</v>
      </c>
    </row>
    <row r="5" spans="1:29">
      <c r="A5" s="348"/>
      <c r="B5" s="349"/>
      <c r="C5" s="3433" t="s">
        <v>1673</v>
      </c>
      <c r="D5" s="3369"/>
      <c r="E5" s="3431" t="s">
        <v>1674</v>
      </c>
      <c r="F5" s="3432"/>
      <c r="G5" s="3433" t="s">
        <v>1675</v>
      </c>
      <c r="H5" s="3369"/>
      <c r="I5" s="3433" t="s">
        <v>1676</v>
      </c>
      <c r="J5" s="3369"/>
      <c r="K5" s="537"/>
      <c r="L5" s="860"/>
      <c r="M5" s="861"/>
      <c r="N5" s="861"/>
      <c r="O5" s="861"/>
      <c r="P5" s="3436"/>
      <c r="Q5" s="3385"/>
      <c r="R5" s="3366"/>
      <c r="S5" s="3367"/>
      <c r="T5" s="3366"/>
      <c r="U5" s="3367"/>
      <c r="V5" s="3391"/>
      <c r="W5" s="3391"/>
      <c r="X5" s="1265"/>
      <c r="Y5" s="3366"/>
      <c r="Z5" s="3367"/>
      <c r="AA5" s="3360"/>
      <c r="AB5" s="3360"/>
      <c r="AC5" s="3360"/>
    </row>
    <row r="6" spans="1:29" ht="15" thickBot="1">
      <c r="A6" s="350"/>
      <c r="B6" s="351"/>
      <c r="C6" s="3370" t="s">
        <v>1677</v>
      </c>
      <c r="D6" s="3371"/>
      <c r="E6" s="3372" t="s">
        <v>1677</v>
      </c>
      <c r="F6" s="3373"/>
      <c r="G6" s="3370" t="s">
        <v>1677</v>
      </c>
      <c r="H6" s="3371"/>
      <c r="I6" s="3370" t="s">
        <v>1677</v>
      </c>
      <c r="J6" s="3371"/>
      <c r="K6" s="537" t="s">
        <v>1678</v>
      </c>
      <c r="L6" s="860"/>
      <c r="M6" s="861"/>
      <c r="N6" s="861"/>
      <c r="O6" s="861"/>
      <c r="P6" s="3437"/>
      <c r="Q6" s="3387"/>
      <c r="R6" s="3366"/>
      <c r="S6" s="3367"/>
      <c r="T6" s="3388"/>
      <c r="U6" s="3389"/>
      <c r="V6" s="3391"/>
      <c r="W6" s="3391"/>
      <c r="X6" s="1265"/>
      <c r="Y6" s="3388"/>
      <c r="Z6" s="3389"/>
      <c r="AA6" s="3361"/>
      <c r="AB6" s="3361"/>
      <c r="AC6" s="3361"/>
    </row>
    <row r="7" spans="1:29" s="102" customFormat="1" ht="15" thickBot="1">
      <c r="A7" s="352" t="s">
        <v>1679</v>
      </c>
      <c r="B7" s="353"/>
      <c r="C7" s="354">
        <f>'数据-取费表'!B2</f>
        <v>45694</v>
      </c>
      <c r="D7" s="355">
        <v>100</v>
      </c>
      <c r="E7" s="356"/>
      <c r="F7" s="357">
        <f>SUMIF(52:52,YEAR(E7)&amp;"-"&amp;MONTH(E7),53:53)</f>
        <v>0</v>
      </c>
      <c r="G7" s="356"/>
      <c r="H7" s="355">
        <f>SUMIF(52:52,YEAR(G7)&amp;"-"&amp;MONTH(G7),53:53)</f>
        <v>0</v>
      </c>
      <c r="I7" s="356"/>
      <c r="J7" s="355">
        <f>SUMIF(52:52,YEAR(I7)&amp;"-"&amp;MONTH(I7),53:53)</f>
        <v>0</v>
      </c>
      <c r="K7" s="38"/>
      <c r="L7" s="862"/>
      <c r="M7" s="863"/>
      <c r="N7" s="863"/>
      <c r="O7" s="863"/>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2" t="s">
        <v>1683</v>
      </c>
      <c r="Q8" s="3363"/>
      <c r="R8" s="664" t="s">
        <v>14</v>
      </c>
      <c r="S8" s="665">
        <f t="shared" si="0"/>
        <v>100</v>
      </c>
      <c r="T8" s="664" t="s">
        <v>14</v>
      </c>
      <c r="U8" s="665">
        <f t="shared" si="1"/>
        <v>100</v>
      </c>
      <c r="V8" s="664" t="s">
        <v>14</v>
      </c>
      <c r="W8" s="665">
        <f t="shared" si="2"/>
        <v>100</v>
      </c>
      <c r="X8" s="666"/>
      <c r="Y8" s="3362" t="s">
        <v>1683</v>
      </c>
      <c r="Z8" s="336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40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1"/>
      <c r="Q31" s="1263" t="str">
        <f t="shared" si="11"/>
        <v>建筑结构</v>
      </c>
      <c r="R31" s="667" t="s">
        <v>14</v>
      </c>
      <c r="S31" s="668">
        <f t="shared" si="12"/>
        <v>100</v>
      </c>
      <c r="T31" s="667" t="s">
        <v>14</v>
      </c>
      <c r="U31" s="668">
        <f t="shared" si="13"/>
        <v>100</v>
      </c>
      <c r="V31" s="667" t="s">
        <v>14</v>
      </c>
      <c r="W31" s="668">
        <f t="shared" si="14"/>
        <v>100</v>
      </c>
      <c r="X31" s="1265"/>
      <c r="Y31" s="340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1"/>
      <c r="Q32" s="1263" t="str">
        <f t="shared" si="11"/>
        <v>公共部分装修</v>
      </c>
      <c r="R32" s="667" t="s">
        <v>14</v>
      </c>
      <c r="S32" s="668">
        <f t="shared" si="12"/>
        <v>100</v>
      </c>
      <c r="T32" s="667" t="s">
        <v>14</v>
      </c>
      <c r="U32" s="668">
        <f t="shared" si="13"/>
        <v>100</v>
      </c>
      <c r="V32" s="667" t="s">
        <v>14</v>
      </c>
      <c r="W32" s="668">
        <f t="shared" si="14"/>
        <v>100</v>
      </c>
      <c r="X32" s="1265"/>
      <c r="Y32" s="340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1"/>
      <c r="Q33" s="1263" t="str">
        <f t="shared" si="11"/>
        <v>成新度</v>
      </c>
      <c r="R33" s="667" t="s">
        <v>14</v>
      </c>
      <c r="S33" s="668" t="e">
        <f t="shared" si="12"/>
        <v>#N/A</v>
      </c>
      <c r="T33" s="667" t="s">
        <v>14</v>
      </c>
      <c r="U33" s="668" t="e">
        <f t="shared" si="13"/>
        <v>#N/A</v>
      </c>
      <c r="V33" s="667" t="s">
        <v>14</v>
      </c>
      <c r="W33" s="668" t="e">
        <f t="shared" si="14"/>
        <v>#N/A</v>
      </c>
      <c r="X33" s="1265"/>
      <c r="Y33" s="340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1" t="s">
        <v>1696</v>
      </c>
      <c r="Q35" s="1263" t="str">
        <f t="shared" si="11"/>
        <v>市政基础设施</v>
      </c>
      <c r="R35" s="667" t="s">
        <v>14</v>
      </c>
      <c r="S35" s="668">
        <f t="shared" si="12"/>
        <v>100</v>
      </c>
      <c r="T35" s="667" t="s">
        <v>14</v>
      </c>
      <c r="U35" s="668">
        <f t="shared" si="13"/>
        <v>100</v>
      </c>
      <c r="V35" s="667" t="s">
        <v>14</v>
      </c>
      <c r="W35" s="668">
        <f t="shared" si="14"/>
        <v>100</v>
      </c>
      <c r="X35" s="1265"/>
      <c r="Y35" s="340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1"/>
      <c r="Q36" s="1263" t="str">
        <f t="shared" si="11"/>
        <v>内部装修</v>
      </c>
      <c r="R36" s="667" t="s">
        <v>14</v>
      </c>
      <c r="S36" s="668">
        <f t="shared" si="12"/>
        <v>100</v>
      </c>
      <c r="T36" s="667" t="s">
        <v>14</v>
      </c>
      <c r="U36" s="668">
        <f t="shared" si="13"/>
        <v>100</v>
      </c>
      <c r="V36" s="667" t="s">
        <v>14</v>
      </c>
      <c r="W36" s="668">
        <f t="shared" si="14"/>
        <v>100</v>
      </c>
      <c r="X36" s="1265"/>
      <c r="Y36" s="340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1"/>
      <c r="Q37" s="1263" t="str">
        <f t="shared" si="11"/>
        <v>内部装修状况</v>
      </c>
      <c r="R37" s="667" t="s">
        <v>14</v>
      </c>
      <c r="S37" s="668">
        <f t="shared" si="12"/>
        <v>100</v>
      </c>
      <c r="T37" s="667" t="s">
        <v>14</v>
      </c>
      <c r="U37" s="668">
        <f t="shared" si="13"/>
        <v>100</v>
      </c>
      <c r="V37" s="667" t="s">
        <v>14</v>
      </c>
      <c r="W37" s="668">
        <f t="shared" si="14"/>
        <v>100</v>
      </c>
      <c r="X37" s="1265"/>
      <c r="Y37" s="340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1"/>
      <c r="Q39" s="1263">
        <f t="shared" si="11"/>
        <v>111</v>
      </c>
      <c r="R39" s="667" t="s">
        <v>14</v>
      </c>
      <c r="S39" s="668">
        <f t="shared" si="12"/>
        <v>100</v>
      </c>
      <c r="T39" s="667" t="s">
        <v>14</v>
      </c>
      <c r="U39" s="668">
        <f t="shared" si="13"/>
        <v>100</v>
      </c>
      <c r="V39" s="667" t="s">
        <v>14</v>
      </c>
      <c r="W39" s="668">
        <f t="shared" si="14"/>
        <v>100</v>
      </c>
      <c r="X39" s="1265"/>
      <c r="Y39" s="3401"/>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2"/>
      <c r="Q40" s="1263">
        <f t="shared" si="11"/>
        <v>111</v>
      </c>
      <c r="R40" s="667" t="s">
        <v>14</v>
      </c>
      <c r="S40" s="668">
        <f t="shared" si="12"/>
        <v>100</v>
      </c>
      <c r="T40" s="667" t="s">
        <v>14</v>
      </c>
      <c r="U40" s="668">
        <f t="shared" si="13"/>
        <v>100</v>
      </c>
      <c r="V40" s="667" t="s">
        <v>14</v>
      </c>
      <c r="W40" s="668">
        <f t="shared" si="14"/>
        <v>100</v>
      </c>
      <c r="X40" s="1265"/>
      <c r="Y40" s="340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3" t="str">
        <f>A41</f>
        <v>成交单价（元/平方米）</v>
      </c>
      <c r="Q41" s="3403"/>
      <c r="R41" s="3391">
        <f>E41</f>
        <v>0</v>
      </c>
      <c r="S41" s="3391"/>
      <c r="T41" s="3391">
        <f>G41</f>
        <v>0</v>
      </c>
      <c r="U41" s="3391"/>
      <c r="V41" s="3391">
        <f>I41</f>
        <v>0</v>
      </c>
      <c r="W41" s="3391"/>
      <c r="X41" s="385"/>
      <c r="Y41" s="673"/>
      <c r="Z41" s="385"/>
      <c r="AA41" s="385"/>
      <c r="AB41" s="385"/>
      <c r="AC41" s="385"/>
    </row>
    <row r="42" spans="1:29" ht="1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03" t="str">
        <f>A42</f>
        <v>比较价值（元/平方米）</v>
      </c>
      <c r="Q42" s="3403"/>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8"/>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434" t="s">
        <v>1775</v>
      </c>
      <c r="Q4" s="3435"/>
      <c r="R4" s="3429" t="s">
        <v>1771</v>
      </c>
      <c r="S4" s="3430"/>
      <c r="T4" s="3429" t="s">
        <v>1772</v>
      </c>
      <c r="U4" s="3430"/>
      <c r="V4" s="3391" t="s">
        <v>1773</v>
      </c>
      <c r="W4" s="3391"/>
      <c r="X4" s="1265"/>
      <c r="Y4" s="3429" t="s">
        <v>1775</v>
      </c>
      <c r="Z4" s="3430"/>
      <c r="AA4" s="3428" t="s">
        <v>1771</v>
      </c>
      <c r="AB4" s="3360" t="s">
        <v>1772</v>
      </c>
      <c r="AC4" s="3428" t="s">
        <v>1773</v>
      </c>
    </row>
    <row r="5" spans="1:29">
      <c r="A5" s="348"/>
      <c r="B5" s="349"/>
      <c r="C5" s="3433" t="s">
        <v>1673</v>
      </c>
      <c r="D5" s="3369"/>
      <c r="E5" s="3431" t="s">
        <v>1674</v>
      </c>
      <c r="F5" s="3432"/>
      <c r="G5" s="3433" t="s">
        <v>1675</v>
      </c>
      <c r="H5" s="3369"/>
      <c r="I5" s="3433" t="s">
        <v>1676</v>
      </c>
      <c r="J5" s="3369"/>
      <c r="K5" s="537"/>
      <c r="L5" s="2483"/>
      <c r="M5" s="2484"/>
      <c r="N5" s="2484"/>
      <c r="O5" s="2484"/>
      <c r="P5" s="3436"/>
      <c r="Q5" s="3385"/>
      <c r="R5" s="3366"/>
      <c r="S5" s="3367"/>
      <c r="T5" s="3366"/>
      <c r="U5" s="3367"/>
      <c r="V5" s="3391"/>
      <c r="W5" s="3391"/>
      <c r="X5" s="1265"/>
      <c r="Y5" s="3366"/>
      <c r="Z5" s="3367"/>
      <c r="AA5" s="3360"/>
      <c r="AB5" s="3360"/>
      <c r="AC5" s="3360"/>
    </row>
    <row r="6" spans="1:29" ht="15" thickBot="1">
      <c r="A6" s="350"/>
      <c r="B6" s="351"/>
      <c r="C6" s="3370" t="s">
        <v>1677</v>
      </c>
      <c r="D6" s="3371"/>
      <c r="E6" s="3372" t="s">
        <v>1677</v>
      </c>
      <c r="F6" s="3373"/>
      <c r="G6" s="3370" t="s">
        <v>1677</v>
      </c>
      <c r="H6" s="3371"/>
      <c r="I6" s="3370" t="s">
        <v>1677</v>
      </c>
      <c r="J6" s="3371"/>
      <c r="K6" s="537" t="s">
        <v>1678</v>
      </c>
      <c r="L6" s="2483"/>
      <c r="M6" s="2484"/>
      <c r="N6" s="2484"/>
      <c r="O6" s="2484"/>
      <c r="P6" s="3437"/>
      <c r="Q6" s="3387"/>
      <c r="R6" s="3366"/>
      <c r="S6" s="3367"/>
      <c r="T6" s="3388"/>
      <c r="U6" s="3389"/>
      <c r="V6" s="3391"/>
      <c r="W6" s="3391"/>
      <c r="X6" s="1265"/>
      <c r="Y6" s="3388"/>
      <c r="Z6" s="3389"/>
      <c r="AA6" s="3361"/>
      <c r="AB6" s="3361"/>
      <c r="AC6" s="3361"/>
    </row>
    <row r="7" spans="1:29" s="102" customFormat="1" ht="15" thickBot="1">
      <c r="A7" s="352" t="s">
        <v>1679</v>
      </c>
      <c r="B7" s="353"/>
      <c r="C7" s="354">
        <f>'数据-取费表'!B2</f>
        <v>45694</v>
      </c>
      <c r="D7" s="355">
        <v>100</v>
      </c>
      <c r="E7" s="356"/>
      <c r="F7" s="357">
        <f>SUMIF(48:48,YEAR(E7)&amp;"-"&amp;MONTH(E7),49:49)</f>
        <v>0</v>
      </c>
      <c r="G7" s="356"/>
      <c r="H7" s="355">
        <f>SUMIF(48:48,YEAR(G7)&amp;"-"&amp;MONTH(G7),49:49)</f>
        <v>0</v>
      </c>
      <c r="I7" s="356"/>
      <c r="J7" s="355">
        <f>SUMIF(48:48,YEAR(I7)&amp;"-"&amp;MONTH(I7),49:49)</f>
        <v>0</v>
      </c>
      <c r="K7" s="38"/>
      <c r="L7" s="2485"/>
      <c r="M7" s="2437"/>
      <c r="N7" s="2437"/>
      <c r="O7" s="2437"/>
      <c r="P7" s="3362" t="s">
        <v>1680</v>
      </c>
      <c r="Q7" s="3393"/>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03"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3"/>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3"/>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03"/>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3"/>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97"/>
      <c r="Q15" s="1263"/>
      <c r="R15" s="667"/>
      <c r="S15" s="668"/>
      <c r="T15" s="667"/>
      <c r="U15" s="668"/>
      <c r="V15" s="667"/>
      <c r="W15" s="668"/>
      <c r="X15" s="1265"/>
      <c r="Y15" s="3397"/>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89"/>
      <c r="M17" s="2484"/>
      <c r="N17" s="2484"/>
      <c r="O17" s="2484"/>
      <c r="P17" s="3397"/>
      <c r="Q17" s="1263"/>
      <c r="R17" s="667"/>
      <c r="S17" s="668"/>
      <c r="T17" s="667"/>
      <c r="U17" s="668"/>
      <c r="V17" s="667"/>
      <c r="W17" s="668"/>
      <c r="X17" s="1265"/>
      <c r="Y17" s="3397"/>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89"/>
      <c r="M19" s="2484"/>
      <c r="N19" s="2484"/>
      <c r="O19" s="2484"/>
      <c r="P19" s="3397"/>
      <c r="Q19" s="1263"/>
      <c r="R19" s="667"/>
      <c r="S19" s="668"/>
      <c r="T19" s="667"/>
      <c r="U19" s="668"/>
      <c r="V19" s="667"/>
      <c r="W19" s="668"/>
      <c r="X19" s="1265"/>
      <c r="Y19" s="3397"/>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1"/>
      <c r="Q28" s="1263" t="str">
        <f t="shared" si="11"/>
        <v>公共部分装修</v>
      </c>
      <c r="R28" s="667" t="s">
        <v>14</v>
      </c>
      <c r="S28" s="668">
        <f t="shared" si="12"/>
        <v>100</v>
      </c>
      <c r="T28" s="667" t="s">
        <v>14</v>
      </c>
      <c r="U28" s="668">
        <f t="shared" si="13"/>
        <v>100</v>
      </c>
      <c r="V28" s="667" t="s">
        <v>14</v>
      </c>
      <c r="W28" s="668">
        <f t="shared" si="14"/>
        <v>100</v>
      </c>
      <c r="X28" s="1265"/>
      <c r="Y28" s="340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1"/>
      <c r="Q29" s="1263" t="str">
        <f t="shared" si="11"/>
        <v>成新率</v>
      </c>
      <c r="R29" s="667" t="s">
        <v>14</v>
      </c>
      <c r="S29" s="668" t="e">
        <f t="shared" si="12"/>
        <v>#N/A</v>
      </c>
      <c r="T29" s="667" t="s">
        <v>14</v>
      </c>
      <c r="U29" s="668" t="e">
        <f t="shared" si="13"/>
        <v>#N/A</v>
      </c>
      <c r="V29" s="667" t="s">
        <v>14</v>
      </c>
      <c r="W29" s="668" t="e">
        <f t="shared" si="14"/>
        <v>#N/A</v>
      </c>
      <c r="X29" s="1265"/>
      <c r="Y29" s="340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1"/>
      <c r="Q30" s="1263" t="str">
        <f t="shared" si="11"/>
        <v>物业等级</v>
      </c>
      <c r="R30" s="667" t="s">
        <v>14</v>
      </c>
      <c r="S30" s="668">
        <f t="shared" si="12"/>
        <v>100</v>
      </c>
      <c r="T30" s="667" t="s">
        <v>14</v>
      </c>
      <c r="U30" s="668">
        <f t="shared" si="13"/>
        <v>100</v>
      </c>
      <c r="V30" s="667" t="s">
        <v>14</v>
      </c>
      <c r="W30" s="668">
        <f t="shared" si="14"/>
        <v>100</v>
      </c>
      <c r="X30" s="1265"/>
      <c r="Y30" s="340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1" t="s">
        <v>1696</v>
      </c>
      <c r="Q32" s="1263" t="str">
        <f t="shared" si="11"/>
        <v>车位类型</v>
      </c>
      <c r="R32" s="667" t="s">
        <v>14</v>
      </c>
      <c r="S32" s="668">
        <f t="shared" si="12"/>
        <v>100</v>
      </c>
      <c r="T32" s="667" t="s">
        <v>14</v>
      </c>
      <c r="U32" s="668">
        <f t="shared" si="13"/>
        <v>100</v>
      </c>
      <c r="V32" s="667" t="s">
        <v>14</v>
      </c>
      <c r="W32" s="668">
        <f t="shared" si="14"/>
        <v>100</v>
      </c>
      <c r="X32" s="1265"/>
      <c r="Y32" s="340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1"/>
      <c r="Q33" s="1263" t="str">
        <f t="shared" si="11"/>
        <v>是否直接入户</v>
      </c>
      <c r="R33" s="667" t="s">
        <v>14</v>
      </c>
      <c r="S33" s="668">
        <f t="shared" si="12"/>
        <v>100</v>
      </c>
      <c r="T33" s="667" t="s">
        <v>14</v>
      </c>
      <c r="U33" s="668">
        <f t="shared" si="13"/>
        <v>100</v>
      </c>
      <c r="V33" s="667" t="s">
        <v>14</v>
      </c>
      <c r="W33" s="668">
        <f t="shared" si="14"/>
        <v>100</v>
      </c>
      <c r="X33" s="1265"/>
      <c r="Y33" s="340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1"/>
      <c r="Q36" s="1263">
        <f t="shared" si="11"/>
        <v>111</v>
      </c>
      <c r="R36" s="667" t="s">
        <v>14</v>
      </c>
      <c r="S36" s="668">
        <f t="shared" si="12"/>
        <v>100</v>
      </c>
      <c r="T36" s="667" t="s">
        <v>14</v>
      </c>
      <c r="U36" s="668">
        <f t="shared" si="13"/>
        <v>100</v>
      </c>
      <c r="V36" s="667" t="s">
        <v>14</v>
      </c>
      <c r="W36" s="668">
        <f t="shared" si="14"/>
        <v>100</v>
      </c>
      <c r="X36" s="1265"/>
      <c r="Y36" s="3401"/>
      <c r="Z36" s="1264">
        <f t="shared" si="15"/>
        <v>111</v>
      </c>
      <c r="AA36" s="1264">
        <f t="shared" si="3"/>
        <v>1</v>
      </c>
      <c r="AB36" s="1264">
        <f t="shared" si="4"/>
        <v>1</v>
      </c>
      <c r="AC36" s="1264">
        <f t="shared" si="5"/>
        <v>1</v>
      </c>
    </row>
    <row r="37" spans="1:29" ht="14.4">
      <c r="A37" s="416" t="s">
        <v>1844</v>
      </c>
      <c r="B37" s="1820" t="s">
        <v>3354</v>
      </c>
      <c r="C37" s="1081" t="s">
        <v>0</v>
      </c>
      <c r="D37" s="418"/>
      <c r="E37" s="419"/>
      <c r="F37" s="420"/>
      <c r="G37" s="421"/>
      <c r="H37" s="422"/>
      <c r="I37" s="419"/>
      <c r="J37" s="422"/>
      <c r="K37" s="545"/>
      <c r="L37" s="2491"/>
      <c r="M37" s="2484"/>
      <c r="N37" s="2484"/>
      <c r="O37" s="2484"/>
      <c r="P37" s="3403" t="str">
        <f>A37</f>
        <v>成交单价</v>
      </c>
      <c r="Q37" s="3403"/>
      <c r="R37" s="3391">
        <f>E37</f>
        <v>0</v>
      </c>
      <c r="S37" s="3391"/>
      <c r="T37" s="3391">
        <f>G37</f>
        <v>0</v>
      </c>
      <c r="U37" s="3391"/>
      <c r="V37" s="3391">
        <f>I37</f>
        <v>0</v>
      </c>
      <c r="W37" s="3391"/>
      <c r="X37" s="385"/>
      <c r="Y37" s="673"/>
      <c r="Z37" s="385"/>
      <c r="AA37" s="385"/>
      <c r="AB37" s="385"/>
      <c r="AC37" s="385"/>
    </row>
    <row r="38" spans="1:29" ht="1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1"/>
      <c r="M38" s="2484"/>
      <c r="N38" s="2484"/>
      <c r="O38" s="2484"/>
      <c r="P38" s="3403" t="str">
        <f>A38</f>
        <v>比较价值（元/平方米）</v>
      </c>
      <c r="Q38" s="3403"/>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38" t="str">
        <f>A39</f>
        <v>估价对象XX用房的比较价值（楼面单价，元/平方米）</v>
      </c>
      <c r="Q39" s="3439"/>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8"/>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434" t="s">
        <v>1775</v>
      </c>
      <c r="Q4" s="3435"/>
      <c r="R4" s="3429" t="s">
        <v>1771</v>
      </c>
      <c r="S4" s="3430"/>
      <c r="T4" s="3429" t="s">
        <v>1772</v>
      </c>
      <c r="U4" s="3430"/>
      <c r="V4" s="3391" t="s">
        <v>1773</v>
      </c>
      <c r="W4" s="3391"/>
      <c r="X4" s="1265"/>
      <c r="Y4" s="3429" t="s">
        <v>1775</v>
      </c>
      <c r="Z4" s="3430"/>
      <c r="AA4" s="3428" t="s">
        <v>1771</v>
      </c>
      <c r="AB4" s="3360" t="s">
        <v>1772</v>
      </c>
      <c r="AC4" s="3428" t="s">
        <v>1773</v>
      </c>
    </row>
    <row r="5" spans="1:29">
      <c r="A5" s="348"/>
      <c r="B5" s="349"/>
      <c r="C5" s="3433" t="s">
        <v>1673</v>
      </c>
      <c r="D5" s="3369"/>
      <c r="E5" s="3431" t="s">
        <v>1674</v>
      </c>
      <c r="F5" s="3432"/>
      <c r="G5" s="3433" t="s">
        <v>1675</v>
      </c>
      <c r="H5" s="3369"/>
      <c r="I5" s="3433" t="s">
        <v>1676</v>
      </c>
      <c r="J5" s="3369"/>
      <c r="K5" s="537"/>
      <c r="L5" s="2483"/>
      <c r="M5" s="2484"/>
      <c r="N5" s="2484"/>
      <c r="O5" s="2484"/>
      <c r="P5" s="3436"/>
      <c r="Q5" s="3385"/>
      <c r="R5" s="3366"/>
      <c r="S5" s="3367"/>
      <c r="T5" s="3366"/>
      <c r="U5" s="3367"/>
      <c r="V5" s="3391"/>
      <c r="W5" s="3391"/>
      <c r="X5" s="1265"/>
      <c r="Y5" s="3366"/>
      <c r="Z5" s="3367"/>
      <c r="AA5" s="3360"/>
      <c r="AB5" s="3360"/>
      <c r="AC5" s="3360"/>
    </row>
    <row r="6" spans="1:29" ht="15" thickBot="1">
      <c r="A6" s="350"/>
      <c r="B6" s="351"/>
      <c r="C6" s="3370" t="s">
        <v>1677</v>
      </c>
      <c r="D6" s="3371"/>
      <c r="E6" s="3372" t="s">
        <v>1677</v>
      </c>
      <c r="F6" s="3373"/>
      <c r="G6" s="3370" t="s">
        <v>1677</v>
      </c>
      <c r="H6" s="3371"/>
      <c r="I6" s="3370" t="s">
        <v>1677</v>
      </c>
      <c r="J6" s="3371"/>
      <c r="K6" s="537" t="s">
        <v>1678</v>
      </c>
      <c r="L6" s="2483"/>
      <c r="M6" s="2484"/>
      <c r="N6" s="2484"/>
      <c r="O6" s="2484"/>
      <c r="P6" s="3437"/>
      <c r="Q6" s="3387"/>
      <c r="R6" s="3366"/>
      <c r="S6" s="3367"/>
      <c r="T6" s="3388"/>
      <c r="U6" s="3389"/>
      <c r="V6" s="3391"/>
      <c r="W6" s="3391"/>
      <c r="X6" s="1265"/>
      <c r="Y6" s="3388"/>
      <c r="Z6" s="3389"/>
      <c r="AA6" s="3361"/>
      <c r="AB6" s="3361"/>
      <c r="AC6" s="3361"/>
    </row>
    <row r="7" spans="1:29" s="102" customFormat="1" ht="15" thickBot="1">
      <c r="A7" s="352" t="s">
        <v>1679</v>
      </c>
      <c r="B7" s="353"/>
      <c r="C7" s="354">
        <f>'数据-取费表'!B2</f>
        <v>45694</v>
      </c>
      <c r="D7" s="355">
        <v>100</v>
      </c>
      <c r="E7" s="356"/>
      <c r="F7" s="357">
        <f>SUMIF(46:46,YEAR(E7)&amp;"-"&amp;MONTH(E7),47:47)</f>
        <v>0</v>
      </c>
      <c r="G7" s="1821"/>
      <c r="H7" s="355">
        <f>SUMIF(46:46,YEAR(G7)&amp;"-"&amp;MONTH(G7),47:47)</f>
        <v>0</v>
      </c>
      <c r="I7" s="356"/>
      <c r="J7" s="355">
        <f>SUMIF(46:46,YEAR(I7)&amp;"-"&amp;MONTH(I7),47:47)</f>
        <v>0</v>
      </c>
      <c r="K7" s="38"/>
      <c r="L7" s="2485"/>
      <c r="M7" s="2437"/>
      <c r="N7" s="2437"/>
      <c r="O7" s="2437"/>
      <c r="P7" s="3362" t="s">
        <v>1680</v>
      </c>
      <c r="Q7" s="3393"/>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03"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3"/>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3"/>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03"/>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03"/>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97"/>
      <c r="Q15" s="1263"/>
      <c r="R15" s="667"/>
      <c r="S15" s="668"/>
      <c r="T15" s="667"/>
      <c r="U15" s="668"/>
      <c r="V15" s="667"/>
      <c r="W15" s="668"/>
      <c r="X15" s="1265"/>
      <c r="Y15" s="3397"/>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89"/>
      <c r="M17" s="2484"/>
      <c r="N17" s="2484"/>
      <c r="O17" s="2539"/>
      <c r="P17" s="3397"/>
      <c r="Q17" s="1263"/>
      <c r="R17" s="667"/>
      <c r="S17" s="668"/>
      <c r="T17" s="667"/>
      <c r="U17" s="668"/>
      <c r="V17" s="667"/>
      <c r="W17" s="668"/>
      <c r="X17" s="1265"/>
      <c r="Y17" s="3397"/>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89"/>
      <c r="M19" s="2484"/>
      <c r="N19" s="2484"/>
      <c r="O19" s="2539"/>
      <c r="P19" s="3397"/>
      <c r="Q19" s="1263"/>
      <c r="R19" s="667"/>
      <c r="S19" s="668"/>
      <c r="T19" s="667"/>
      <c r="U19" s="668"/>
      <c r="V19" s="667"/>
      <c r="W19" s="668"/>
      <c r="X19" s="1265"/>
      <c r="Y19" s="3397"/>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1"/>
      <c r="Q28" s="1263" t="str">
        <f t="shared" si="11"/>
        <v>物业等级</v>
      </c>
      <c r="R28" s="667" t="s">
        <v>14</v>
      </c>
      <c r="S28" s="668">
        <f t="shared" si="12"/>
        <v>100</v>
      </c>
      <c r="T28" s="667" t="s">
        <v>14</v>
      </c>
      <c r="U28" s="668">
        <f t="shared" si="13"/>
        <v>100</v>
      </c>
      <c r="V28" s="667" t="s">
        <v>14</v>
      </c>
      <c r="W28" s="668">
        <f t="shared" si="14"/>
        <v>100</v>
      </c>
      <c r="X28" s="1265"/>
      <c r="Y28" s="340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1"/>
      <c r="Q29" s="1263" t="str">
        <f t="shared" si="11"/>
        <v>有无电梯</v>
      </c>
      <c r="R29" s="667" t="s">
        <v>14</v>
      </c>
      <c r="S29" s="668">
        <f t="shared" si="12"/>
        <v>100</v>
      </c>
      <c r="T29" s="667" t="s">
        <v>14</v>
      </c>
      <c r="U29" s="668">
        <f t="shared" si="13"/>
        <v>100</v>
      </c>
      <c r="V29" s="667" t="s">
        <v>14</v>
      </c>
      <c r="W29" s="668">
        <f t="shared" si="14"/>
        <v>100</v>
      </c>
      <c r="X29" s="1265"/>
      <c r="Y29" s="340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1"/>
      <c r="Q30" s="1263" t="str">
        <f t="shared" si="11"/>
        <v>建筑面积</v>
      </c>
      <c r="R30" s="667" t="s">
        <v>14</v>
      </c>
      <c r="S30" s="668" t="e">
        <f t="shared" si="12"/>
        <v>#N/A</v>
      </c>
      <c r="T30" s="667" t="s">
        <v>14</v>
      </c>
      <c r="U30" s="668" t="e">
        <f t="shared" si="13"/>
        <v>#N/A</v>
      </c>
      <c r="V30" s="667" t="s">
        <v>14</v>
      </c>
      <c r="W30" s="668" t="e">
        <f t="shared" si="14"/>
        <v>#N/A</v>
      </c>
      <c r="X30" s="1265"/>
      <c r="Y30" s="340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1" t="s">
        <v>1696</v>
      </c>
      <c r="Q32" s="1263">
        <f t="shared" si="11"/>
        <v>111</v>
      </c>
      <c r="R32" s="667" t="s">
        <v>14</v>
      </c>
      <c r="S32" s="668">
        <f t="shared" si="12"/>
        <v>100</v>
      </c>
      <c r="T32" s="667" t="s">
        <v>14</v>
      </c>
      <c r="U32" s="668">
        <f t="shared" si="13"/>
        <v>100</v>
      </c>
      <c r="V32" s="667" t="s">
        <v>14</v>
      </c>
      <c r="W32" s="668">
        <f t="shared" si="14"/>
        <v>100</v>
      </c>
      <c r="X32" s="1265"/>
      <c r="Y32" s="340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1"/>
      <c r="Q33" s="1263">
        <f t="shared" si="11"/>
        <v>111</v>
      </c>
      <c r="R33" s="667" t="s">
        <v>14</v>
      </c>
      <c r="S33" s="668">
        <f t="shared" si="12"/>
        <v>100</v>
      </c>
      <c r="T33" s="667" t="s">
        <v>14</v>
      </c>
      <c r="U33" s="668">
        <f t="shared" si="13"/>
        <v>100</v>
      </c>
      <c r="V33" s="667" t="s">
        <v>14</v>
      </c>
      <c r="W33" s="668">
        <f t="shared" si="14"/>
        <v>100</v>
      </c>
      <c r="X33" s="1265"/>
      <c r="Y33" s="3401"/>
      <c r="Z33" s="1264">
        <f t="shared" si="15"/>
        <v>111</v>
      </c>
      <c r="AA33" s="1264">
        <f t="shared" si="3"/>
        <v>1</v>
      </c>
      <c r="AB33" s="1264">
        <f t="shared" si="4"/>
        <v>1</v>
      </c>
      <c r="AC33" s="1264">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403" t="str">
        <f>A35</f>
        <v>成交单价（元/平方米）</v>
      </c>
      <c r="Q35" s="3403"/>
      <c r="R35" s="3391">
        <f>E35</f>
        <v>0</v>
      </c>
      <c r="S35" s="3391"/>
      <c r="T35" s="3391">
        <f>G35</f>
        <v>0</v>
      </c>
      <c r="U35" s="3391"/>
      <c r="V35" s="3391">
        <f>I35</f>
        <v>0</v>
      </c>
      <c r="W35" s="3391"/>
      <c r="X35" s="385"/>
      <c r="Y35" s="673"/>
      <c r="Z35" s="385"/>
      <c r="AA35" s="385"/>
      <c r="AB35" s="385"/>
      <c r="AC35" s="385"/>
    </row>
    <row r="36" spans="1:30" ht="15" thickBot="1">
      <c r="A36" s="423" t="s">
        <v>1793</v>
      </c>
      <c r="B36" s="424"/>
      <c r="C36" s="1082" t="e">
        <f>R37</f>
        <v>#DIV/0!</v>
      </c>
      <c r="D36" s="2139" t="s">
        <v>2138</v>
      </c>
      <c r="E36" s="1083" t="e">
        <f>R36</f>
        <v>#DIV/0!</v>
      </c>
      <c r="F36" s="2140"/>
      <c r="G36" s="1082" t="e">
        <f>T36</f>
        <v>#DIV/0!</v>
      </c>
      <c r="H36" s="2140"/>
      <c r="I36" s="1083" t="e">
        <f>V36</f>
        <v>#DIV/0!</v>
      </c>
      <c r="J36" s="2140"/>
      <c r="K36" s="2142">
        <f>F36+H36+J36</f>
        <v>0</v>
      </c>
      <c r="L36" s="2491"/>
      <c r="M36" s="2484"/>
      <c r="N36" s="2484"/>
      <c r="O36" s="2484"/>
      <c r="P36" s="3403" t="str">
        <f>A36</f>
        <v>比较价值（元/平方米）</v>
      </c>
      <c r="Q36" s="3403"/>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38" t="str">
        <f>A37</f>
        <v>估价对象XX用房的比较价值（楼面单价，元/平方米）</v>
      </c>
      <c r="Q37" s="3439"/>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434" t="s">
        <v>1775</v>
      </c>
      <c r="Q4" s="3435"/>
      <c r="R4" s="3429" t="s">
        <v>1771</v>
      </c>
      <c r="S4" s="3430"/>
      <c r="T4" s="3429" t="s">
        <v>1772</v>
      </c>
      <c r="U4" s="3430"/>
      <c r="V4" s="3391" t="s">
        <v>1773</v>
      </c>
      <c r="W4" s="3391"/>
      <c r="X4" s="1265"/>
      <c r="Y4" s="3429" t="s">
        <v>1775</v>
      </c>
      <c r="Z4" s="3430"/>
      <c r="AA4" s="3428" t="s">
        <v>1771</v>
      </c>
      <c r="AB4" s="3360" t="s">
        <v>1772</v>
      </c>
      <c r="AC4" s="3428" t="s">
        <v>1773</v>
      </c>
    </row>
    <row r="5" spans="1:29">
      <c r="A5" s="348"/>
      <c r="B5" s="349"/>
      <c r="C5" s="3433" t="s">
        <v>1673</v>
      </c>
      <c r="D5" s="3369"/>
      <c r="E5" s="3431" t="s">
        <v>1674</v>
      </c>
      <c r="F5" s="3432"/>
      <c r="G5" s="3433" t="s">
        <v>1675</v>
      </c>
      <c r="H5" s="3369"/>
      <c r="I5" s="3433" t="s">
        <v>1676</v>
      </c>
      <c r="J5" s="3369"/>
      <c r="K5" s="537"/>
      <c r="L5" s="2483"/>
      <c r="M5" s="2484"/>
      <c r="N5" s="2484"/>
      <c r="O5" s="2484"/>
      <c r="P5" s="3436"/>
      <c r="Q5" s="3385"/>
      <c r="R5" s="3366"/>
      <c r="S5" s="3367"/>
      <c r="T5" s="3366"/>
      <c r="U5" s="3367"/>
      <c r="V5" s="3391"/>
      <c r="W5" s="3391"/>
      <c r="X5" s="1265"/>
      <c r="Y5" s="3366"/>
      <c r="Z5" s="3367"/>
      <c r="AA5" s="3360"/>
      <c r="AB5" s="3360"/>
      <c r="AC5" s="3360"/>
    </row>
    <row r="6" spans="1:29" ht="15" thickBot="1">
      <c r="A6" s="350"/>
      <c r="B6" s="351"/>
      <c r="C6" s="3370" t="s">
        <v>1677</v>
      </c>
      <c r="D6" s="3371"/>
      <c r="E6" s="3372" t="s">
        <v>1677</v>
      </c>
      <c r="F6" s="3373"/>
      <c r="G6" s="3370" t="s">
        <v>1677</v>
      </c>
      <c r="H6" s="3371"/>
      <c r="I6" s="3370" t="s">
        <v>1677</v>
      </c>
      <c r="J6" s="3371"/>
      <c r="K6" s="537" t="s">
        <v>1678</v>
      </c>
      <c r="L6" s="2483"/>
      <c r="M6" s="2484"/>
      <c r="N6" s="2484"/>
      <c r="O6" s="2484"/>
      <c r="P6" s="3437"/>
      <c r="Q6" s="3387"/>
      <c r="R6" s="3366"/>
      <c r="S6" s="3367"/>
      <c r="T6" s="3388"/>
      <c r="U6" s="3389"/>
      <c r="V6" s="3391"/>
      <c r="W6" s="3391"/>
      <c r="X6" s="1265"/>
      <c r="Y6" s="3388"/>
      <c r="Z6" s="3389"/>
      <c r="AA6" s="3361"/>
      <c r="AB6" s="3361"/>
      <c r="AC6" s="3361"/>
    </row>
    <row r="7" spans="1:29" s="102" customFormat="1" ht="15" thickBot="1">
      <c r="A7" s="352" t="s">
        <v>1679</v>
      </c>
      <c r="B7" s="353"/>
      <c r="C7" s="354">
        <f>'数据-取费表'!B2</f>
        <v>45694</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62" t="s">
        <v>1683</v>
      </c>
      <c r="Q8" s="3363"/>
      <c r="R8" s="664" t="s">
        <v>14</v>
      </c>
      <c r="S8" s="665">
        <f t="shared" si="0"/>
        <v>0</v>
      </c>
      <c r="T8" s="664" t="s">
        <v>14</v>
      </c>
      <c r="U8" s="665">
        <f t="shared" si="1"/>
        <v>0</v>
      </c>
      <c r="V8" s="664" t="s">
        <v>14</v>
      </c>
      <c r="W8" s="665">
        <f t="shared" si="2"/>
        <v>0</v>
      </c>
      <c r="X8" s="666"/>
      <c r="Y8" s="3362" t="s">
        <v>1683</v>
      </c>
      <c r="Z8" s="3363"/>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03"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131</v>
      </c>
      <c r="G10" s="402"/>
      <c r="H10" s="119">
        <f>ROUND(100/'数据-取费表'!G16,0)</f>
        <v>131</v>
      </c>
      <c r="I10" s="402"/>
      <c r="J10" s="119">
        <f>ROUND(100/'数据-取费表'!G16,0)</f>
        <v>131</v>
      </c>
      <c r="K10" s="592"/>
      <c r="L10" s="2486"/>
      <c r="M10" s="2487"/>
      <c r="N10" s="2487"/>
      <c r="O10" s="2538"/>
      <c r="P10" s="3403"/>
      <c r="Q10" s="530" t="str">
        <f t="shared" si="6"/>
        <v>土地使用年限（年）</v>
      </c>
      <c r="R10" s="664" t="s">
        <v>14</v>
      </c>
      <c r="S10" s="665">
        <f t="shared" si="0"/>
        <v>131</v>
      </c>
      <c r="T10" s="664" t="s">
        <v>14</v>
      </c>
      <c r="U10" s="665">
        <f t="shared" si="1"/>
        <v>131</v>
      </c>
      <c r="V10" s="664" t="s">
        <v>14</v>
      </c>
      <c r="W10" s="665">
        <f t="shared" si="2"/>
        <v>131</v>
      </c>
      <c r="X10" s="666"/>
      <c r="Y10" s="3327"/>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3"/>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03"/>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3"/>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3"/>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89"/>
      <c r="M16" s="2484"/>
      <c r="N16" s="2484"/>
      <c r="O16" s="2539"/>
      <c r="P16" s="3397"/>
      <c r="Q16" s="1263"/>
      <c r="R16" s="667"/>
      <c r="S16" s="668"/>
      <c r="T16" s="667"/>
      <c r="U16" s="668"/>
      <c r="V16" s="667"/>
      <c r="W16" s="668"/>
      <c r="X16" s="1265"/>
      <c r="Y16" s="3397"/>
      <c r="Z16" s="1264"/>
      <c r="AA16" s="1264">
        <v>1</v>
      </c>
      <c r="AB16" s="1264">
        <v>1</v>
      </c>
      <c r="AC16" s="1264">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89"/>
      <c r="M18" s="2484"/>
      <c r="N18" s="2484"/>
      <c r="O18" s="2539"/>
      <c r="P18" s="3397"/>
      <c r="Q18" s="1263"/>
      <c r="R18" s="667"/>
      <c r="S18" s="668"/>
      <c r="T18" s="667"/>
      <c r="U18" s="668"/>
      <c r="V18" s="667"/>
      <c r="W18" s="668"/>
      <c r="X18" s="1265"/>
      <c r="Y18" s="3397"/>
      <c r="Z18" s="1264"/>
      <c r="AA18" s="1264">
        <v>1</v>
      </c>
      <c r="AB18" s="1264">
        <v>1</v>
      </c>
      <c r="AC18" s="1264">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89"/>
      <c r="M20" s="2484"/>
      <c r="N20" s="2484"/>
      <c r="O20" s="2539"/>
      <c r="P20" s="3397"/>
      <c r="Q20" s="1263"/>
      <c r="R20" s="667"/>
      <c r="S20" s="668"/>
      <c r="T20" s="667"/>
      <c r="U20" s="668"/>
      <c r="V20" s="667"/>
      <c r="W20" s="668"/>
      <c r="X20" s="1265"/>
      <c r="Y20" s="3397"/>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89"/>
      <c r="M22" s="2484"/>
      <c r="N22" s="2484"/>
      <c r="O22" s="2539"/>
      <c r="P22" s="3397"/>
      <c r="Q22" s="1263"/>
      <c r="R22" s="667"/>
      <c r="S22" s="668"/>
      <c r="T22" s="667"/>
      <c r="U22" s="668"/>
      <c r="V22" s="667"/>
      <c r="W22" s="668"/>
      <c r="X22" s="1265"/>
      <c r="Y22" s="339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89"/>
      <c r="M24" s="2484"/>
      <c r="N24" s="2484"/>
      <c r="O24" s="2539"/>
      <c r="P24" s="3397"/>
      <c r="Q24" s="1263"/>
      <c r="R24" s="667"/>
      <c r="S24" s="668"/>
      <c r="T24" s="667"/>
      <c r="U24" s="668"/>
      <c r="V24" s="667"/>
      <c r="W24" s="668"/>
      <c r="X24" s="1265"/>
      <c r="Y24" s="3397"/>
      <c r="Z24" s="1264"/>
      <c r="AA24" s="1264"/>
      <c r="AB24" s="1264"/>
      <c r="AC24" s="1264"/>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89"/>
      <c r="M26" s="2484"/>
      <c r="N26" s="2484"/>
      <c r="O26" s="2539"/>
      <c r="P26" s="3397"/>
      <c r="Q26" s="1263"/>
      <c r="R26" s="667"/>
      <c r="S26" s="668"/>
      <c r="T26" s="667"/>
      <c r="U26" s="668"/>
      <c r="V26" s="667"/>
      <c r="W26" s="668"/>
      <c r="X26" s="1265"/>
      <c r="Y26" s="3397"/>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5"/>
      <c r="M28" s="2437"/>
      <c r="N28" s="2437"/>
      <c r="O28" s="2537"/>
      <c r="P28" s="3397"/>
      <c r="Q28" s="530"/>
      <c r="R28" s="664"/>
      <c r="S28" s="665"/>
      <c r="T28" s="664"/>
      <c r="U28" s="665"/>
      <c r="V28" s="664"/>
      <c r="W28" s="665"/>
      <c r="X28" s="666"/>
      <c r="Y28" s="3397"/>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5"/>
      <c r="M30" s="2437"/>
      <c r="N30" s="2437"/>
      <c r="O30" s="2537"/>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89"/>
      <c r="M33" s="2484"/>
      <c r="N33" s="2484"/>
      <c r="O33" s="2539"/>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1" t="s">
        <v>1696</v>
      </c>
      <c r="Q36" s="1263">
        <f t="shared" si="8"/>
        <v>111</v>
      </c>
      <c r="R36" s="667" t="s">
        <v>14</v>
      </c>
      <c r="S36" s="668">
        <f t="shared" si="10"/>
        <v>100</v>
      </c>
      <c r="T36" s="667" t="s">
        <v>14</v>
      </c>
      <c r="U36" s="668">
        <f t="shared" si="11"/>
        <v>100</v>
      </c>
      <c r="V36" s="667" t="s">
        <v>14</v>
      </c>
      <c r="W36" s="668">
        <f t="shared" si="12"/>
        <v>100</v>
      </c>
      <c r="X36" s="1265"/>
      <c r="Y36" s="340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1"/>
      <c r="Q37" s="1263">
        <f t="shared" si="8"/>
        <v>111</v>
      </c>
      <c r="R37" s="669" t="s">
        <v>14</v>
      </c>
      <c r="S37" s="670">
        <f t="shared" si="10"/>
        <v>100</v>
      </c>
      <c r="T37" s="669" t="s">
        <v>14</v>
      </c>
      <c r="U37" s="670">
        <f t="shared" si="11"/>
        <v>100</v>
      </c>
      <c r="V37" s="669" t="s">
        <v>14</v>
      </c>
      <c r="W37" s="670">
        <f t="shared" si="12"/>
        <v>100</v>
      </c>
      <c r="X37" s="671"/>
      <c r="Y37" s="340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1"/>
      <c r="Q38" s="1263" t="str">
        <f>B38</f>
        <v>宗地面积</v>
      </c>
      <c r="R38" s="667" t="s">
        <v>14</v>
      </c>
      <c r="S38" s="668" t="e">
        <f t="shared" si="10"/>
        <v>#N/A</v>
      </c>
      <c r="T38" s="667" t="s">
        <v>14</v>
      </c>
      <c r="U38" s="668" t="e">
        <f t="shared" si="11"/>
        <v>#N/A</v>
      </c>
      <c r="V38" s="667" t="s">
        <v>14</v>
      </c>
      <c r="W38" s="668" t="e">
        <f t="shared" si="12"/>
        <v>#N/A</v>
      </c>
      <c r="X38" s="1265"/>
      <c r="Y38" s="3401"/>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01"/>
      <c r="Q39" s="1263" t="str">
        <f t="shared" ref="Q39:Q45" si="14">B39</f>
        <v>宗地形状</v>
      </c>
      <c r="R39" s="667" t="s">
        <v>14</v>
      </c>
      <c r="S39" s="668">
        <f t="shared" si="10"/>
        <v>100</v>
      </c>
      <c r="T39" s="667" t="s">
        <v>14</v>
      </c>
      <c r="U39" s="668">
        <f t="shared" si="11"/>
        <v>100</v>
      </c>
      <c r="V39" s="667" t="s">
        <v>14</v>
      </c>
      <c r="W39" s="668">
        <f t="shared" si="12"/>
        <v>100</v>
      </c>
      <c r="X39" s="1265"/>
      <c r="Y39" s="3401"/>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01"/>
      <c r="Q40" s="1263" t="str">
        <f t="shared" si="14"/>
        <v>临街宽度及深度</v>
      </c>
      <c r="R40" s="667" t="s">
        <v>14</v>
      </c>
      <c r="S40" s="668">
        <f t="shared" si="10"/>
        <v>100</v>
      </c>
      <c r="T40" s="667" t="s">
        <v>14</v>
      </c>
      <c r="U40" s="668">
        <f t="shared" si="11"/>
        <v>100</v>
      </c>
      <c r="V40" s="667" t="s">
        <v>14</v>
      </c>
      <c r="W40" s="668">
        <f t="shared" si="12"/>
        <v>100</v>
      </c>
      <c r="X40" s="1265"/>
      <c r="Y40" s="3401"/>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01"/>
      <c r="Q41" s="1263"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01" t="s">
        <v>1696</v>
      </c>
      <c r="Q42" s="1263" t="str">
        <f t="shared" si="14"/>
        <v>工程地质条件</v>
      </c>
      <c r="R42" s="667" t="s">
        <v>14</v>
      </c>
      <c r="S42" s="668">
        <f t="shared" si="10"/>
        <v>100</v>
      </c>
      <c r="T42" s="667" t="s">
        <v>14</v>
      </c>
      <c r="U42" s="668">
        <f t="shared" si="11"/>
        <v>100</v>
      </c>
      <c r="V42" s="667" t="s">
        <v>14</v>
      </c>
      <c r="W42" s="668">
        <f t="shared" si="12"/>
        <v>100</v>
      </c>
      <c r="X42" s="1265"/>
      <c r="Y42" s="340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1"/>
      <c r="Q43" s="1263">
        <f t="shared" si="14"/>
        <v>111</v>
      </c>
      <c r="R43" s="667" t="s">
        <v>14</v>
      </c>
      <c r="S43" s="668">
        <f t="shared" si="10"/>
        <v>100</v>
      </c>
      <c r="T43" s="667" t="s">
        <v>14</v>
      </c>
      <c r="U43" s="668">
        <f t="shared" si="11"/>
        <v>100</v>
      </c>
      <c r="V43" s="667" t="s">
        <v>14</v>
      </c>
      <c r="W43" s="668">
        <f t="shared" si="12"/>
        <v>100</v>
      </c>
      <c r="X43" s="1265"/>
      <c r="Y43" s="340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1"/>
      <c r="Q44" s="1263">
        <f t="shared" si="14"/>
        <v>111</v>
      </c>
      <c r="R44" s="667" t="s">
        <v>14</v>
      </c>
      <c r="S44" s="668">
        <f t="shared" si="10"/>
        <v>100</v>
      </c>
      <c r="T44" s="667" t="s">
        <v>14</v>
      </c>
      <c r="U44" s="668">
        <f t="shared" si="11"/>
        <v>100</v>
      </c>
      <c r="V44" s="667" t="s">
        <v>14</v>
      </c>
      <c r="W44" s="668">
        <f t="shared" si="12"/>
        <v>100</v>
      </c>
      <c r="X44" s="1265"/>
      <c r="Y44" s="3401"/>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1"/>
      <c r="Q45" s="1263">
        <f t="shared" si="14"/>
        <v>111</v>
      </c>
      <c r="R45" s="669" t="s">
        <v>14</v>
      </c>
      <c r="S45" s="670">
        <f t="shared" si="10"/>
        <v>100</v>
      </c>
      <c r="T45" s="669" t="s">
        <v>14</v>
      </c>
      <c r="U45" s="670">
        <f t="shared" si="11"/>
        <v>100</v>
      </c>
      <c r="V45" s="669" t="s">
        <v>14</v>
      </c>
      <c r="W45" s="670">
        <f t="shared" si="12"/>
        <v>100</v>
      </c>
      <c r="X45" s="671"/>
      <c r="Y45" s="3401"/>
      <c r="Z45" s="672">
        <f t="shared" si="13"/>
        <v>111</v>
      </c>
      <c r="AA45" s="1264">
        <f t="shared" si="3"/>
        <v>1</v>
      </c>
      <c r="AB45" s="1264">
        <f t="shared" si="4"/>
        <v>1</v>
      </c>
      <c r="AC45" s="1264">
        <f t="shared" si="5"/>
        <v>1</v>
      </c>
    </row>
    <row r="46" spans="1:29" ht="14.4">
      <c r="A46" s="416" t="s">
        <v>1844</v>
      </c>
      <c r="B46" s="1829" t="s">
        <v>1879</v>
      </c>
      <c r="C46" s="602" t="s">
        <v>0</v>
      </c>
      <c r="D46" s="418"/>
      <c r="E46" s="419"/>
      <c r="F46" s="420"/>
      <c r="G46" s="421"/>
      <c r="H46" s="422"/>
      <c r="I46" s="419"/>
      <c r="J46" s="422"/>
      <c r="K46" s="674"/>
      <c r="L46" s="2491"/>
      <c r="M46" s="2484"/>
      <c r="N46" s="2484"/>
      <c r="O46" s="2484"/>
      <c r="P46" s="3403" t="str">
        <f>A46</f>
        <v>成交单价</v>
      </c>
      <c r="Q46" s="3403"/>
      <c r="R46" s="3391">
        <f>E46</f>
        <v>0</v>
      </c>
      <c r="S46" s="3391"/>
      <c r="T46" s="3391">
        <f>G46</f>
        <v>0</v>
      </c>
      <c r="U46" s="3391"/>
      <c r="V46" s="3391">
        <f>I46</f>
        <v>0</v>
      </c>
      <c r="W46" s="3391"/>
      <c r="X46" s="385"/>
      <c r="Y46" s="673"/>
      <c r="Z46" s="385"/>
      <c r="AA46" s="385"/>
      <c r="AB46" s="385"/>
      <c r="AC46" s="385"/>
    </row>
    <row r="47" spans="1:29" ht="15" thickBot="1">
      <c r="A47" s="423" t="s">
        <v>1793</v>
      </c>
      <c r="B47" s="603"/>
      <c r="C47" s="426" t="e">
        <f>R48</f>
        <v>#DIV/0!</v>
      </c>
      <c r="D47" s="2139" t="s">
        <v>2138</v>
      </c>
      <c r="E47" s="426" t="e">
        <f>R47</f>
        <v>#DIV/0!</v>
      </c>
      <c r="F47" s="2140"/>
      <c r="G47" s="425" t="e">
        <f>T47</f>
        <v>#DIV/0!</v>
      </c>
      <c r="H47" s="2140"/>
      <c r="I47" s="426" t="e">
        <f>V47</f>
        <v>#DIV/0!</v>
      </c>
      <c r="J47" s="2140"/>
      <c r="K47" s="2142">
        <f>F47+H47+J47</f>
        <v>0</v>
      </c>
      <c r="L47" s="2491"/>
      <c r="M47" s="2484"/>
      <c r="N47" s="2484"/>
      <c r="O47" s="2484"/>
      <c r="P47" s="3403" t="str">
        <f>A47</f>
        <v>比较价值（元/平方米）</v>
      </c>
      <c r="Q47" s="3403"/>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38" t="str">
        <f>A48</f>
        <v>估价对象XX用房的比较价值（楼面单价，元/平方米）</v>
      </c>
      <c r="Q48" s="3439"/>
      <c r="R48" s="3444" t="e">
        <f>ROUND(IF(D47="简单平均",AVERAGE(R47:W47),R47*F47+T47*H47+V47*J47),0)</f>
        <v>#DIV/0!</v>
      </c>
      <c r="S48" s="3444"/>
      <c r="T48" s="3444"/>
      <c r="U48" s="3444"/>
      <c r="V48" s="3444"/>
      <c r="W48" s="344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378" t="s">
        <v>1887</v>
      </c>
      <c r="H55" s="3445"/>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759.02</v>
      </c>
      <c r="F56" s="833" t="e">
        <f t="shared" ref="F56:F64" si="15">ROUND(B56*E56/10000,0)</f>
        <v>#DIV/0!</v>
      </c>
      <c r="G56" s="3374"/>
      <c r="H56" s="3403"/>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0.3</v>
      </c>
      <c r="D60" s="891">
        <v>0.25</v>
      </c>
      <c r="E60" s="209">
        <f>'数据-汇总表'!E11</f>
        <v>0</v>
      </c>
      <c r="F60" s="833" t="e">
        <f t="shared" si="15"/>
        <v>#DIV/0!</v>
      </c>
      <c r="G60" s="1834" t="s">
        <v>1896</v>
      </c>
      <c r="H60" s="834" t="str">
        <f>项目基本情况!C37</f>
        <v>二级</v>
      </c>
      <c r="I60" s="838">
        <f>SUMIF(修正!A57:A68,H60,修正!E57:E68)</f>
        <v>0.3</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0.2</v>
      </c>
      <c r="D64" s="891">
        <v>0.25</v>
      </c>
      <c r="E64" s="209">
        <f>'数据-汇总表'!E15</f>
        <v>0</v>
      </c>
      <c r="F64" s="833" t="e">
        <f t="shared" si="15"/>
        <v>#DIV/0!</v>
      </c>
      <c r="G64" s="1835" t="s">
        <v>1896</v>
      </c>
      <c r="H64" s="844" t="str">
        <f>项目基本情况!C37</f>
        <v>二级</v>
      </c>
      <c r="I64" s="840">
        <f>SUMIF(修正!A57:A68,H64,修正!G57:G68)</f>
        <v>0.2</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759.02</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3"/>
      <c r="M4" s="2484"/>
      <c r="N4" s="2484"/>
      <c r="O4" s="2484"/>
      <c r="P4" s="3434" t="s">
        <v>1775</v>
      </c>
      <c r="Q4" s="3435"/>
      <c r="R4" s="3429" t="s">
        <v>1771</v>
      </c>
      <c r="S4" s="3430"/>
      <c r="T4" s="3429" t="s">
        <v>1772</v>
      </c>
      <c r="U4" s="3430"/>
      <c r="V4" s="3391" t="s">
        <v>1773</v>
      </c>
      <c r="W4" s="3391"/>
      <c r="X4" s="1265"/>
      <c r="Y4" s="3429" t="s">
        <v>1775</v>
      </c>
      <c r="Z4" s="3430"/>
      <c r="AA4" s="3428" t="s">
        <v>1771</v>
      </c>
      <c r="AB4" s="3360" t="s">
        <v>1772</v>
      </c>
      <c r="AC4" s="3428" t="s">
        <v>1773</v>
      </c>
    </row>
    <row r="5" spans="1:29">
      <c r="A5" s="348"/>
      <c r="B5" s="349"/>
      <c r="C5" s="3433" t="s">
        <v>1673</v>
      </c>
      <c r="D5" s="3369"/>
      <c r="E5" s="3431" t="s">
        <v>1674</v>
      </c>
      <c r="F5" s="3432"/>
      <c r="G5" s="3433" t="s">
        <v>1675</v>
      </c>
      <c r="H5" s="3369"/>
      <c r="I5" s="3433" t="s">
        <v>1676</v>
      </c>
      <c r="J5" s="3369"/>
      <c r="K5" s="537"/>
      <c r="L5" s="2483"/>
      <c r="M5" s="2484"/>
      <c r="N5" s="2484"/>
      <c r="O5" s="2484"/>
      <c r="P5" s="3436"/>
      <c r="Q5" s="3385"/>
      <c r="R5" s="3366"/>
      <c r="S5" s="3367"/>
      <c r="T5" s="3366"/>
      <c r="U5" s="3367"/>
      <c r="V5" s="3391"/>
      <c r="W5" s="3391"/>
      <c r="X5" s="1265"/>
      <c r="Y5" s="3366"/>
      <c r="Z5" s="3367"/>
      <c r="AA5" s="3360"/>
      <c r="AB5" s="3360"/>
      <c r="AC5" s="3360"/>
    </row>
    <row r="6" spans="1:29" ht="15" thickBot="1">
      <c r="A6" s="350"/>
      <c r="B6" s="351"/>
      <c r="C6" s="3446" t="s">
        <v>1919</v>
      </c>
      <c r="D6" s="3447"/>
      <c r="E6" s="3448" t="s">
        <v>1919</v>
      </c>
      <c r="F6" s="3449"/>
      <c r="G6" s="3446" t="s">
        <v>1919</v>
      </c>
      <c r="H6" s="3447"/>
      <c r="I6" s="3446" t="s">
        <v>1919</v>
      </c>
      <c r="J6" s="3447"/>
      <c r="K6" s="537" t="s">
        <v>1678</v>
      </c>
      <c r="L6" s="2483"/>
      <c r="M6" s="2484"/>
      <c r="N6" s="2484"/>
      <c r="O6" s="2484"/>
      <c r="P6" s="3437"/>
      <c r="Q6" s="3387"/>
      <c r="R6" s="3366"/>
      <c r="S6" s="3367"/>
      <c r="T6" s="3388"/>
      <c r="U6" s="3389"/>
      <c r="V6" s="3391"/>
      <c r="W6" s="3391"/>
      <c r="X6" s="1265"/>
      <c r="Y6" s="3388"/>
      <c r="Z6" s="3389"/>
      <c r="AA6" s="3361"/>
      <c r="AB6" s="3361"/>
      <c r="AC6" s="3361"/>
    </row>
    <row r="7" spans="1:29" s="102" customFormat="1" ht="15" thickBot="1">
      <c r="A7" s="352" t="s">
        <v>1679</v>
      </c>
      <c r="B7" s="353"/>
      <c r="C7" s="354">
        <f>'数据-取费表'!B2</f>
        <v>45694</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362" t="s">
        <v>1680</v>
      </c>
      <c r="Q7" s="3393"/>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62" t="s">
        <v>1683</v>
      </c>
      <c r="Q8" s="3363"/>
      <c r="R8" s="664" t="s">
        <v>14</v>
      </c>
      <c r="S8" s="665">
        <f t="shared" si="0"/>
        <v>0</v>
      </c>
      <c r="T8" s="664" t="s">
        <v>14</v>
      </c>
      <c r="U8" s="665">
        <f t="shared" si="1"/>
        <v>0</v>
      </c>
      <c r="V8" s="664" t="s">
        <v>14</v>
      </c>
      <c r="W8" s="665">
        <f t="shared" si="2"/>
        <v>0</v>
      </c>
      <c r="X8" s="666"/>
      <c r="Y8" s="3362" t="s">
        <v>1683</v>
      </c>
      <c r="Z8" s="3363"/>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03"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131</v>
      </c>
      <c r="G10" s="371"/>
      <c r="H10" s="119">
        <f>ROUND(100/'数据-取费表'!G16,0)</f>
        <v>131</v>
      </c>
      <c r="I10" s="371"/>
      <c r="J10" s="119">
        <f>ROUND(100/'数据-取费表'!G16,0)</f>
        <v>131</v>
      </c>
      <c r="K10" s="592"/>
      <c r="L10" s="2486"/>
      <c r="M10" s="2487"/>
      <c r="N10" s="2487"/>
      <c r="O10" s="2538"/>
      <c r="P10" s="3403"/>
      <c r="Q10" s="530" t="str">
        <f t="shared" si="6"/>
        <v>土地使用年限（年）</v>
      </c>
      <c r="R10" s="664" t="s">
        <v>14</v>
      </c>
      <c r="S10" s="665">
        <f t="shared" si="0"/>
        <v>131</v>
      </c>
      <c r="T10" s="664" t="s">
        <v>14</v>
      </c>
      <c r="U10" s="665">
        <f t="shared" si="1"/>
        <v>131</v>
      </c>
      <c r="V10" s="664" t="s">
        <v>14</v>
      </c>
      <c r="W10" s="665">
        <f t="shared" si="2"/>
        <v>131</v>
      </c>
      <c r="X10" s="666"/>
      <c r="Y10" s="3327"/>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3"/>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03"/>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3"/>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3"/>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89"/>
      <c r="M16" s="2484"/>
      <c r="N16" s="2484"/>
      <c r="O16" s="2539"/>
      <c r="P16" s="3397"/>
      <c r="Q16" s="1263"/>
      <c r="R16" s="667"/>
      <c r="S16" s="668"/>
      <c r="T16" s="667"/>
      <c r="U16" s="668"/>
      <c r="V16" s="667"/>
      <c r="W16" s="668"/>
      <c r="X16" s="1265"/>
      <c r="Y16" s="3397"/>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89"/>
      <c r="M18" s="2484"/>
      <c r="N18" s="2484"/>
      <c r="O18" s="2539"/>
      <c r="P18" s="3397"/>
      <c r="Q18" s="1263"/>
      <c r="R18" s="667"/>
      <c r="S18" s="668"/>
      <c r="T18" s="667"/>
      <c r="U18" s="668"/>
      <c r="V18" s="667"/>
      <c r="W18" s="668"/>
      <c r="X18" s="1265"/>
      <c r="Y18" s="3397"/>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89"/>
      <c r="M20" s="2484"/>
      <c r="N20" s="2484"/>
      <c r="O20" s="2539"/>
      <c r="P20" s="3397"/>
      <c r="Q20" s="1263"/>
      <c r="R20" s="667"/>
      <c r="S20" s="668"/>
      <c r="T20" s="667"/>
      <c r="U20" s="668"/>
      <c r="V20" s="667"/>
      <c r="W20" s="668"/>
      <c r="X20" s="1265"/>
      <c r="Y20" s="3397"/>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89"/>
      <c r="M22" s="2484"/>
      <c r="N22" s="2484"/>
      <c r="O22" s="2539"/>
      <c r="P22" s="3397"/>
      <c r="Q22" s="1263"/>
      <c r="R22" s="667"/>
      <c r="S22" s="668"/>
      <c r="T22" s="667"/>
      <c r="U22" s="668"/>
      <c r="V22" s="667"/>
      <c r="W22" s="668"/>
      <c r="X22" s="1265"/>
      <c r="Y22" s="3397"/>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5"/>
      <c r="M24" s="2437"/>
      <c r="N24" s="2437"/>
      <c r="O24" s="2537"/>
      <c r="P24" s="3397"/>
      <c r="Q24" s="530"/>
      <c r="R24" s="664"/>
      <c r="S24" s="665"/>
      <c r="T24" s="664"/>
      <c r="U24" s="665"/>
      <c r="V24" s="664"/>
      <c r="W24" s="665"/>
      <c r="X24" s="666"/>
      <c r="Y24" s="3397"/>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5"/>
      <c r="M26" s="2437"/>
      <c r="N26" s="2437"/>
      <c r="O26" s="2537"/>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89"/>
      <c r="M29" s="2484"/>
      <c r="N29" s="2484"/>
      <c r="O29" s="2539"/>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1" t="s">
        <v>1696</v>
      </c>
      <c r="Q32" s="1263">
        <f t="shared" si="8"/>
        <v>111</v>
      </c>
      <c r="R32" s="667" t="s">
        <v>14</v>
      </c>
      <c r="S32" s="668">
        <f t="shared" si="10"/>
        <v>100</v>
      </c>
      <c r="T32" s="667" t="s">
        <v>14</v>
      </c>
      <c r="U32" s="668">
        <f t="shared" si="11"/>
        <v>100</v>
      </c>
      <c r="V32" s="667" t="s">
        <v>14</v>
      </c>
      <c r="W32" s="668">
        <f t="shared" si="12"/>
        <v>100</v>
      </c>
      <c r="X32" s="1265"/>
      <c r="Y32" s="3401" t="s">
        <v>1696</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1"/>
      <c r="Q33" s="1263">
        <f t="shared" si="8"/>
        <v>111</v>
      </c>
      <c r="R33" s="669" t="s">
        <v>14</v>
      </c>
      <c r="S33" s="670">
        <f t="shared" si="10"/>
        <v>100</v>
      </c>
      <c r="T33" s="669" t="s">
        <v>14</v>
      </c>
      <c r="U33" s="670">
        <f t="shared" si="11"/>
        <v>100</v>
      </c>
      <c r="V33" s="669" t="s">
        <v>14</v>
      </c>
      <c r="W33" s="670">
        <f t="shared" si="12"/>
        <v>100</v>
      </c>
      <c r="X33" s="671"/>
      <c r="Y33" s="340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1"/>
      <c r="Q34" s="1263" t="str">
        <f>B34</f>
        <v>宗地面积</v>
      </c>
      <c r="R34" s="667" t="s">
        <v>14</v>
      </c>
      <c r="S34" s="668" t="e">
        <f t="shared" si="10"/>
        <v>#N/A</v>
      </c>
      <c r="T34" s="667" t="s">
        <v>14</v>
      </c>
      <c r="U34" s="668" t="e">
        <f t="shared" si="11"/>
        <v>#N/A</v>
      </c>
      <c r="V34" s="667" t="s">
        <v>14</v>
      </c>
      <c r="W34" s="668" t="e">
        <f t="shared" si="12"/>
        <v>#N/A</v>
      </c>
      <c r="X34" s="1265"/>
      <c r="Y34" s="3401"/>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01"/>
      <c r="Q35" s="1263" t="str">
        <f t="shared" ref="Q35:Q40" si="14">B35</f>
        <v>宗地形状</v>
      </c>
      <c r="R35" s="667" t="s">
        <v>14</v>
      </c>
      <c r="S35" s="668">
        <f t="shared" si="10"/>
        <v>100</v>
      </c>
      <c r="T35" s="667" t="s">
        <v>14</v>
      </c>
      <c r="U35" s="668">
        <f t="shared" si="11"/>
        <v>100</v>
      </c>
      <c r="V35" s="667" t="s">
        <v>14</v>
      </c>
      <c r="W35" s="668">
        <f t="shared" si="12"/>
        <v>100</v>
      </c>
      <c r="X35" s="1265"/>
      <c r="Y35" s="3401"/>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01"/>
      <c r="Q36" s="1263"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01" t="s">
        <v>1696</v>
      </c>
      <c r="Q37" s="1263" t="str">
        <f t="shared" si="14"/>
        <v>工程地质条件</v>
      </c>
      <c r="R37" s="667" t="s">
        <v>14</v>
      </c>
      <c r="S37" s="668">
        <f t="shared" si="10"/>
        <v>100</v>
      </c>
      <c r="T37" s="667" t="s">
        <v>14</v>
      </c>
      <c r="U37" s="668">
        <f t="shared" si="11"/>
        <v>100</v>
      </c>
      <c r="V37" s="667" t="s">
        <v>14</v>
      </c>
      <c r="W37" s="668">
        <f t="shared" si="12"/>
        <v>100</v>
      </c>
      <c r="X37" s="1265"/>
      <c r="Y37" s="340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1"/>
      <c r="Q38" s="1263">
        <f t="shared" si="14"/>
        <v>111</v>
      </c>
      <c r="R38" s="667" t="s">
        <v>14</v>
      </c>
      <c r="S38" s="668">
        <f t="shared" si="10"/>
        <v>100</v>
      </c>
      <c r="T38" s="667" t="s">
        <v>14</v>
      </c>
      <c r="U38" s="668">
        <f t="shared" si="11"/>
        <v>100</v>
      </c>
      <c r="V38" s="667" t="s">
        <v>14</v>
      </c>
      <c r="W38" s="668">
        <f t="shared" si="12"/>
        <v>100</v>
      </c>
      <c r="X38" s="1265"/>
      <c r="Y38" s="340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1"/>
      <c r="Q39" s="1263">
        <f t="shared" si="14"/>
        <v>111</v>
      </c>
      <c r="R39" s="667" t="s">
        <v>14</v>
      </c>
      <c r="S39" s="668">
        <f t="shared" si="10"/>
        <v>100</v>
      </c>
      <c r="T39" s="667" t="s">
        <v>14</v>
      </c>
      <c r="U39" s="668">
        <f t="shared" si="11"/>
        <v>100</v>
      </c>
      <c r="V39" s="667" t="s">
        <v>14</v>
      </c>
      <c r="W39" s="668">
        <f t="shared" si="12"/>
        <v>100</v>
      </c>
      <c r="X39" s="1265"/>
      <c r="Y39" s="3401"/>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1"/>
      <c r="Q40" s="1263">
        <f t="shared" si="14"/>
        <v>111</v>
      </c>
      <c r="R40" s="669" t="s">
        <v>14</v>
      </c>
      <c r="S40" s="670">
        <f t="shared" si="10"/>
        <v>100</v>
      </c>
      <c r="T40" s="669" t="s">
        <v>14</v>
      </c>
      <c r="U40" s="670">
        <f t="shared" si="11"/>
        <v>100</v>
      </c>
      <c r="V40" s="669" t="s">
        <v>14</v>
      </c>
      <c r="W40" s="670">
        <f t="shared" si="12"/>
        <v>100</v>
      </c>
      <c r="X40" s="671"/>
      <c r="Y40" s="3401"/>
      <c r="Z40" s="672">
        <f t="shared" si="13"/>
        <v>111</v>
      </c>
      <c r="AA40" s="1264">
        <f t="shared" si="3"/>
        <v>1</v>
      </c>
      <c r="AB40" s="1264">
        <f t="shared" si="4"/>
        <v>1</v>
      </c>
      <c r="AC40" s="1264">
        <f t="shared" si="5"/>
        <v>1</v>
      </c>
    </row>
    <row r="41" spans="1:31" ht="14.4">
      <c r="A41" s="416" t="s">
        <v>1844</v>
      </c>
      <c r="B41" s="1829" t="s">
        <v>1922</v>
      </c>
      <c r="C41" s="602" t="s">
        <v>0</v>
      </c>
      <c r="D41" s="418"/>
      <c r="E41" s="419"/>
      <c r="F41" s="420"/>
      <c r="G41" s="421"/>
      <c r="H41" s="422"/>
      <c r="I41" s="419"/>
      <c r="J41" s="422"/>
      <c r="K41" s="674"/>
      <c r="L41" s="2491"/>
      <c r="M41" s="2484"/>
      <c r="N41" s="2484"/>
      <c r="O41" s="2484"/>
      <c r="P41" s="3403" t="str">
        <f>A41</f>
        <v>成交单价</v>
      </c>
      <c r="Q41" s="3403"/>
      <c r="R41" s="3391">
        <f>E41</f>
        <v>0</v>
      </c>
      <c r="S41" s="3391"/>
      <c r="T41" s="3391">
        <f>G41</f>
        <v>0</v>
      </c>
      <c r="U41" s="3391"/>
      <c r="V41" s="3391">
        <f>I41</f>
        <v>0</v>
      </c>
      <c r="W41" s="3391"/>
      <c r="X41" s="385"/>
      <c r="Y41" s="673"/>
      <c r="Z41" s="385"/>
      <c r="AA41" s="385"/>
      <c r="AB41" s="385"/>
      <c r="AC41" s="385"/>
    </row>
    <row r="42" spans="1:31" ht="15" thickBot="1">
      <c r="A42" s="423" t="s">
        <v>1793</v>
      </c>
      <c r="B42" s="603"/>
      <c r="C42" s="426" t="e">
        <f>R43</f>
        <v>#DIV/0!</v>
      </c>
      <c r="D42" s="2139" t="s">
        <v>2138</v>
      </c>
      <c r="E42" s="426" t="e">
        <f>R42</f>
        <v>#DIV/0!</v>
      </c>
      <c r="F42" s="2140"/>
      <c r="G42" s="425" t="e">
        <f>T42</f>
        <v>#DIV/0!</v>
      </c>
      <c r="H42" s="2140"/>
      <c r="I42" s="426" t="e">
        <f>V42</f>
        <v>#DIV/0!</v>
      </c>
      <c r="J42" s="2140"/>
      <c r="K42" s="2142">
        <f>F42+H42+J42</f>
        <v>0</v>
      </c>
      <c r="L42" s="2491"/>
      <c r="M42" s="2484"/>
      <c r="N42" s="2484"/>
      <c r="O42" s="2484"/>
      <c r="P42" s="3403" t="str">
        <f>A42</f>
        <v>比较价值（元/平方米）</v>
      </c>
      <c r="Q42" s="3403"/>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38" t="str">
        <f>A43</f>
        <v>估价对象XX用房的比较价值（楼面单价，元/平方米）</v>
      </c>
      <c r="Q43" s="3439"/>
      <c r="R43" s="3444" t="e">
        <f>ROUND(IF(D42="简单平均",AVERAGE(R42:W42),R42*F42+T42*H42+V42*J42),0)</f>
        <v>#DIV/0!</v>
      </c>
      <c r="S43" s="3444"/>
      <c r="T43" s="3444"/>
      <c r="U43" s="3444"/>
      <c r="V43" s="3444"/>
      <c r="W43" s="344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0" t="s">
        <v>1883</v>
      </c>
      <c r="D50" s="1831" t="s">
        <v>1884</v>
      </c>
      <c r="E50" s="606" t="s">
        <v>1885</v>
      </c>
      <c r="F50" s="607" t="s">
        <v>1886</v>
      </c>
      <c r="G50" s="3378" t="s">
        <v>1887</v>
      </c>
      <c r="H50" s="3445"/>
      <c r="I50" s="1264" t="s">
        <v>1923</v>
      </c>
      <c r="J50" s="1264">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759.02</v>
      </c>
      <c r="F51" s="611" t="e">
        <f t="shared" ref="F51:F60" si="15">ROUND(B51*E51/10000,0)</f>
        <v>#DIV/0!</v>
      </c>
      <c r="G51" s="3374"/>
      <c r="H51" s="3403"/>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0.3</v>
      </c>
      <c r="D56" s="891">
        <v>0.25</v>
      </c>
      <c r="E56" s="209">
        <f>'数据-汇总表'!E11</f>
        <v>0</v>
      </c>
      <c r="F56" s="611" t="e">
        <f t="shared" si="15"/>
        <v>#DIV/0!</v>
      </c>
      <c r="G56" s="1834" t="s">
        <v>1896</v>
      </c>
      <c r="H56" s="834" t="str">
        <f>项目基本情况!C37</f>
        <v>二级</v>
      </c>
      <c r="I56" s="727">
        <f>SUMIF(修正!A57:A68,H56,修正!E57:E68)</f>
        <v>0.3</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0.2</v>
      </c>
      <c r="D60" s="891">
        <v>0.25</v>
      </c>
      <c r="E60" s="209">
        <f>'数据-汇总表'!E15</f>
        <v>0</v>
      </c>
      <c r="F60" s="611" t="e">
        <f t="shared" si="15"/>
        <v>#DIV/0!</v>
      </c>
      <c r="G60" s="1835" t="s">
        <v>1896</v>
      </c>
      <c r="H60" s="844" t="str">
        <f>项目基本情况!C37</f>
        <v>二级</v>
      </c>
      <c r="I60" s="727">
        <f>SUMIF(修正!A57:A68,H60,修正!G57:G68)</f>
        <v>0.2</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1788</v>
      </c>
      <c r="C2" s="1983" t="s">
        <v>2074</v>
      </c>
      <c r="D2" s="1983" t="s">
        <v>2075</v>
      </c>
      <c r="E2" s="2395">
        <f ca="1">SUMIF(E6:E13,"&lt;&gt;#ref!",E6:E13)</f>
        <v>759.02</v>
      </c>
      <c r="F2" s="2541"/>
      <c r="G2" s="2541"/>
      <c r="H2" s="2541"/>
      <c r="I2" s="2541"/>
      <c r="J2" s="2541"/>
      <c r="K2" s="2541"/>
      <c r="L2" s="2541"/>
      <c r="M2" s="2541"/>
      <c r="N2" s="2541"/>
      <c r="O2" s="2541"/>
      <c r="P2" s="2541"/>
    </row>
    <row r="3" spans="1:16" ht="15.6">
      <c r="A3" s="1983" t="s">
        <v>2076</v>
      </c>
      <c r="B3" s="2385">
        <f ca="1">ROUND(B2*10000/E2,0)</f>
        <v>23557</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1788</v>
      </c>
      <c r="C6" s="1983" t="s">
        <v>2074</v>
      </c>
      <c r="D6" s="2541"/>
      <c r="E6" s="2395">
        <f ca="1">SUMIF(INDIRECT("'"&amp;A6&amp;"'"&amp;"!C:C"),"建筑面积",INDIRECT("'"&amp;A6&amp;"'"&amp;"!D:D"))</f>
        <v>759.02</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4" sqref="J2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6"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2889.5189999999998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38069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18576603</v>
      </c>
      <c r="D5" s="203" t="s">
        <v>1469</v>
      </c>
      <c r="E5" s="204" t="s">
        <v>1470</v>
      </c>
      <c r="F5" s="204" t="s">
        <v>1471</v>
      </c>
      <c r="G5" s="205"/>
    </row>
    <row r="6" spans="1:8" s="206" customFormat="1" ht="13.5" customHeight="1">
      <c r="A6" s="732" t="s">
        <v>1472</v>
      </c>
      <c r="B6" s="207" t="s">
        <v>1473</v>
      </c>
      <c r="C6" s="208">
        <f>ROUND(基准地价修正!D33*基准地价修正!C33,0)</f>
        <v>17879475</v>
      </c>
      <c r="D6" s="209"/>
      <c r="E6" s="210"/>
      <c r="F6" s="210"/>
      <c r="G6" s="211"/>
    </row>
    <row r="7" spans="1:8" s="206" customFormat="1" ht="13.5" customHeight="1">
      <c r="A7" s="732" t="s">
        <v>1474</v>
      </c>
      <c r="B7" s="207" t="s">
        <v>1475</v>
      </c>
      <c r="C7" s="212">
        <f>ROUND(C6*F7,0)</f>
        <v>545324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151804</v>
      </c>
      <c r="D8" s="214"/>
      <c r="E8" s="212"/>
      <c r="F8" s="213"/>
      <c r="G8" s="1713" t="s">
        <v>3494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151804</v>
      </c>
      <c r="D10" s="795">
        <f ca="1">IF(B1="",'数据-汇总表'!E6,IF(INDIRECT("'数据-取费表'!c"&amp;$G$1)="住宅",INDIRECT("'数据-取费表'!s"&amp;$G$1),INDIRECT("'数据-取费表'!k"&amp;$G$1)+INDIRECT("'数据-取费表'!s"&amp;$G$1)))</f>
        <v>759.02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759.02</v>
      </c>
      <c r="E19" s="203">
        <f>'数据-取费表'!B31</f>
        <v>200</v>
      </c>
      <c r="F19" s="223"/>
      <c r="G19" s="1713" t="s">
        <v>3495</v>
      </c>
    </row>
    <row r="20" spans="1:7" s="206" customFormat="1" ht="13.5" customHeight="1">
      <c r="A20" s="247" t="s">
        <v>1574</v>
      </c>
      <c r="B20" s="202" t="s">
        <v>1575</v>
      </c>
      <c r="C20" s="224">
        <f ca="1">ROUND((C5+C19)*F20,0)</f>
        <v>371532</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1181119</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1169602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11517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2842220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2842220</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25207367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3874797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3415590</v>
      </c>
      <c r="D34" s="209"/>
      <c r="E34" s="212"/>
      <c r="F34" s="249"/>
      <c r="G34" s="211"/>
    </row>
    <row r="35" spans="1:7" ht="13.5" customHeight="1">
      <c r="A35" s="734" t="s">
        <v>351</v>
      </c>
      <c r="B35" s="207" t="s">
        <v>1527</v>
      </c>
      <c r="C35" s="212">
        <f ca="1">ROUND(C34*F35,0)</f>
        <v>239091</v>
      </c>
      <c r="D35" s="212"/>
      <c r="E35" s="212"/>
      <c r="F35" s="251">
        <f>'数据-取费表'!B33</f>
        <v>7.0000000000000007E-2</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151804</v>
      </c>
      <c r="D37" s="209">
        <f ca="1">D19</f>
        <v>759.02</v>
      </c>
      <c r="E37" s="241">
        <f>'数据-取费表'!B35</f>
        <v>200</v>
      </c>
      <c r="F37" s="251"/>
      <c r="G37" s="253"/>
    </row>
    <row r="38" spans="1:7" ht="13.5" customHeight="1">
      <c r="A38" s="734" t="s">
        <v>354</v>
      </c>
      <c r="B38" s="207" t="s">
        <v>1533</v>
      </c>
      <c r="C38" s="212">
        <f ca="1">ROUND(C34*F38,0)</f>
        <v>68312</v>
      </c>
      <c r="D38" s="212"/>
      <c r="E38" s="212"/>
      <c r="F38" s="251">
        <f>'数据-取费表'!B36</f>
        <v>0.02</v>
      </c>
      <c r="G38" s="211" t="s">
        <v>1528</v>
      </c>
    </row>
    <row r="39" spans="1:7" s="206" customFormat="1" ht="13.5" customHeight="1">
      <c r="A39" s="247" t="s">
        <v>1534</v>
      </c>
      <c r="B39" s="202" t="s">
        <v>1535</v>
      </c>
      <c r="C39" s="224">
        <f ca="1">ROUND(C33*F20,0)</f>
        <v>77496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122521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120119</v>
      </c>
      <c r="D42" s="230"/>
      <c r="E42" s="230"/>
      <c r="F42" s="231"/>
      <c r="G42" s="3351" t="s">
        <v>1591</v>
      </c>
    </row>
    <row r="43" spans="1:7" ht="13.5" customHeight="1">
      <c r="A43" s="734" t="s">
        <v>347</v>
      </c>
      <c r="B43" s="207" t="s">
        <v>1545</v>
      </c>
      <c r="C43" s="230">
        <f ca="1">ROUND(IF('数据-取费表'!B22&lt;=1,C39*F22*'数据-取费表'!B20/2,C39*(POWER((1+F22),'数据-取费表'!B20/2)-1)),0)</f>
        <v>2402</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592844</v>
      </c>
      <c r="D45" s="227">
        <f ca="1">C47</f>
        <v>4.4999999999999997E-3</v>
      </c>
      <c r="E45" s="228" t="s">
        <v>1539</v>
      </c>
      <c r="F45" s="238">
        <f ca="1">F27</f>
        <v>0.15</v>
      </c>
      <c r="G45" s="239" t="s">
        <v>1548</v>
      </c>
    </row>
    <row r="46" spans="1:7" s="206" customFormat="1" ht="13.5" customHeight="1">
      <c r="A46" s="734" t="s">
        <v>346</v>
      </c>
      <c r="B46" s="240" t="s">
        <v>1549</v>
      </c>
      <c r="C46" s="241">
        <f ca="1">ROUND((C33+C39)*F27,0)</f>
        <v>592844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5121977</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3687823</v>
      </c>
      <c r="D51" s="224"/>
      <c r="E51" s="224"/>
      <c r="F51" s="256"/>
      <c r="G51" s="226" t="s">
        <v>1560</v>
      </c>
    </row>
    <row r="52" spans="1:7" s="200" customFormat="1" ht="16.8" thickBot="1">
      <c r="A52" s="257" t="s">
        <v>1561</v>
      </c>
      <c r="B52" s="258"/>
      <c r="C52" s="259">
        <f ca="1">C31+C51</f>
        <v>28895190</v>
      </c>
      <c r="D52" s="258"/>
      <c r="E52" s="258"/>
      <c r="F52" s="258"/>
      <c r="G52" s="260"/>
    </row>
    <row r="55" spans="1:7" ht="15">
      <c r="B55" s="262" t="s">
        <v>1562</v>
      </c>
      <c r="C55" s="263"/>
    </row>
    <row r="56" spans="1:7">
      <c r="B56" s="265" t="s">
        <v>802</v>
      </c>
      <c r="C56" s="267">
        <f ca="1">1-C57</f>
        <v>0.872</v>
      </c>
    </row>
    <row r="57" spans="1:7">
      <c r="B57" s="265" t="s">
        <v>803</v>
      </c>
      <c r="C57" s="266">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3" sqref="G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759.02</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1788</v>
      </c>
      <c r="C2" s="1845" t="s">
        <v>1935</v>
      </c>
      <c r="D2" s="162" t="s">
        <v>1936</v>
      </c>
      <c r="E2" s="3117"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Ⅱ—06</v>
      </c>
      <c r="J2" s="1841"/>
      <c r="K2" s="1056"/>
      <c r="L2" s="1846" t="s">
        <v>1939</v>
      </c>
      <c r="M2" s="811">
        <f>SUMPRODUCT((区片价!B10:B29=I2)*(区片价!C3:G3=E2)*(区片价!C10:G29))</f>
        <v>27590</v>
      </c>
      <c r="N2" s="813">
        <f>SUMPRODUCT((因素修正幅度!B10:B29=I2)*(因素修正幅度!C3:G3=E2)*(因素修正幅度!C10:G29))</f>
        <v>9.0999999999999998E-2</v>
      </c>
      <c r="O2" s="1056"/>
      <c r="P2" s="1056"/>
      <c r="Q2" s="1056"/>
      <c r="R2" s="1129">
        <v>1</v>
      </c>
      <c r="S2" s="3060">
        <f>ROUND(SUMPRODUCT((B106:B110=R2)*(C105:N105=G2)*(C106:N110)),4)</f>
        <v>1.5206</v>
      </c>
      <c r="T2" s="3060">
        <f t="shared" ref="T2:T16" si="0">ROUND($C$5*$C$22*$C$23*$C$24*S2*$C$28,0)</f>
        <v>35819</v>
      </c>
      <c r="U2" s="1130"/>
      <c r="V2" s="3060">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23557</v>
      </c>
      <c r="C3" s="1845" t="s">
        <v>1941</v>
      </c>
      <c r="D3" s="162" t="s">
        <v>1942</v>
      </c>
      <c r="E3" s="3115" t="s">
        <v>3483</v>
      </c>
      <c r="F3" s="1847" t="s">
        <v>3484</v>
      </c>
      <c r="G3" s="708">
        <f>IF(F3="宗地容积率",'数据-汇总表'!I4,IF(F3="估价对象容积率",'数据-汇总表'!I6,'数据-汇总表'!I7))</f>
        <v>3.5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1.2072000000000001</v>
      </c>
      <c r="T3" s="3060">
        <f t="shared" si="0"/>
        <v>28437</v>
      </c>
      <c r="U3" s="1130"/>
      <c r="V3" s="3060">
        <f t="shared" ref="V3:V16" si="1">ROUND(T3*U3/10000,0)</f>
        <v>0</v>
      </c>
      <c r="W3" s="1133"/>
      <c r="X3" s="1133"/>
      <c r="Y3" s="1133"/>
      <c r="Z3" s="1133"/>
      <c r="AA3" s="1133"/>
      <c r="AB3" s="1133"/>
      <c r="AC3" s="1134"/>
      <c r="AD3" s="1135"/>
      <c r="AE3" s="1135"/>
      <c r="AF3" s="1135"/>
      <c r="AG3" s="1135"/>
      <c r="AH3" s="1135"/>
      <c r="AI3" s="1135"/>
      <c r="AJ3" s="1136"/>
    </row>
    <row r="4" spans="1:36" ht="15.6">
      <c r="A4" s="3463"/>
      <c r="B4" s="3464"/>
      <c r="C4" s="3464"/>
      <c r="D4" s="3465"/>
      <c r="E4" s="3465"/>
      <c r="F4" s="3465"/>
      <c r="G4" s="3465"/>
      <c r="H4" s="3465"/>
      <c r="I4" s="3465"/>
      <c r="J4" s="3466"/>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1.0430999999999999</v>
      </c>
      <c r="T4" s="3060">
        <f t="shared" si="0"/>
        <v>24571</v>
      </c>
      <c r="U4" s="1130"/>
      <c r="V4" s="3060">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28663</v>
      </c>
      <c r="D5" s="1252">
        <f>ROUND(C6*C17+C20,0)</f>
        <v>27559</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0.94389999999999996</v>
      </c>
      <c r="T5" s="3060">
        <f t="shared" si="0"/>
        <v>22234</v>
      </c>
      <c r="U5" s="1130"/>
      <c r="V5" s="3060">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27590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0.89959999999999996</v>
      </c>
      <c r="T6" s="3060">
        <f t="shared" si="0"/>
        <v>21191</v>
      </c>
      <c r="U6" s="1130"/>
      <c r="V6" s="3060">
        <f t="shared" si="1"/>
        <v>0</v>
      </c>
      <c r="W6" s="1133"/>
      <c r="X6" s="1133"/>
      <c r="Y6" s="1133"/>
      <c r="Z6" s="1133"/>
      <c r="AA6" s="1133"/>
      <c r="AB6" s="1133"/>
      <c r="AC6" s="1854"/>
      <c r="AD6" s="1855"/>
      <c r="AE6" s="1855"/>
      <c r="AF6" s="1855"/>
      <c r="AG6" s="1855"/>
      <c r="AH6" s="1855"/>
      <c r="AI6" s="1855"/>
      <c r="AJ6" s="1856"/>
    </row>
    <row r="7" spans="1:36" ht="24.6" thickBot="1">
      <c r="A7" s="3009"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二级</v>
      </c>
      <c r="Y7" s="1131" t="s">
        <v>1956</v>
      </c>
      <c r="Z7" s="1132">
        <f>G3</f>
        <v>3.5</v>
      </c>
      <c r="AA7" s="1133"/>
      <c r="AB7" s="1133"/>
      <c r="AC7" s="1134"/>
      <c r="AD7" s="1135"/>
      <c r="AE7" s="1135"/>
      <c r="AF7" s="1135"/>
      <c r="AG7" s="1135"/>
      <c r="AH7" s="1135"/>
      <c r="AI7" s="1135"/>
      <c r="AJ7" s="1136"/>
    </row>
    <row r="8" spans="1:36" ht="15">
      <c r="A8" s="3006"/>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62"/>
      <c r="X9" s="3061" t="s">
        <v>3268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6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8" thickBot="1">
      <c r="A12" s="3009" t="s">
        <v>3238</v>
      </c>
      <c r="B12" s="3010" t="s">
        <v>3239</v>
      </c>
      <c r="C12" s="3011">
        <v>1.04</v>
      </c>
      <c r="D12" s="3012" t="s">
        <v>3240</v>
      </c>
      <c r="E12" s="3013" t="s">
        <v>3241</v>
      </c>
      <c r="F12" s="3014"/>
      <c r="G12" s="3015"/>
      <c r="H12" s="3015"/>
      <c r="I12" s="3015"/>
      <c r="J12" s="3016"/>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24.6" thickBot="1">
      <c r="A13" s="3009" t="s">
        <v>3242</v>
      </c>
      <c r="B13" s="1877" t="s">
        <v>1982</v>
      </c>
      <c r="C13" s="711">
        <f>ROUND(C16*D16*E16*F16*G16*H16*I16*J16,4)</f>
        <v>0</v>
      </c>
      <c r="D13" s="1878" t="s">
        <v>1983</v>
      </c>
      <c r="E13" s="1879"/>
      <c r="F13" s="1879"/>
      <c r="G13" s="1880"/>
      <c r="H13" s="1880"/>
      <c r="I13" s="1880"/>
      <c r="J13" s="1881"/>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24">
      <c r="A14" s="3005"/>
      <c r="B14" s="1882" t="s">
        <v>1985</v>
      </c>
      <c r="C14" s="1883" t="s">
        <v>1986</v>
      </c>
      <c r="D14" s="1261" t="s">
        <v>1987</v>
      </c>
      <c r="E14" s="27" t="s">
        <v>1988</v>
      </c>
      <c r="F14" s="3017" t="s">
        <v>3243</v>
      </c>
      <c r="G14" s="3017" t="s">
        <v>3243</v>
      </c>
      <c r="H14" s="3017" t="s">
        <v>3243</v>
      </c>
      <c r="I14" s="3017" t="s">
        <v>3243</v>
      </c>
      <c r="J14" s="3017" t="s">
        <v>3243</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4"/>
      <c r="C15" s="1885"/>
      <c r="D15" s="1886"/>
      <c r="E15" s="1887"/>
      <c r="F15" s="1469" t="s">
        <v>3244</v>
      </c>
      <c r="G15" s="1927"/>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3"/>
      <c r="M16" s="1843"/>
      <c r="N16" s="1843"/>
      <c r="O16" s="1843"/>
      <c r="P16" s="1843"/>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ht="24">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5"/>
      <c r="B18" s="2307"/>
      <c r="C18" s="3031"/>
      <c r="D18" s="3026" t="s">
        <v>3248</v>
      </c>
      <c r="E18" s="2354"/>
      <c r="F18" s="3027" t="s">
        <v>3251</v>
      </c>
      <c r="G18" s="3031">
        <f>ROUND(1-(1/(POWER(1+G24,E18))),4)</f>
        <v>0</v>
      </c>
      <c r="H18" s="3027" t="s">
        <v>3253</v>
      </c>
      <c r="I18" s="3031">
        <f>ROUND(1-(1/(POWER(1+G24,J24))),4)</f>
        <v>0.93120000000000003</v>
      </c>
      <c r="J18" s="3036"/>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9"/>
    </row>
    <row r="19" spans="1:37" s="1857" customFormat="1" ht="14.4" thickBot="1">
      <c r="A19" s="3037"/>
      <c r="B19" s="3038"/>
      <c r="C19" s="3039"/>
      <c r="D19" s="3039" t="s">
        <v>3249</v>
      </c>
      <c r="E19" s="3040"/>
      <c r="F19" s="3041" t="s">
        <v>3252</v>
      </c>
      <c r="G19" s="3040"/>
      <c r="H19" s="3039"/>
      <c r="I19" s="3039"/>
      <c r="J19" s="3042"/>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2"/>
      <c r="AH19" s="1979"/>
      <c r="AI19" s="561"/>
      <c r="AJ19" s="561"/>
      <c r="AK19" s="1898"/>
    </row>
    <row r="20" spans="1:37" s="1857" customFormat="1" ht="13.8">
      <c r="A20" s="3467" t="s">
        <v>3254</v>
      </c>
      <c r="B20" s="159" t="s">
        <v>1994</v>
      </c>
      <c r="C20" s="3028">
        <f>ROUND(IF(F21="与级别开发程度一致",0,(G21-E21)/C21),0)</f>
        <v>-31</v>
      </c>
      <c r="D20" s="3043" t="s">
        <v>1998</v>
      </c>
      <c r="E20" s="3044"/>
      <c r="F20" s="3473" t="s">
        <v>1995</v>
      </c>
      <c r="G20" s="3474"/>
      <c r="H20" s="3029" t="s">
        <v>3486</v>
      </c>
      <c r="I20" s="3029" t="s">
        <v>3487</v>
      </c>
      <c r="J20" s="3030" t="s">
        <v>3488</v>
      </c>
      <c r="K20" s="1888" t="s">
        <v>3489</v>
      </c>
      <c r="L20" s="1888" t="s">
        <v>3490</v>
      </c>
      <c r="M20" s="1888" t="s">
        <v>3491</v>
      </c>
      <c r="N20" s="1888"/>
      <c r="O20" s="1889"/>
      <c r="P20" s="1843"/>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7" customFormat="1" ht="27" thickBot="1">
      <c r="A21" s="3468"/>
      <c r="B21" s="2000" t="s">
        <v>1997</v>
      </c>
      <c r="C21" s="2001">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3158" t="s">
        <v>3485</v>
      </c>
      <c r="G21" s="1993">
        <f>SUM(H21:O21)</f>
        <v>265</v>
      </c>
      <c r="H21" s="2001">
        <f>SUMPRODUCT((七通一平=H20)*(修正!B1:M1=G2)*(修正!B8:M16))</f>
        <v>80</v>
      </c>
      <c r="I21" s="2001">
        <f>SUMPRODUCT((七通一平=I20)*(修正!B1:M1=G2)*(修正!B8:M16))</f>
        <v>70</v>
      </c>
      <c r="J21" s="2002">
        <f>SUMPRODUCT((七通一平=J20)*(修正!B1:M1=G2)*(修正!B8:M16))</f>
        <v>20</v>
      </c>
      <c r="K21" s="2001">
        <f>SUMPRODUCT((七通一平=K20)*(修正!B1:M1=G2)*(修正!B8:M16))</f>
        <v>30</v>
      </c>
      <c r="L21" s="2001">
        <f>SUMPRODUCT((七通一平=L20)*(修正!B1:M1=G2)*(修正!B8:M16))</f>
        <v>45</v>
      </c>
      <c r="M21" s="2001">
        <f>SUMPRODUCT((七通一平=M20)*(修正!B1:M1=G2)*(修正!B8:M16))</f>
        <v>20</v>
      </c>
      <c r="N21" s="2001">
        <f>SUMPRODUCT((七通一平=N20)*(修正!B1:M1=G2)*(修正!B8:M16))</f>
        <v>0</v>
      </c>
      <c r="O21" s="2003">
        <f>SUMPRODUCT((七通一平=O20)*(修正!B1:M1=G2)*(修正!B8:M16))</f>
        <v>0</v>
      </c>
      <c r="P21" s="1843"/>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7" customFormat="1" ht="15" thickBot="1">
      <c r="A22" s="1994" t="s">
        <v>363</v>
      </c>
      <c r="B22" s="1995" t="s">
        <v>2000</v>
      </c>
      <c r="C22" s="1996">
        <f>SUMIF(修正!C20:C51,E3,修正!E20:E51)</f>
        <v>1</v>
      </c>
      <c r="D22" s="1997"/>
      <c r="E22" s="1998"/>
      <c r="F22" s="1998"/>
      <c r="G22" s="1998"/>
      <c r="H22" s="1998"/>
      <c r="I22" s="1998"/>
      <c r="J22" s="1999"/>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5" t="s">
        <v>2002</v>
      </c>
      <c r="E23" s="717">
        <v>44197</v>
      </c>
      <c r="F23" s="1895" t="s">
        <v>2003</v>
      </c>
      <c r="G23" s="718">
        <f>'数据-取费表'!B2</f>
        <v>45694</v>
      </c>
      <c r="H23" s="3045" t="s">
        <v>3256</v>
      </c>
      <c r="I23" s="3046" t="str">
        <f>IF(H23="季度增幅（自定义）",SUMIF(N25:N28,E2,O25:O28),"")</f>
        <v/>
      </c>
      <c r="J23" s="3138" t="s">
        <v>3255</v>
      </c>
      <c r="K23" s="1061"/>
      <c r="L23" s="1896" t="s">
        <v>2004</v>
      </c>
      <c r="M23" s="1241">
        <f>ROUND(SUMIF(地价!B2:G2,E2,地价!B16:G16),0)</f>
        <v>350</v>
      </c>
      <c r="N23" s="1897" t="s">
        <v>2005</v>
      </c>
      <c r="O23" s="719">
        <f>ROUNDDOWN(DATEDIF(E23,G23,"M")/3,0)</f>
        <v>16</v>
      </c>
      <c r="P23" s="1057"/>
      <c r="Q23" s="2549"/>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0.78320000000000001</v>
      </c>
      <c r="D24" s="1901" t="s">
        <v>2007</v>
      </c>
      <c r="E24" s="1248">
        <f>存贷款利率!E27/100</f>
        <v>4.3499999999999997E-2</v>
      </c>
      <c r="F24" s="1901" t="s">
        <v>1999</v>
      </c>
      <c r="G24" s="724">
        <f>SUMIF(M30:Q30,E2,M33:Q33)</f>
        <v>5.5E-2</v>
      </c>
      <c r="H24" s="1901" t="s">
        <v>2008</v>
      </c>
      <c r="I24" s="725">
        <f>SUMIF('数据-取费表'!C6:C15,E2,'数据-取费表'!F6:F15)/COUNTIF('数据-取费表'!C6:C15,E2)</f>
        <v>24.41</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6" t="s">
        <v>366</v>
      </c>
      <c r="B25" s="1907" t="s">
        <v>3335</v>
      </c>
      <c r="C25" s="461">
        <f>IF(B25="容积率修正",IF(G3&lt;10,D26,J26),C27)</f>
        <v>1</v>
      </c>
      <c r="D25" s="1908"/>
      <c r="E25" s="1908"/>
      <c r="F25" s="1908"/>
      <c r="G25" s="1908"/>
      <c r="H25" s="1908"/>
      <c r="I25" s="1908"/>
      <c r="J25" s="1909"/>
      <c r="K25" s="1061"/>
      <c r="L25" s="2549"/>
      <c r="M25" s="2549"/>
      <c r="N25" s="1910"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1"/>
      <c r="L26" s="2549"/>
      <c r="M26" s="2549"/>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1.0489999999999999</v>
      </c>
      <c r="D28" s="1893"/>
      <c r="E28" s="1918"/>
      <c r="F28" s="1918"/>
      <c r="G28" s="1918"/>
      <c r="H28" s="1918"/>
      <c r="I28" s="1918"/>
      <c r="J28" s="1919"/>
      <c r="K28" s="1061"/>
      <c r="L28" s="2549"/>
      <c r="M28" s="2549"/>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3">
        <f>IF(B25="容积率修正",E33+SUM(E37:E42),SUM(V2:V16)+SUM(E37:E42))</f>
        <v>1788</v>
      </c>
      <c r="D30" s="1924"/>
      <c r="E30" s="1841"/>
      <c r="F30" s="1925"/>
      <c r="G30" s="1841"/>
      <c r="H30" s="1841"/>
      <c r="I30" s="1841"/>
      <c r="J30" s="1926"/>
      <c r="K30" s="1056"/>
      <c r="L30" s="3052" t="s">
        <v>1936</v>
      </c>
      <c r="M30" s="3053" t="s">
        <v>1990</v>
      </c>
      <c r="N30" s="3053" t="s">
        <v>1991</v>
      </c>
      <c r="O30" s="3053" t="s">
        <v>1992</v>
      </c>
      <c r="P30" s="3053" t="s">
        <v>1993</v>
      </c>
      <c r="Q30" s="3056"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23556</v>
      </c>
      <c r="D33" s="1939">
        <f>'数据-汇总表'!E19</f>
        <v>759.02</v>
      </c>
      <c r="E33" s="727">
        <f>ROUND(C33*D33/10000,0)</f>
        <v>1788</v>
      </c>
      <c r="F33" s="3047" t="s">
        <v>3260</v>
      </c>
      <c r="G33" s="1940"/>
      <c r="H33" s="1940"/>
      <c r="I33" s="1940"/>
      <c r="J33" s="1941"/>
      <c r="K33" s="1056"/>
      <c r="L33" s="3050" t="s">
        <v>3263</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5889</v>
      </c>
      <c r="D34" s="1944"/>
      <c r="E34" s="727">
        <f>ROUND(IF(B25="楼层修正",SUM(V2:V16)*M40,C34*D34/10000),0)</f>
        <v>0</v>
      </c>
      <c r="F34" s="1945" t="s">
        <v>2032</v>
      </c>
      <c r="G34" s="1946"/>
      <c r="H34" s="1946"/>
      <c r="I34" s="1946"/>
      <c r="J34" s="1947"/>
      <c r="K34" s="1056"/>
      <c r="L34" s="3050" t="s">
        <v>3264</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8"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71"/>
      <c r="B37" s="1954" t="s">
        <v>2036</v>
      </c>
      <c r="C37" s="167">
        <f>ROUND(D5*C22*C23*C24*C28*F37,0)</f>
        <v>15854</v>
      </c>
      <c r="D37" s="1939"/>
      <c r="E37" s="163">
        <f>ROUND(C37*D37/10000,0)</f>
        <v>0</v>
      </c>
      <c r="F37" s="163">
        <f>SUMIF(修正!A57:A68,G2,修正!B57:B68)</f>
        <v>0.7</v>
      </c>
      <c r="G37" s="163">
        <f>ROUND(IF(E2="工业",C37*$M$42,C37*$M$41),0)</f>
        <v>3964</v>
      </c>
      <c r="H37" s="163">
        <f>D37</f>
        <v>0</v>
      </c>
      <c r="I37" s="163">
        <f>ROUND(G37*H37/10000,0)</f>
        <v>0</v>
      </c>
      <c r="J37" s="2751"/>
      <c r="K37" s="3058" t="s">
        <v>3266</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2"/>
      <c r="B38" s="1883" t="s">
        <v>2037</v>
      </c>
      <c r="C38" s="167">
        <f>ROUND(D5*C22*C23*C24*C28*F38,0)</f>
        <v>9059</v>
      </c>
      <c r="D38" s="1939"/>
      <c r="E38" s="163">
        <f t="shared" ref="E38:E42" si="4">ROUND(C38*D38/10000,0)</f>
        <v>0</v>
      </c>
      <c r="F38" s="163">
        <f>SUMIF(修正!A57:A68,G2,修正!C57:C68)</f>
        <v>0.4</v>
      </c>
      <c r="G38" s="163">
        <f>ROUND(IF(E2="工业",C38*$M$42,C38*$M$41),0)</f>
        <v>2265</v>
      </c>
      <c r="H38" s="163">
        <f t="shared" ref="H38:H42" si="5">D38</f>
        <v>0</v>
      </c>
      <c r="I38" s="163">
        <f t="shared" ref="I38:I42" si="6">ROUND(G38*H38/10000,0)</f>
        <v>0</v>
      </c>
      <c r="J38" s="2750"/>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72"/>
      <c r="B39" s="1883" t="s">
        <v>3259</v>
      </c>
      <c r="C39" s="167">
        <f>ROUND(D5*C22*C23*C24*C28*F39,0)</f>
        <v>6795</v>
      </c>
      <c r="D39" s="1939"/>
      <c r="E39" s="163">
        <f t="shared" si="4"/>
        <v>0</v>
      </c>
      <c r="F39" s="163">
        <f>SUMIF(修正!A57:A68,G2,修正!D57:D68)</f>
        <v>0.3</v>
      </c>
      <c r="G39" s="163">
        <f>ROUND(IF(E2="工业",C39*$M$42,C39*$M$41),0)</f>
        <v>1699</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6795</v>
      </c>
      <c r="D40" s="1939"/>
      <c r="E40" s="163">
        <f t="shared" si="4"/>
        <v>0</v>
      </c>
      <c r="F40" s="167">
        <f>SUMIF(修正!A57:A68,G2,修正!E57:E68)</f>
        <v>0.3</v>
      </c>
      <c r="G40" s="163">
        <f>ROUND(IF(E2="工业",C40*$M$42,C40*$M$41),0)</f>
        <v>1699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0.3</v>
      </c>
      <c r="G41" s="163">
        <f>ROUND(IF(E2="工业",C41*$M$42,C41*$M$41),0)</f>
        <v>0</v>
      </c>
      <c r="H41" s="163">
        <f t="shared" si="5"/>
        <v>0</v>
      </c>
      <c r="I41" s="163">
        <f t="shared" si="6"/>
        <v>0</v>
      </c>
      <c r="J41" s="939"/>
      <c r="L41" s="3059" t="s">
        <v>3267</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0.2</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4"/>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3269</v>
      </c>
      <c r="B52" s="1262">
        <f>估价对象房地状况!C19</f>
        <v>0</v>
      </c>
      <c r="C52" s="1886"/>
      <c r="D52" s="1002">
        <f t="shared" si="7"/>
        <v>0</v>
      </c>
      <c r="E52" s="703"/>
      <c r="F52" s="1674"/>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4"/>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4"/>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1.0489999999999999</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3439</v>
      </c>
      <c r="D61" s="1002">
        <f t="shared" ref="D61:D69" si="12">SUMIF($J$60:$N$60,C61,J61:N61)</f>
        <v>1.1299999999999999E-2</v>
      </c>
      <c r="E61" s="702">
        <f>ROUND(SUM(D61:D69),4)</f>
        <v>4.9000000000000002E-2</v>
      </c>
      <c r="F61" s="1674">
        <f>IF(E2="办公",SUMIF(L1:L12,G2,N1:N12),"——")</f>
        <v>9.0999999999999998E-2</v>
      </c>
      <c r="G61" s="1000">
        <v>1.1299999999999999E-2</v>
      </c>
      <c r="H61" s="1003">
        <f t="shared" ref="H61:H69" si="13">IFERROR(ROUNDDOWN($F$61*I61/2,4),"——")</f>
        <v>1.1299999999999999E-2</v>
      </c>
      <c r="I61" s="3065">
        <v>0.25</v>
      </c>
      <c r="J61" s="1001">
        <f t="shared" ref="J61:J69" si="14">K61+$G61</f>
        <v>2.2599999999999999E-2</v>
      </c>
      <c r="K61" s="1001">
        <f t="shared" ref="K61:K69" si="15">$L61+$G61</f>
        <v>1.1299999999999999E-2</v>
      </c>
      <c r="L61" s="1001">
        <v>0</v>
      </c>
      <c r="M61" s="1001">
        <f t="shared" ref="M61:N69" si="16">L61-$G61</f>
        <v>-1.1299999999999999E-2</v>
      </c>
      <c r="N61" s="1001">
        <f t="shared" si="16"/>
        <v>-2.2599999999999999E-2</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t="s">
        <v>3439</v>
      </c>
      <c r="D62" s="1002">
        <f t="shared" si="12"/>
        <v>1.18E-2</v>
      </c>
      <c r="E62" s="703"/>
      <c r="F62" s="1674"/>
      <c r="G62" s="1000">
        <v>1.18E-2</v>
      </c>
      <c r="H62" s="1003">
        <f t="shared" si="13"/>
        <v>1.18E-2</v>
      </c>
      <c r="I62" s="3065">
        <v>0.26</v>
      </c>
      <c r="J62" s="1001">
        <f t="shared" si="14"/>
        <v>2.3599999999999999E-2</v>
      </c>
      <c r="K62" s="1001">
        <f t="shared" si="15"/>
        <v>1.18E-2</v>
      </c>
      <c r="L62" s="1001">
        <v>0</v>
      </c>
      <c r="M62" s="1001">
        <f t="shared" si="16"/>
        <v>-1.18E-2</v>
      </c>
      <c r="N62" s="1001">
        <f t="shared" si="16"/>
        <v>-2.3599999999999999E-2</v>
      </c>
      <c r="AA62" s="1057"/>
      <c r="AB62" s="1057"/>
      <c r="AC62" s="1057"/>
      <c r="AD62" s="1057"/>
      <c r="AE62" s="1057"/>
      <c r="AF62" s="1057"/>
      <c r="AG62" s="1057"/>
      <c r="AH62" s="1057"/>
      <c r="AI62" s="1057"/>
      <c r="AJ62" s="1057"/>
      <c r="AK62" s="1057"/>
    </row>
    <row r="63" spans="1:37" s="1056" customFormat="1" ht="48">
      <c r="A63" s="3067" t="s">
        <v>3269</v>
      </c>
      <c r="B63" s="1262">
        <f>估价对象房地状况!C19</f>
        <v>0</v>
      </c>
      <c r="C63" s="1886" t="s">
        <v>3439</v>
      </c>
      <c r="D63" s="1002">
        <f t="shared" si="12"/>
        <v>5.0000000000000001E-3</v>
      </c>
      <c r="E63" s="703"/>
      <c r="F63" s="1674"/>
      <c r="G63" s="1000">
        <v>5.0000000000000001E-3</v>
      </c>
      <c r="H63" s="1003">
        <f t="shared" si="13"/>
        <v>5.0000000000000001E-3</v>
      </c>
      <c r="I63" s="3065">
        <v>0.11</v>
      </c>
      <c r="J63" s="1001">
        <f t="shared" si="14"/>
        <v>0.01</v>
      </c>
      <c r="K63" s="1001">
        <f t="shared" si="15"/>
        <v>5.0000000000000001E-3</v>
      </c>
      <c r="L63" s="1001">
        <v>0</v>
      </c>
      <c r="M63" s="1001">
        <f t="shared" si="16"/>
        <v>-5.0000000000000001E-3</v>
      </c>
      <c r="N63" s="1001">
        <f t="shared" si="16"/>
        <v>-0.01</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3439</v>
      </c>
      <c r="D64" s="1002">
        <f t="shared" si="12"/>
        <v>2.2000000000000001E-3</v>
      </c>
      <c r="E64" s="703"/>
      <c r="F64" s="1674"/>
      <c r="G64" s="1000">
        <v>2.2000000000000001E-3</v>
      </c>
      <c r="H64" s="1003">
        <f t="shared" si="13"/>
        <v>2.2000000000000001E-3</v>
      </c>
      <c r="I64" s="3065">
        <v>0.05</v>
      </c>
      <c r="J64" s="1001">
        <f t="shared" si="14"/>
        <v>4.4000000000000003E-3</v>
      </c>
      <c r="K64" s="1001">
        <f t="shared" si="15"/>
        <v>2.2000000000000001E-3</v>
      </c>
      <c r="L64" s="1001">
        <v>0</v>
      </c>
      <c r="M64" s="1001">
        <f t="shared" si="16"/>
        <v>-2.2000000000000001E-3</v>
      </c>
      <c r="N64" s="1001">
        <f t="shared" si="16"/>
        <v>-4.4000000000000003E-3</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t="s">
        <v>3439</v>
      </c>
      <c r="D65" s="1002">
        <f t="shared" si="12"/>
        <v>2.2000000000000001E-3</v>
      </c>
      <c r="E65" s="703"/>
      <c r="F65" s="1674"/>
      <c r="G65" s="1000">
        <v>2.2000000000000001E-3</v>
      </c>
      <c r="H65" s="1003">
        <f t="shared" si="13"/>
        <v>2.2000000000000001E-3</v>
      </c>
      <c r="I65" s="3065">
        <v>0.05</v>
      </c>
      <c r="J65" s="1001">
        <f t="shared" si="14"/>
        <v>4.4000000000000003E-3</v>
      </c>
      <c r="K65" s="1001">
        <f t="shared" si="15"/>
        <v>2.2000000000000001E-3</v>
      </c>
      <c r="L65" s="1001">
        <v>0</v>
      </c>
      <c r="M65" s="1001">
        <f t="shared" si="16"/>
        <v>-2.2000000000000001E-3</v>
      </c>
      <c r="N65" s="1001">
        <f t="shared" si="16"/>
        <v>-4.4000000000000003E-3</v>
      </c>
      <c r="AA65" s="1057"/>
      <c r="AB65" s="1057"/>
      <c r="AC65" s="1057"/>
      <c r="AD65" s="1057"/>
      <c r="AE65" s="1057"/>
      <c r="AF65" s="1057"/>
      <c r="AG65" s="1057"/>
      <c r="AH65" s="1057"/>
      <c r="AI65" s="1057"/>
      <c r="AJ65" s="1057"/>
      <c r="AK65" s="1057"/>
    </row>
    <row r="66" spans="1:37" s="1056" customFormat="1" ht="36">
      <c r="A66" s="1969" t="s">
        <v>2057</v>
      </c>
      <c r="B66" s="1974" t="s">
        <v>2058</v>
      </c>
      <c r="C66" s="1886" t="s">
        <v>3439</v>
      </c>
      <c r="D66" s="1002">
        <f t="shared" si="12"/>
        <v>2.7000000000000001E-3</v>
      </c>
      <c r="E66" s="703"/>
      <c r="F66" s="1674"/>
      <c r="G66" s="1000">
        <v>2.7000000000000001E-3</v>
      </c>
      <c r="H66" s="1003">
        <f t="shared" si="13"/>
        <v>2.7000000000000001E-3</v>
      </c>
      <c r="I66" s="3065">
        <v>0.06</v>
      </c>
      <c r="J66" s="1001">
        <f t="shared" si="14"/>
        <v>5.4000000000000003E-3</v>
      </c>
      <c r="K66" s="1001">
        <f t="shared" si="15"/>
        <v>2.7000000000000001E-3</v>
      </c>
      <c r="L66" s="1001">
        <v>0</v>
      </c>
      <c r="M66" s="1001">
        <f t="shared" si="16"/>
        <v>-2.7000000000000001E-3</v>
      </c>
      <c r="N66" s="1001">
        <f t="shared" si="16"/>
        <v>-5.4000000000000003E-3</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t="s">
        <v>3439</v>
      </c>
      <c r="D67" s="1002">
        <f t="shared" si="12"/>
        <v>2.7000000000000001E-3</v>
      </c>
      <c r="E67" s="703"/>
      <c r="F67" s="1674"/>
      <c r="G67" s="1000">
        <v>2.7000000000000001E-3</v>
      </c>
      <c r="H67" s="1003">
        <f t="shared" si="13"/>
        <v>2.7000000000000001E-3</v>
      </c>
      <c r="I67" s="3065">
        <v>0.06</v>
      </c>
      <c r="J67" s="1001">
        <f t="shared" si="14"/>
        <v>5.4000000000000003E-3</v>
      </c>
      <c r="K67" s="1001">
        <f t="shared" si="15"/>
        <v>2.7000000000000001E-3</v>
      </c>
      <c r="L67" s="1001">
        <v>0</v>
      </c>
      <c r="M67" s="1001">
        <f t="shared" si="16"/>
        <v>-2.7000000000000001E-3</v>
      </c>
      <c r="N67" s="1001">
        <f t="shared" si="16"/>
        <v>-5.4000000000000003E-3</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t="s">
        <v>3492</v>
      </c>
      <c r="D68" s="1002">
        <f t="shared" si="12"/>
        <v>8.0000000000000002E-3</v>
      </c>
      <c r="E68" s="703"/>
      <c r="F68" s="1674"/>
      <c r="G68" s="1000">
        <v>4.0000000000000001E-3</v>
      </c>
      <c r="H68" s="1003">
        <f t="shared" si="13"/>
        <v>4.0000000000000001E-3</v>
      </c>
      <c r="I68" s="3065">
        <v>0.09</v>
      </c>
      <c r="J68" s="1001">
        <f t="shared" si="14"/>
        <v>8.0000000000000002E-3</v>
      </c>
      <c r="K68" s="1001">
        <f t="shared" si="15"/>
        <v>4.0000000000000001E-3</v>
      </c>
      <c r="L68" s="1001">
        <v>0</v>
      </c>
      <c r="M68" s="1001">
        <f t="shared" si="16"/>
        <v>-4.0000000000000001E-3</v>
      </c>
      <c r="N68" s="1001">
        <f t="shared" si="16"/>
        <v>-8.0000000000000002E-3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3439</v>
      </c>
      <c r="D69" s="1002">
        <f t="shared" si="12"/>
        <v>3.0999999999999999E-3</v>
      </c>
      <c r="E69" s="704"/>
      <c r="F69" s="1674"/>
      <c r="G69" s="1000">
        <v>3.0999999999999999E-3</v>
      </c>
      <c r="H69" s="1003">
        <f t="shared" si="13"/>
        <v>3.0999999999999999E-3</v>
      </c>
      <c r="I69" s="3066">
        <v>7.0000000000000007E-2</v>
      </c>
      <c r="J69" s="1001">
        <f t="shared" si="14"/>
        <v>6.1999999999999998E-3</v>
      </c>
      <c r="K69" s="1001">
        <f t="shared" si="15"/>
        <v>3.0999999999999999E-3</v>
      </c>
      <c r="L69" s="1001">
        <v>0</v>
      </c>
      <c r="M69" s="1001">
        <f t="shared" si="16"/>
        <v>-3.0999999999999999E-3</v>
      </c>
      <c r="N69" s="1001">
        <f t="shared" si="16"/>
        <v>-6.1999999999999998E-3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7" t="s">
        <v>3269</v>
      </c>
      <c r="B74" s="1262">
        <f>估价对象房地状况!C19</f>
        <v>0</v>
      </c>
      <c r="C74" s="1886"/>
      <c r="D74" s="1002">
        <f t="shared" si="17"/>
        <v>0</v>
      </c>
      <c r="E74" s="705"/>
      <c r="F74" s="1674"/>
      <c r="G74" s="1000"/>
      <c r="H74" s="1003" t="str">
        <f t="shared" si="18"/>
        <v>——</v>
      </c>
      <c r="I74" s="3065">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c r="D75" s="1002">
        <f t="shared" si="17"/>
        <v>0</v>
      </c>
      <c r="E75" s="705"/>
      <c r="F75" s="1674"/>
      <c r="G75" s="1000"/>
      <c r="H75" s="1003" t="str">
        <f t="shared" si="18"/>
        <v>——</v>
      </c>
      <c r="I75" s="3065">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4"/>
      <c r="G76" s="1000"/>
      <c r="H76" s="1003" t="str">
        <f t="shared" si="18"/>
        <v>——</v>
      </c>
      <c r="I76" s="3065">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4"/>
      <c r="G77" s="1000"/>
      <c r="H77" s="1003" t="str">
        <f t="shared" si="18"/>
        <v>——</v>
      </c>
      <c r="I77" s="3065">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5">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5">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6">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9.6">
      <c r="A83" s="1969" t="s">
        <v>2070</v>
      </c>
      <c r="B83" s="1262"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2"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5">
        <v>0.3</v>
      </c>
      <c r="J84" s="1001">
        <f t="shared" si="24"/>
        <v>0</v>
      </c>
      <c r="K84" s="1001">
        <f t="shared" si="25"/>
        <v>0</v>
      </c>
      <c r="L84" s="1001">
        <v>0</v>
      </c>
      <c r="M84" s="1001">
        <f t="shared" si="26"/>
        <v>0</v>
      </c>
      <c r="N84" s="1001">
        <f t="shared" si="26"/>
        <v>0</v>
      </c>
      <c r="Z84" s="1844"/>
      <c r="AA84" s="1894"/>
      <c r="AG84" s="1058"/>
      <c r="AK84" s="1894"/>
    </row>
    <row r="85" spans="1:37" ht="48">
      <c r="A85" s="3067" t="s">
        <v>3270</v>
      </c>
      <c r="B85" s="1262">
        <f>估价对象房地状况!G17</f>
        <v>0</v>
      </c>
      <c r="C85" s="1886"/>
      <c r="D85" s="1002">
        <f t="shared" si="22"/>
        <v>0</v>
      </c>
      <c r="E85" s="705"/>
      <c r="F85" s="1674"/>
      <c r="G85" s="1000"/>
      <c r="H85" s="1003" t="str">
        <f t="shared" si="23"/>
        <v>——</v>
      </c>
      <c r="I85" s="3065">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4"/>
      <c r="G86" s="1000"/>
      <c r="H86" s="1003" t="str">
        <f t="shared" si="23"/>
        <v>——</v>
      </c>
      <c r="I86" s="3065">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4"/>
      <c r="G87" s="1000"/>
      <c r="H87" s="1003" t="str">
        <f t="shared" si="23"/>
        <v>——</v>
      </c>
      <c r="I87" s="3065">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4"/>
      <c r="G88" s="1000"/>
      <c r="H88" s="1003" t="str">
        <f t="shared" si="23"/>
        <v>——</v>
      </c>
      <c r="I88" s="3065">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6">
        <v>0.05</v>
      </c>
      <c r="J90" s="1001">
        <f t="shared" si="24"/>
        <v>0</v>
      </c>
      <c r="K90" s="1001">
        <f t="shared" si="25"/>
        <v>0</v>
      </c>
      <c r="L90" s="1001">
        <v>0</v>
      </c>
      <c r="M90" s="1001">
        <f t="shared" si="26"/>
        <v>0</v>
      </c>
      <c r="N90" s="1001">
        <f t="shared" si="26"/>
        <v>0</v>
      </c>
    </row>
    <row r="91" spans="1:37" ht="13.8">
      <c r="A91" s="3075" t="s">
        <v>2612</v>
      </c>
      <c r="B91" s="3076">
        <f>1+E93</f>
        <v>1</v>
      </c>
      <c r="C91" s="3069"/>
      <c r="D91" s="3070"/>
      <c r="E91" s="1674"/>
      <c r="F91" s="1674"/>
      <c r="G91" s="3071"/>
      <c r="H91" s="3072"/>
      <c r="I91" s="3073"/>
      <c r="J91" s="3074"/>
      <c r="K91" s="3074"/>
      <c r="L91" s="3074"/>
      <c r="M91" s="3074"/>
      <c r="N91" s="3074"/>
    </row>
    <row r="92" spans="1:37" ht="25.2">
      <c r="A92" s="3077" t="s">
        <v>3271</v>
      </c>
      <c r="B92" s="2307"/>
      <c r="C92" s="2307" t="s">
        <v>3280</v>
      </c>
      <c r="D92" s="2307" t="s">
        <v>3281</v>
      </c>
      <c r="E92" s="3049" t="s">
        <v>3282</v>
      </c>
      <c r="F92" s="3079" t="s">
        <v>3283</v>
      </c>
      <c r="G92" s="2307" t="s">
        <v>3284</v>
      </c>
      <c r="H92" s="3086" t="s">
        <v>3287</v>
      </c>
      <c r="I92" s="2307" t="s">
        <v>3288</v>
      </c>
      <c r="J92" s="2148" t="s">
        <v>3289</v>
      </c>
      <c r="K92" s="2148" t="s">
        <v>3290</v>
      </c>
      <c r="L92" s="2148" t="s">
        <v>3291</v>
      </c>
      <c r="M92" s="2148" t="s">
        <v>3292</v>
      </c>
      <c r="N92" s="2148" t="s">
        <v>3293</v>
      </c>
    </row>
    <row r="93" spans="1:37" ht="24">
      <c r="A93" s="3067" t="s">
        <v>3272</v>
      </c>
      <c r="B93" s="1221"/>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3273</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3269</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3274</v>
      </c>
      <c r="B96" s="3083" t="s">
        <v>3285</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3275</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3276</v>
      </c>
      <c r="B98" s="3084" t="s">
        <v>3286</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6.4">
      <c r="A99" s="3077" t="s">
        <v>3277</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3278</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3279</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69" t="s">
        <v>3294</v>
      </c>
      <c r="B103" s="3469"/>
      <c r="C103" s="3469"/>
      <c r="D103" s="3469"/>
      <c r="E103" s="3469"/>
      <c r="F103" s="3469"/>
      <c r="G103" s="3469"/>
      <c r="H103" s="3469"/>
      <c r="I103" s="3469"/>
      <c r="J103" s="3469"/>
      <c r="K103" s="1666"/>
      <c r="L103" s="1666"/>
      <c r="M103" s="1666"/>
      <c r="N103" s="1666"/>
    </row>
    <row r="104" spans="1:14">
      <c r="A104" s="3470" t="s">
        <v>3295</v>
      </c>
      <c r="B104" s="3470" t="s">
        <v>3296</v>
      </c>
      <c r="C104" s="3087" t="s">
        <v>3297</v>
      </c>
      <c r="D104" s="3088"/>
      <c r="E104" s="3088"/>
      <c r="F104" s="3088"/>
      <c r="G104" s="3088"/>
      <c r="H104" s="3088"/>
      <c r="I104" s="3088"/>
      <c r="J104" s="3089"/>
      <c r="K104" s="3090"/>
      <c r="L104" s="3090"/>
      <c r="M104" s="3090"/>
      <c r="N104" s="3090"/>
    </row>
    <row r="105" spans="1:14">
      <c r="A105" s="3470"/>
      <c r="B105" s="3470"/>
      <c r="C105" s="3091" t="s">
        <v>3298</v>
      </c>
      <c r="D105" s="3091" t="s">
        <v>3299</v>
      </c>
      <c r="E105" s="3091" t="s">
        <v>3300</v>
      </c>
      <c r="F105" s="3091" t="s">
        <v>3301</v>
      </c>
      <c r="G105" s="3091" t="s">
        <v>3302</v>
      </c>
      <c r="H105" s="3091" t="s">
        <v>3303</v>
      </c>
      <c r="I105" s="3091" t="s">
        <v>3304</v>
      </c>
      <c r="J105" s="3091" t="s">
        <v>3305</v>
      </c>
      <c r="K105" s="3091" t="s">
        <v>3306</v>
      </c>
      <c r="L105" s="3091" t="s">
        <v>3307</v>
      </c>
      <c r="M105" s="3091" t="s">
        <v>3308</v>
      </c>
      <c r="N105" s="3091" t="s">
        <v>3309</v>
      </c>
    </row>
    <row r="106" spans="1:14">
      <c r="A106" s="3456" t="s">
        <v>3310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7"/>
      <c r="B111" s="3091" t="s">
        <v>3268</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8"/>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9" t="s">
        <v>3311</v>
      </c>
      <c r="B113" s="3459"/>
      <c r="C113" s="3459"/>
      <c r="D113" s="3459"/>
      <c r="E113" s="3459"/>
      <c r="F113" s="3459"/>
      <c r="G113" s="3459"/>
      <c r="H113" s="3459"/>
      <c r="I113" s="3459"/>
      <c r="J113" s="3459"/>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3312</v>
      </c>
      <c r="B116" s="3111">
        <f>G3</f>
        <v>3.5</v>
      </c>
      <c r="C116" s="3096" t="s">
        <v>3313</v>
      </c>
      <c r="D116" s="3097">
        <f>SUMPRODUCT((A118:A122=F116)*(B117:M117=H116)*B118:M122)</f>
        <v>0.95379999999999998</v>
      </c>
      <c r="E116" s="162" t="s">
        <v>3314</v>
      </c>
      <c r="F116" s="3098" t="str">
        <f>E2</f>
        <v>办公</v>
      </c>
      <c r="G116" s="162" t="s">
        <v>3315</v>
      </c>
      <c r="H116" s="3098" t="str">
        <f>G2</f>
        <v>二级</v>
      </c>
      <c r="I116" s="162"/>
      <c r="J116" s="3099"/>
      <c r="K116" s="3099"/>
      <c r="L116" s="3099"/>
      <c r="M116" s="3099"/>
      <c r="N116" s="3094"/>
    </row>
    <row r="117" spans="1:14">
      <c r="A117" s="3100"/>
      <c r="B117" s="3101" t="s">
        <v>3316</v>
      </c>
      <c r="C117" s="3101" t="s">
        <v>3317</v>
      </c>
      <c r="D117" s="3101" t="s">
        <v>3318</v>
      </c>
      <c r="E117" s="3102" t="s">
        <v>3319</v>
      </c>
      <c r="F117" s="3102" t="s">
        <v>3320</v>
      </c>
      <c r="G117" s="3102" t="s">
        <v>3321</v>
      </c>
      <c r="H117" s="3103" t="s">
        <v>3322</v>
      </c>
      <c r="I117" s="3103" t="s">
        <v>3323</v>
      </c>
      <c r="J117" s="3104" t="s">
        <v>3324</v>
      </c>
      <c r="K117" s="3104" t="s">
        <v>3325</v>
      </c>
      <c r="L117" s="3104" t="s">
        <v>3326</v>
      </c>
      <c r="M117" s="3105" t="s">
        <v>3327</v>
      </c>
      <c r="N117" s="3094"/>
    </row>
    <row r="118" spans="1:14">
      <c r="A118" s="3054" t="s">
        <v>3328</v>
      </c>
      <c r="B118" s="3086">
        <f>ROUND(0.9968-0.011*B116,4)</f>
        <v>0.95830000000000004</v>
      </c>
      <c r="C118" s="3086">
        <f>B118</f>
        <v>0.95830000000000004</v>
      </c>
      <c r="D118" s="3086">
        <f>ROUND(0.949-0.014*B116,4)</f>
        <v>0.9</v>
      </c>
      <c r="E118" s="3086">
        <f>D118</f>
        <v>0.9</v>
      </c>
      <c r="F118" s="3086">
        <f>E118</f>
        <v>0.9</v>
      </c>
      <c r="G118" s="3086">
        <f>F118</f>
        <v>0.9</v>
      </c>
      <c r="H118" s="3086">
        <f>G118</f>
        <v>0.9</v>
      </c>
      <c r="I118" s="3086">
        <f>ROUND(0.8486-0.018*B116,4)</f>
        <v>0.78559999999999997</v>
      </c>
      <c r="J118" s="3086">
        <f t="shared" ref="J118:M122" si="35">I118</f>
        <v>0.78559999999999997</v>
      </c>
      <c r="K118" s="3086">
        <f t="shared" si="35"/>
        <v>0.78559999999999997</v>
      </c>
      <c r="L118" s="3086">
        <f t="shared" si="35"/>
        <v>0.78559999999999997</v>
      </c>
      <c r="M118" s="3106">
        <f t="shared" si="35"/>
        <v>0.78559999999999997</v>
      </c>
      <c r="N118" s="3094"/>
    </row>
    <row r="119" spans="1:14">
      <c r="A119" s="3054" t="s">
        <v>3329</v>
      </c>
      <c r="B119" s="3086">
        <f>ROUND(0.993-0.0112*B116,4)</f>
        <v>0.95379999999999998</v>
      </c>
      <c r="C119" s="3086">
        <f>B119</f>
        <v>0.95379999999999998</v>
      </c>
      <c r="D119" s="3086">
        <f>ROUND(0.9415-0.0142*B116,4)</f>
        <v>0.89180000000000004</v>
      </c>
      <c r="E119" s="3086">
        <f t="shared" ref="E119:H120" si="36">D119</f>
        <v>0.89180000000000004</v>
      </c>
      <c r="F119" s="3086">
        <f t="shared" si="36"/>
        <v>0.89180000000000004</v>
      </c>
      <c r="G119" s="3086">
        <f t="shared" si="36"/>
        <v>0.89180000000000004</v>
      </c>
      <c r="H119" s="3086">
        <f t="shared" si="36"/>
        <v>0.89180000000000004</v>
      </c>
      <c r="I119" s="3086">
        <f>ROUND(0.838-0.0182*B116,4)</f>
        <v>0.77429999999999999</v>
      </c>
      <c r="J119" s="3086">
        <f t="shared" si="35"/>
        <v>0.77429999999999999</v>
      </c>
      <c r="K119" s="3086">
        <f t="shared" si="35"/>
        <v>0.77429999999999999</v>
      </c>
      <c r="L119" s="3086">
        <f t="shared" si="35"/>
        <v>0.77429999999999999</v>
      </c>
      <c r="M119" s="3106">
        <f t="shared" si="35"/>
        <v>0.77429999999999999</v>
      </c>
      <c r="N119" s="3094"/>
    </row>
    <row r="120" spans="1:14">
      <c r="A120" s="3054" t="s">
        <v>3330</v>
      </c>
      <c r="B120" s="3086">
        <f>ROUND(0.9448-0.0115*B116,4)</f>
        <v>0.90459999999999996</v>
      </c>
      <c r="C120" s="3086">
        <f>B120</f>
        <v>0.90459999999999996</v>
      </c>
      <c r="D120" s="3086">
        <f>ROUND(0.937-0.0145*B116,4)</f>
        <v>0.88629999999999998</v>
      </c>
      <c r="E120" s="3086">
        <f t="shared" si="36"/>
        <v>0.88629999999999998</v>
      </c>
      <c r="F120" s="3086">
        <f t="shared" si="36"/>
        <v>0.88629999999999998</v>
      </c>
      <c r="G120" s="3086">
        <f t="shared" si="36"/>
        <v>0.88629999999999998</v>
      </c>
      <c r="H120" s="3086">
        <f t="shared" si="36"/>
        <v>0.88629999999999998</v>
      </c>
      <c r="I120" s="3086">
        <f>ROUND(0.7965-0.0185*B116,4)</f>
        <v>0.73180000000000001</v>
      </c>
      <c r="J120" s="3086">
        <f t="shared" si="35"/>
        <v>0.73180000000000001</v>
      </c>
      <c r="K120" s="3086">
        <f t="shared" si="35"/>
        <v>0.73180000000000001</v>
      </c>
      <c r="L120" s="3086">
        <f t="shared" si="35"/>
        <v>0.73180000000000001</v>
      </c>
      <c r="M120" s="3106">
        <f t="shared" si="35"/>
        <v>0.73180000000000001</v>
      </c>
      <c r="N120" s="3094"/>
    </row>
    <row r="121" spans="1:14" ht="13.8" thickBot="1">
      <c r="A121" s="3107" t="s">
        <v>3331</v>
      </c>
      <c r="B121" s="3108">
        <f>ROUND(0.7836-0.012*B116,4)</f>
        <v>0.74160000000000004</v>
      </c>
      <c r="C121" s="3108">
        <f>B121</f>
        <v>0.74160000000000004</v>
      </c>
      <c r="D121" s="3108">
        <f>ROUND(0.753-0.015*B116,4)</f>
        <v>0.70050000000000001</v>
      </c>
      <c r="E121" s="3108">
        <f>D121</f>
        <v>0.70050000000000001</v>
      </c>
      <c r="F121" s="3108">
        <f>E121</f>
        <v>0.70050000000000001</v>
      </c>
      <c r="G121" s="3108">
        <f>ROUND(0.6612-0.018*B116,4)</f>
        <v>0.59819999999999995</v>
      </c>
      <c r="H121" s="3108">
        <f>G121</f>
        <v>0.59819999999999995</v>
      </c>
      <c r="I121" s="3108">
        <f>ROUND(0.5905-0.019*B116,4)</f>
        <v>0.52400000000000002</v>
      </c>
      <c r="J121" s="3108">
        <f t="shared" si="35"/>
        <v>0.52400000000000002</v>
      </c>
      <c r="K121" s="3108">
        <f t="shared" si="35"/>
        <v>0.52400000000000002</v>
      </c>
      <c r="L121" s="3108">
        <f t="shared" si="35"/>
        <v>0.52400000000000002</v>
      </c>
      <c r="M121" s="3109">
        <f t="shared" si="35"/>
        <v>0.52400000000000002</v>
      </c>
      <c r="N121" s="3094"/>
    </row>
    <row r="122" spans="1:14">
      <c r="A122" s="3110" t="s">
        <v>2612</v>
      </c>
      <c r="B122" s="3086">
        <f>ROUND(0.9404-0.0106*B116,4)</f>
        <v>0.90329999999999999</v>
      </c>
      <c r="C122" s="3086">
        <f>B122</f>
        <v>0.90329999999999999</v>
      </c>
      <c r="D122" s="3086">
        <f>ROUND(0.8955-0.0135*B116,4)</f>
        <v>0.84830000000000005</v>
      </c>
      <c r="E122" s="3086">
        <f t="shared" ref="E122:H122" si="37">D122</f>
        <v>0.84830000000000005</v>
      </c>
      <c r="F122" s="3086">
        <f t="shared" si="37"/>
        <v>0.84830000000000005</v>
      </c>
      <c r="G122" s="3086">
        <f t="shared" si="37"/>
        <v>0.84830000000000005</v>
      </c>
      <c r="H122" s="3086">
        <f t="shared" si="37"/>
        <v>0.84830000000000005</v>
      </c>
      <c r="I122" s="3086">
        <f>ROUND(0.7632-0.0166*B116,4)</f>
        <v>0.70509999999999995</v>
      </c>
      <c r="J122" s="3086">
        <f t="shared" si="35"/>
        <v>0.70509999999999995</v>
      </c>
      <c r="K122" s="3086">
        <f t="shared" si="35"/>
        <v>0.70509999999999995</v>
      </c>
      <c r="L122" s="3086">
        <f t="shared" si="35"/>
        <v>0.70509999999999995</v>
      </c>
      <c r="M122" s="3106">
        <f t="shared" si="35"/>
        <v>0.70509999999999995</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482" t="s">
        <v>2607</v>
      </c>
      <c r="B20" s="3475" t="s">
        <v>2628</v>
      </c>
      <c r="C20" s="2839" t="s">
        <v>2439</v>
      </c>
      <c r="D20" s="2840"/>
      <c r="E20" s="2841">
        <v>1</v>
      </c>
      <c r="F20" s="2842" t="s">
        <v>2440</v>
      </c>
      <c r="G20" s="2842"/>
    </row>
    <row r="21" spans="1:13" ht="19.5" customHeight="1">
      <c r="A21" s="3483"/>
      <c r="B21" s="3476"/>
      <c r="C21" s="2843" t="s">
        <v>2441</v>
      </c>
      <c r="D21" s="2844"/>
      <c r="E21" s="2845">
        <v>1</v>
      </c>
      <c r="F21" s="2842" t="s">
        <v>2442</v>
      </c>
      <c r="G21" s="2842"/>
    </row>
    <row r="22" spans="1:13" ht="19.5" customHeight="1">
      <c r="A22" s="3483"/>
      <c r="B22" s="3476"/>
      <c r="C22" s="2843" t="s">
        <v>2443</v>
      </c>
      <c r="D22" s="2844"/>
      <c r="E22" s="2845">
        <v>0.9</v>
      </c>
      <c r="F22" s="2842" t="s">
        <v>2444</v>
      </c>
      <c r="G22" s="2842"/>
    </row>
    <row r="23" spans="1:13" ht="19.5" customHeight="1">
      <c r="A23" s="3483"/>
      <c r="B23" s="3476"/>
      <c r="C23" s="2843" t="s">
        <v>2445</v>
      </c>
      <c r="D23" s="2844"/>
      <c r="E23" s="2845">
        <v>0.9</v>
      </c>
      <c r="F23" s="2842" t="s">
        <v>2446</v>
      </c>
      <c r="G23" s="2842"/>
    </row>
    <row r="24" spans="1:13" ht="19.5" customHeight="1">
      <c r="A24" s="3483"/>
      <c r="B24" s="3476"/>
      <c r="C24" s="2843" t="s">
        <v>2447</v>
      </c>
      <c r="D24" s="2844"/>
      <c r="E24" s="2845">
        <v>0.8</v>
      </c>
      <c r="F24" s="2842" t="s">
        <v>2448</v>
      </c>
      <c r="G24" s="2842"/>
    </row>
    <row r="25" spans="1:13" ht="19.5" customHeight="1" thickBot="1">
      <c r="A25" s="3484"/>
      <c r="B25" s="3477"/>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78" t="s">
        <v>2631</v>
      </c>
      <c r="B27" s="3475" t="s">
        <v>2612</v>
      </c>
      <c r="C27" s="2839" t="s">
        <v>2452</v>
      </c>
      <c r="D27" s="2840"/>
      <c r="E27" s="2841">
        <v>1</v>
      </c>
      <c r="F27" s="2842" t="s">
        <v>2453</v>
      </c>
      <c r="G27" s="2842"/>
    </row>
    <row r="28" spans="1:13" ht="19.5" customHeight="1">
      <c r="A28" s="3479"/>
      <c r="B28" s="3476"/>
      <c r="C28" s="2843" t="s">
        <v>2454</v>
      </c>
      <c r="D28" s="2844"/>
      <c r="E28" s="2845">
        <v>1</v>
      </c>
      <c r="F28" s="2842" t="s">
        <v>2455</v>
      </c>
      <c r="G28" s="2842"/>
    </row>
    <row r="29" spans="1:13" ht="19.5" customHeight="1">
      <c r="A29" s="3479"/>
      <c r="B29" s="3476"/>
      <c r="C29" s="2843" t="s">
        <v>2456</v>
      </c>
      <c r="D29" s="2844"/>
      <c r="E29" s="2845">
        <v>0.8</v>
      </c>
      <c r="F29" s="2842" t="s">
        <v>2457</v>
      </c>
      <c r="G29" s="2842"/>
    </row>
    <row r="30" spans="1:13" ht="19.5" customHeight="1">
      <c r="A30" s="3479"/>
      <c r="B30" s="3476"/>
      <c r="C30" s="2843" t="s">
        <v>2458</v>
      </c>
      <c r="D30" s="2844"/>
      <c r="E30" s="2845">
        <v>0.8</v>
      </c>
      <c r="F30" s="2842" t="s">
        <v>2459</v>
      </c>
      <c r="G30" s="2842"/>
    </row>
    <row r="31" spans="1:13" ht="19.5" customHeight="1">
      <c r="A31" s="3479"/>
      <c r="B31" s="3476"/>
      <c r="C31" s="2843" t="s">
        <v>2460</v>
      </c>
      <c r="D31" s="2844"/>
      <c r="E31" s="2845">
        <v>0.8</v>
      </c>
      <c r="F31" s="2842" t="s">
        <v>2461</v>
      </c>
      <c r="G31" s="2842"/>
    </row>
    <row r="32" spans="1:13" ht="19.5" customHeight="1">
      <c r="A32" s="3479"/>
      <c r="B32" s="3476"/>
      <c r="C32" s="2843" t="s">
        <v>2462</v>
      </c>
      <c r="D32" s="2844"/>
      <c r="E32" s="2845">
        <v>0.7</v>
      </c>
      <c r="F32" s="2842" t="s">
        <v>2463</v>
      </c>
      <c r="G32" s="2842"/>
    </row>
    <row r="33" spans="1:7" ht="19.5" customHeight="1">
      <c r="A33" s="3479"/>
      <c r="B33" s="3476"/>
      <c r="C33" s="2843" t="s">
        <v>2464</v>
      </c>
      <c r="D33" s="2844"/>
      <c r="E33" s="2845">
        <v>0.8</v>
      </c>
      <c r="F33" s="2842" t="s">
        <v>2465</v>
      </c>
      <c r="G33" s="2842"/>
    </row>
    <row r="34" spans="1:7" ht="19.5" customHeight="1">
      <c r="A34" s="3479"/>
      <c r="B34" s="3476"/>
      <c r="C34" s="2843" t="s">
        <v>2466</v>
      </c>
      <c r="D34" s="2844"/>
      <c r="E34" s="2845">
        <v>0.6</v>
      </c>
      <c r="F34" s="2842" t="s">
        <v>2467</v>
      </c>
      <c r="G34" s="2842"/>
    </row>
    <row r="35" spans="1:7" ht="19.5" customHeight="1">
      <c r="A35" s="3479"/>
      <c r="B35" s="3476"/>
      <c r="C35" s="2843" t="s">
        <v>2468</v>
      </c>
      <c r="D35" s="2844"/>
      <c r="E35" s="2845">
        <v>0.2</v>
      </c>
      <c r="F35" s="2842" t="s">
        <v>2469</v>
      </c>
      <c r="G35" s="2842"/>
    </row>
    <row r="36" spans="1:7" ht="19.5" customHeight="1">
      <c r="A36" s="3479"/>
      <c r="B36" s="3476"/>
      <c r="C36" s="2843" t="s">
        <v>2470</v>
      </c>
      <c r="D36" s="2844"/>
      <c r="E36" s="2845">
        <v>0.2</v>
      </c>
      <c r="F36" s="2842" t="s">
        <v>2471</v>
      </c>
      <c r="G36" s="2842"/>
    </row>
    <row r="37" spans="1:7" ht="19.5" customHeight="1">
      <c r="A37" s="3479"/>
      <c r="B37" s="3481" t="s">
        <v>2632</v>
      </c>
      <c r="C37" s="2843" t="s">
        <v>2472</v>
      </c>
      <c r="D37" s="2844"/>
      <c r="E37" s="2845">
        <v>0.6</v>
      </c>
      <c r="F37" s="2842" t="s">
        <v>2473</v>
      </c>
      <c r="G37" s="2842"/>
    </row>
    <row r="38" spans="1:7" ht="19.5" customHeight="1">
      <c r="A38" s="3479"/>
      <c r="B38" s="3476"/>
      <c r="C38" s="2843" t="s">
        <v>2474</v>
      </c>
      <c r="D38" s="2844"/>
      <c r="E38" s="2845">
        <v>0.6</v>
      </c>
      <c r="F38" s="2842" t="s">
        <v>2475</v>
      </c>
      <c r="G38" s="2842"/>
    </row>
    <row r="39" spans="1:7" ht="19.5" customHeight="1" thickBot="1">
      <c r="A39" s="3480"/>
      <c r="B39" s="3477"/>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482" t="s">
        <v>2610</v>
      </c>
      <c r="B41" s="3475" t="s">
        <v>2634</v>
      </c>
      <c r="C41" s="2839" t="s">
        <v>2479</v>
      </c>
      <c r="D41" s="2840"/>
      <c r="E41" s="2841">
        <v>1</v>
      </c>
      <c r="F41" s="2842" t="s">
        <v>2480</v>
      </c>
      <c r="G41" s="2842"/>
    </row>
    <row r="42" spans="1:7" ht="19.5" customHeight="1">
      <c r="A42" s="3483"/>
      <c r="B42" s="3476"/>
      <c r="C42" s="2843" t="s">
        <v>2481</v>
      </c>
      <c r="D42" s="2844"/>
      <c r="E42" s="2845">
        <v>1</v>
      </c>
      <c r="F42" s="2842" t="s">
        <v>2482</v>
      </c>
      <c r="G42" s="2842"/>
    </row>
    <row r="43" spans="1:7" ht="19.5" customHeight="1">
      <c r="A43" s="3483"/>
      <c r="B43" s="3485"/>
      <c r="C43" s="2843" t="s">
        <v>2483</v>
      </c>
      <c r="D43" s="2844"/>
      <c r="E43" s="2845">
        <v>1.5</v>
      </c>
      <c r="F43" s="2842" t="s">
        <v>2484</v>
      </c>
      <c r="G43" s="2842"/>
    </row>
    <row r="44" spans="1:7" ht="19.5" customHeight="1">
      <c r="A44" s="3483"/>
      <c r="B44" s="2854" t="s">
        <v>2635</v>
      </c>
      <c r="C44" s="2843" t="s">
        <v>2636</v>
      </c>
      <c r="D44" s="2844"/>
      <c r="E44" s="2845">
        <v>2</v>
      </c>
      <c r="F44" s="2842" t="s">
        <v>2485</v>
      </c>
      <c r="G44" s="2842"/>
    </row>
    <row r="45" spans="1:7" ht="19.5" customHeight="1">
      <c r="A45" s="3483"/>
      <c r="B45" s="3481" t="s">
        <v>2637</v>
      </c>
      <c r="C45" s="2843" t="s">
        <v>2486</v>
      </c>
      <c r="D45" s="2844"/>
      <c r="E45" s="2845">
        <v>1</v>
      </c>
      <c r="F45" s="2842" t="s">
        <v>2487</v>
      </c>
      <c r="G45" s="2842"/>
    </row>
    <row r="46" spans="1:7" ht="19.5" customHeight="1">
      <c r="A46" s="3483"/>
      <c r="B46" s="3476"/>
      <c r="C46" s="2843" t="s">
        <v>2488</v>
      </c>
      <c r="D46" s="2844"/>
      <c r="E46" s="2845">
        <v>1</v>
      </c>
      <c r="F46" s="2842" t="s">
        <v>2489</v>
      </c>
      <c r="G46" s="2842"/>
    </row>
    <row r="47" spans="1:7" ht="19.5" customHeight="1">
      <c r="A47" s="3483"/>
      <c r="B47" s="3476"/>
      <c r="C47" s="2843" t="s">
        <v>2490</v>
      </c>
      <c r="D47" s="2844"/>
      <c r="E47" s="2845">
        <v>1</v>
      </c>
      <c r="F47" s="2842" t="s">
        <v>2491</v>
      </c>
      <c r="G47" s="2842"/>
    </row>
    <row r="48" spans="1:7" ht="19.5" customHeight="1">
      <c r="A48" s="3483"/>
      <c r="B48" s="3476"/>
      <c r="C48" s="2843" t="s">
        <v>2492</v>
      </c>
      <c r="D48" s="2844"/>
      <c r="E48" s="2845">
        <v>1</v>
      </c>
      <c r="F48" s="2842" t="s">
        <v>2493</v>
      </c>
      <c r="G48" s="2842"/>
    </row>
    <row r="49" spans="1:7" ht="19.5" customHeight="1">
      <c r="A49" s="3483"/>
      <c r="B49" s="3476"/>
      <c r="C49" s="2843" t="s">
        <v>2494</v>
      </c>
      <c r="D49" s="2844"/>
      <c r="E49" s="2845">
        <v>1</v>
      </c>
      <c r="F49" s="2842" t="s">
        <v>2495</v>
      </c>
      <c r="G49" s="2842"/>
    </row>
    <row r="50" spans="1:7" ht="19.5" customHeight="1">
      <c r="A50" s="3483"/>
      <c r="B50" s="3476"/>
      <c r="C50" s="2843" t="s">
        <v>2496</v>
      </c>
      <c r="D50" s="2844"/>
      <c r="E50" s="2845">
        <v>1</v>
      </c>
      <c r="F50" s="2842" t="s">
        <v>2497</v>
      </c>
      <c r="G50" s="2842"/>
    </row>
    <row r="51" spans="1:7" ht="19.5" customHeight="1" thickBot="1">
      <c r="A51" s="3484"/>
      <c r="B51" s="3477"/>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4.4">
      <c r="A72" s="2854"/>
      <c r="B72" s="2854"/>
      <c r="C72" s="2854" t="s">
        <v>2650</v>
      </c>
      <c r="D72" s="2854"/>
      <c r="E72" s="2854" t="s">
        <v>2621</v>
      </c>
      <c r="F72" s="2854" t="s">
        <v>2621</v>
      </c>
    </row>
    <row r="73" spans="1:7" ht="14.4">
      <c r="A73" s="2854">
        <v>1</v>
      </c>
      <c r="B73" s="3481" t="s">
        <v>2651</v>
      </c>
      <c r="C73" s="2828" t="s">
        <v>2652</v>
      </c>
      <c r="D73" s="2828" t="s">
        <v>2653</v>
      </c>
      <c r="E73" s="2854">
        <v>0.2</v>
      </c>
      <c r="F73" s="2854">
        <v>25</v>
      </c>
    </row>
    <row r="74" spans="1:7" ht="24">
      <c r="A74" s="2854">
        <v>2</v>
      </c>
      <c r="B74" s="3476"/>
      <c r="C74" s="2828" t="s">
        <v>2654</v>
      </c>
      <c r="D74" s="2828" t="s">
        <v>2655</v>
      </c>
      <c r="E74" s="2854">
        <v>0.2</v>
      </c>
      <c r="F74" s="2854">
        <v>25</v>
      </c>
    </row>
    <row r="75" spans="1:7" ht="24">
      <c r="A75" s="2854">
        <v>3</v>
      </c>
      <c r="B75" s="3476"/>
      <c r="C75" s="2828" t="s">
        <v>2656</v>
      </c>
      <c r="D75" s="2828" t="s">
        <v>2657</v>
      </c>
      <c r="E75" s="2854">
        <v>0.2</v>
      </c>
      <c r="F75" s="2854">
        <v>25</v>
      </c>
    </row>
    <row r="76" spans="1:7" ht="14.4">
      <c r="A76" s="2854">
        <v>4</v>
      </c>
      <c r="B76" s="3476"/>
      <c r="C76" s="2828" t="s">
        <v>2658</v>
      </c>
      <c r="D76" s="2828" t="s">
        <v>2659</v>
      </c>
      <c r="E76" s="2854">
        <v>0.15</v>
      </c>
      <c r="F76" s="2854">
        <v>20</v>
      </c>
    </row>
    <row r="77" spans="1:7" ht="24">
      <c r="A77" s="2854">
        <v>5</v>
      </c>
      <c r="B77" s="3476"/>
      <c r="C77" s="2828" t="s">
        <v>2660</v>
      </c>
      <c r="D77" s="2828" t="s">
        <v>2661</v>
      </c>
      <c r="E77" s="2854">
        <v>0.15</v>
      </c>
      <c r="F77" s="2854">
        <v>20</v>
      </c>
    </row>
    <row r="78" spans="1:7" ht="24">
      <c r="A78" s="2854">
        <v>6</v>
      </c>
      <c r="B78" s="3476"/>
      <c r="C78" s="2828" t="s">
        <v>2662</v>
      </c>
      <c r="D78" s="2828" t="s">
        <v>2663</v>
      </c>
      <c r="E78" s="2854">
        <v>0.15</v>
      </c>
      <c r="F78" s="2854">
        <v>20</v>
      </c>
    </row>
    <row r="79" spans="1:7" ht="24">
      <c r="A79" s="2854">
        <v>7</v>
      </c>
      <c r="B79" s="3476"/>
      <c r="C79" s="2828" t="s">
        <v>2664</v>
      </c>
      <c r="D79" s="2828" t="s">
        <v>2665</v>
      </c>
      <c r="E79" s="2854">
        <v>0.15</v>
      </c>
      <c r="F79" s="2854">
        <v>20</v>
      </c>
    </row>
    <row r="80" spans="1:7" ht="24">
      <c r="A80" s="2854">
        <v>8</v>
      </c>
      <c r="B80" s="3476"/>
      <c r="C80" s="2828" t="s">
        <v>2666</v>
      </c>
      <c r="D80" s="2828" t="s">
        <v>2667</v>
      </c>
      <c r="E80" s="2854">
        <v>0.1</v>
      </c>
      <c r="F80" s="2854">
        <v>15</v>
      </c>
    </row>
    <row r="81" spans="1:6" ht="24">
      <c r="A81" s="2854">
        <v>9</v>
      </c>
      <c r="B81" s="3476"/>
      <c r="C81" s="2828" t="s">
        <v>2668</v>
      </c>
      <c r="D81" s="2828" t="s">
        <v>2669</v>
      </c>
      <c r="E81" s="2854">
        <v>0.1</v>
      </c>
      <c r="F81" s="2854">
        <v>15</v>
      </c>
    </row>
    <row r="82" spans="1:6" ht="24">
      <c r="A82" s="2854">
        <v>10</v>
      </c>
      <c r="B82" s="3476"/>
      <c r="C82" s="2828" t="s">
        <v>2670</v>
      </c>
      <c r="D82" s="2828" t="s">
        <v>2671</v>
      </c>
      <c r="E82" s="2854">
        <v>0.1</v>
      </c>
      <c r="F82" s="2854">
        <v>15</v>
      </c>
    </row>
    <row r="83" spans="1:6" ht="24">
      <c r="A83" s="2854">
        <v>11</v>
      </c>
      <c r="B83" s="3476"/>
      <c r="C83" s="2828" t="s">
        <v>2672</v>
      </c>
      <c r="D83" s="2828" t="s">
        <v>2673</v>
      </c>
      <c r="E83" s="2854">
        <v>0.1</v>
      </c>
      <c r="F83" s="2854">
        <v>15</v>
      </c>
    </row>
    <row r="84" spans="1:6" ht="24">
      <c r="A84" s="2854">
        <v>12</v>
      </c>
      <c r="B84" s="3476"/>
      <c r="C84" s="2828" t="s">
        <v>2674</v>
      </c>
      <c r="D84" s="2828" t="s">
        <v>2675</v>
      </c>
      <c r="E84" s="2854">
        <v>0.1</v>
      </c>
      <c r="F84" s="2854">
        <v>15</v>
      </c>
    </row>
    <row r="85" spans="1:6" ht="24">
      <c r="A85" s="2854">
        <v>13</v>
      </c>
      <c r="B85" s="3476"/>
      <c r="C85" s="2828" t="s">
        <v>2676</v>
      </c>
      <c r="D85" s="2828" t="s">
        <v>2677</v>
      </c>
      <c r="E85" s="2854">
        <v>0.1</v>
      </c>
      <c r="F85" s="2854">
        <v>15</v>
      </c>
    </row>
    <row r="86" spans="1:6" ht="24">
      <c r="A86" s="2854">
        <v>14</v>
      </c>
      <c r="B86" s="3476"/>
      <c r="C86" s="2828" t="s">
        <v>2678</v>
      </c>
      <c r="D86" s="2828" t="s">
        <v>2679</v>
      </c>
      <c r="E86" s="2854">
        <v>0.1</v>
      </c>
      <c r="F86" s="2854">
        <v>15</v>
      </c>
    </row>
    <row r="87" spans="1:6" ht="24">
      <c r="A87" s="2854">
        <v>15</v>
      </c>
      <c r="B87" s="3476"/>
      <c r="C87" s="2828" t="s">
        <v>2680</v>
      </c>
      <c r="D87" s="2828" t="s">
        <v>2681</v>
      </c>
      <c r="E87" s="2854">
        <v>0.1</v>
      </c>
      <c r="F87" s="2854">
        <v>15</v>
      </c>
    </row>
    <row r="88" spans="1:6" ht="24">
      <c r="A88" s="2854">
        <v>16</v>
      </c>
      <c r="B88" s="3476"/>
      <c r="C88" s="2828" t="s">
        <v>2682</v>
      </c>
      <c r="D88" s="2828" t="s">
        <v>2683</v>
      </c>
      <c r="E88" s="2854">
        <v>0.1</v>
      </c>
      <c r="F88" s="2854">
        <v>15</v>
      </c>
    </row>
    <row r="89" spans="1:6" ht="24">
      <c r="A89" s="2854">
        <v>17</v>
      </c>
      <c r="B89" s="3485"/>
      <c r="C89" s="2828" t="s">
        <v>2684</v>
      </c>
      <c r="D89" s="2828" t="s">
        <v>2685</v>
      </c>
      <c r="E89" s="2854">
        <v>0.1</v>
      </c>
      <c r="F89" s="2854">
        <v>15</v>
      </c>
    </row>
    <row r="90" spans="1:6" ht="14.4">
      <c r="A90" s="2854">
        <v>18</v>
      </c>
      <c r="B90" s="3481" t="s">
        <v>2686</v>
      </c>
      <c r="C90" s="2828" t="s">
        <v>2687</v>
      </c>
      <c r="D90" s="2828" t="s">
        <v>2688</v>
      </c>
      <c r="E90" s="2854">
        <v>0.2</v>
      </c>
      <c r="F90" s="2854">
        <v>25</v>
      </c>
    </row>
    <row r="91" spans="1:6" ht="24">
      <c r="A91" s="2854">
        <v>19</v>
      </c>
      <c r="B91" s="3476"/>
      <c r="C91" s="2828" t="s">
        <v>2689</v>
      </c>
      <c r="D91" s="2828" t="s">
        <v>2690</v>
      </c>
      <c r="E91" s="2854">
        <v>0.2</v>
      </c>
      <c r="F91" s="2854">
        <v>25</v>
      </c>
    </row>
    <row r="92" spans="1:6" ht="14.4">
      <c r="A92" s="2854">
        <v>20</v>
      </c>
      <c r="B92" s="3476"/>
      <c r="C92" s="2828" t="s">
        <v>2691</v>
      </c>
      <c r="D92" s="2828" t="s">
        <v>2692</v>
      </c>
      <c r="E92" s="2854">
        <v>0.15</v>
      </c>
      <c r="F92" s="2854">
        <v>20</v>
      </c>
    </row>
    <row r="93" spans="1:6" ht="24">
      <c r="A93" s="2854">
        <v>21</v>
      </c>
      <c r="B93" s="3476"/>
      <c r="C93" s="2828" t="s">
        <v>2693</v>
      </c>
      <c r="D93" s="2828" t="s">
        <v>2694</v>
      </c>
      <c r="E93" s="2854">
        <v>0.15</v>
      </c>
      <c r="F93" s="2854">
        <v>20</v>
      </c>
    </row>
    <row r="94" spans="1:6" ht="24">
      <c r="A94" s="2854">
        <v>22</v>
      </c>
      <c r="B94" s="3476"/>
      <c r="C94" s="2828" t="s">
        <v>2695</v>
      </c>
      <c r="D94" s="2828" t="s">
        <v>2696</v>
      </c>
      <c r="E94" s="2854">
        <v>0.15</v>
      </c>
      <c r="F94" s="2854">
        <v>20</v>
      </c>
    </row>
    <row r="95" spans="1:6" ht="36">
      <c r="A95" s="2854">
        <v>23</v>
      </c>
      <c r="B95" s="3476"/>
      <c r="C95" s="2828" t="s">
        <v>2697</v>
      </c>
      <c r="D95" s="2828" t="s">
        <v>2698</v>
      </c>
      <c r="E95" s="2854">
        <v>0.15</v>
      </c>
      <c r="F95" s="2854">
        <v>20</v>
      </c>
    </row>
    <row r="96" spans="1:6" ht="24">
      <c r="A96" s="2854">
        <v>24</v>
      </c>
      <c r="B96" s="3476"/>
      <c r="C96" s="2828" t="s">
        <v>2699</v>
      </c>
      <c r="D96" s="2828" t="s">
        <v>2700</v>
      </c>
      <c r="E96" s="2854">
        <v>0.1</v>
      </c>
      <c r="F96" s="2854">
        <v>15</v>
      </c>
    </row>
    <row r="97" spans="1:6" ht="24">
      <c r="A97" s="2854">
        <v>25</v>
      </c>
      <c r="B97" s="3476"/>
      <c r="C97" s="2828" t="s">
        <v>2701</v>
      </c>
      <c r="D97" s="2828" t="s">
        <v>2702</v>
      </c>
      <c r="E97" s="2854">
        <v>0.1</v>
      </c>
      <c r="F97" s="2854">
        <v>15</v>
      </c>
    </row>
    <row r="98" spans="1:6" ht="24">
      <c r="A98" s="2854">
        <v>26</v>
      </c>
      <c r="B98" s="3476"/>
      <c r="C98" s="2828" t="s">
        <v>2703</v>
      </c>
      <c r="D98" s="2828" t="s">
        <v>2704</v>
      </c>
      <c r="E98" s="2854">
        <v>0.1</v>
      </c>
      <c r="F98" s="2854">
        <v>15</v>
      </c>
    </row>
    <row r="99" spans="1:6" ht="24">
      <c r="A99" s="2854">
        <v>27</v>
      </c>
      <c r="B99" s="3476"/>
      <c r="C99" s="2828" t="s">
        <v>2705</v>
      </c>
      <c r="D99" s="2828" t="s">
        <v>2706</v>
      </c>
      <c r="E99" s="2854">
        <v>0.1</v>
      </c>
      <c r="F99" s="2854">
        <v>15</v>
      </c>
    </row>
    <row r="100" spans="1:6" ht="24">
      <c r="A100" s="2854">
        <v>28</v>
      </c>
      <c r="B100" s="3476"/>
      <c r="C100" s="2828" t="s">
        <v>2707</v>
      </c>
      <c r="D100" s="2828" t="s">
        <v>2708</v>
      </c>
      <c r="E100" s="2854">
        <v>0.1</v>
      </c>
      <c r="F100" s="2854">
        <v>15</v>
      </c>
    </row>
    <row r="101" spans="1:6" ht="24">
      <c r="A101" s="2854">
        <v>29</v>
      </c>
      <c r="B101" s="3476"/>
      <c r="C101" s="2828" t="s">
        <v>2709</v>
      </c>
      <c r="D101" s="2828" t="s">
        <v>2710</v>
      </c>
      <c r="E101" s="2854">
        <v>0.1</v>
      </c>
      <c r="F101" s="2854">
        <v>15</v>
      </c>
    </row>
    <row r="102" spans="1:6" ht="24">
      <c r="A102" s="2854">
        <v>30</v>
      </c>
      <c r="B102" s="3476"/>
      <c r="C102" s="2828" t="s">
        <v>2711</v>
      </c>
      <c r="D102" s="2828" t="s">
        <v>2712</v>
      </c>
      <c r="E102" s="2854">
        <v>0.1</v>
      </c>
      <c r="F102" s="2854">
        <v>15</v>
      </c>
    </row>
    <row r="103" spans="1:6" ht="24">
      <c r="A103" s="2854">
        <v>31</v>
      </c>
      <c r="B103" s="3476"/>
      <c r="C103" s="2828" t="s">
        <v>2713</v>
      </c>
      <c r="D103" s="2828" t="s">
        <v>2714</v>
      </c>
      <c r="E103" s="2854">
        <v>0.1</v>
      </c>
      <c r="F103" s="2854">
        <v>15</v>
      </c>
    </row>
    <row r="104" spans="1:6" ht="24">
      <c r="A104" s="2854">
        <v>32</v>
      </c>
      <c r="B104" s="3476"/>
      <c r="C104" s="2828" t="s">
        <v>2715</v>
      </c>
      <c r="D104" s="2828" t="s">
        <v>2716</v>
      </c>
      <c r="E104" s="2854">
        <v>0.1</v>
      </c>
      <c r="F104" s="2854">
        <v>15</v>
      </c>
    </row>
    <row r="105" spans="1:6" ht="24">
      <c r="A105" s="2854">
        <v>33</v>
      </c>
      <c r="B105" s="3476"/>
      <c r="C105" s="2828" t="s">
        <v>2717</v>
      </c>
      <c r="D105" s="2828" t="s">
        <v>2718</v>
      </c>
      <c r="E105" s="2854">
        <v>0.1</v>
      </c>
      <c r="F105" s="2854">
        <v>15</v>
      </c>
    </row>
    <row r="106" spans="1:6" ht="24">
      <c r="A106" s="2854">
        <v>34</v>
      </c>
      <c r="B106" s="3485"/>
      <c r="C106" s="2828" t="s">
        <v>2719</v>
      </c>
      <c r="D106" s="2828" t="s">
        <v>2720</v>
      </c>
      <c r="E106" s="2854">
        <v>0.1</v>
      </c>
      <c r="F106" s="2854">
        <v>15</v>
      </c>
    </row>
    <row r="107" spans="1:6" ht="36">
      <c r="A107" s="2854">
        <v>35</v>
      </c>
      <c r="B107" s="3481" t="s">
        <v>2721</v>
      </c>
      <c r="C107" s="2854" t="s">
        <v>2722</v>
      </c>
      <c r="D107" s="2828" t="s">
        <v>2723</v>
      </c>
      <c r="E107" s="2854">
        <v>0.15</v>
      </c>
      <c r="F107" s="2854">
        <v>20</v>
      </c>
    </row>
    <row r="108" spans="1:6" ht="24">
      <c r="A108" s="2854">
        <v>36</v>
      </c>
      <c r="B108" s="3476"/>
      <c r="C108" s="2854" t="s">
        <v>2724</v>
      </c>
      <c r="D108" s="2828" t="s">
        <v>2725</v>
      </c>
      <c r="E108" s="2854">
        <v>0.15</v>
      </c>
      <c r="F108" s="2854">
        <v>20</v>
      </c>
    </row>
    <row r="109" spans="1:6" ht="24">
      <c r="A109" s="2854">
        <v>37</v>
      </c>
      <c r="B109" s="3476"/>
      <c r="C109" s="2854" t="s">
        <v>2726</v>
      </c>
      <c r="D109" s="2828" t="s">
        <v>2727</v>
      </c>
      <c r="E109" s="2854">
        <v>0.15</v>
      </c>
      <c r="F109" s="2854">
        <v>20</v>
      </c>
    </row>
    <row r="110" spans="1:6" ht="24">
      <c r="A110" s="2854">
        <v>38</v>
      </c>
      <c r="B110" s="3476"/>
      <c r="C110" s="2854" t="s">
        <v>2728</v>
      </c>
      <c r="D110" s="2828" t="s">
        <v>2729</v>
      </c>
      <c r="E110" s="2854">
        <v>0.1</v>
      </c>
      <c r="F110" s="2854">
        <v>15</v>
      </c>
    </row>
    <row r="111" spans="1:6" ht="24">
      <c r="A111" s="2854">
        <v>39</v>
      </c>
      <c r="B111" s="3476"/>
      <c r="C111" s="2854" t="s">
        <v>2730</v>
      </c>
      <c r="D111" s="2828" t="s">
        <v>2731</v>
      </c>
      <c r="E111" s="2854">
        <v>0.1</v>
      </c>
      <c r="F111" s="2854">
        <v>15</v>
      </c>
    </row>
    <row r="112" spans="1:6" ht="24">
      <c r="A112" s="2854">
        <v>40</v>
      </c>
      <c r="B112" s="3485"/>
      <c r="C112" s="2854" t="s">
        <v>2732</v>
      </c>
      <c r="D112" s="2828" t="s">
        <v>2733</v>
      </c>
      <c r="E112" s="2854">
        <v>0.1</v>
      </c>
      <c r="F112" s="2854">
        <v>15</v>
      </c>
    </row>
    <row r="113" spans="1:6" ht="24">
      <c r="A113" s="2854">
        <v>41</v>
      </c>
      <c r="B113" s="3486" t="s">
        <v>2734</v>
      </c>
      <c r="C113" s="2854" t="s">
        <v>2735</v>
      </c>
      <c r="D113" s="2828" t="s">
        <v>2736</v>
      </c>
      <c r="E113" s="2854">
        <v>0.1</v>
      </c>
      <c r="F113" s="2854">
        <v>15</v>
      </c>
    </row>
    <row r="114" spans="1:6" ht="24">
      <c r="A114" s="2854">
        <v>42</v>
      </c>
      <c r="B114" s="3486"/>
      <c r="C114" s="2854" t="s">
        <v>2737</v>
      </c>
      <c r="D114" s="2828" t="s">
        <v>2738</v>
      </c>
      <c r="E114" s="2854">
        <v>0.1</v>
      </c>
      <c r="F114" s="2854">
        <v>15</v>
      </c>
    </row>
    <row r="115" spans="1:6" ht="24">
      <c r="A115" s="2854">
        <v>43</v>
      </c>
      <c r="B115" s="3486"/>
      <c r="C115" s="2854" t="s">
        <v>2739</v>
      </c>
      <c r="D115" s="2828" t="s">
        <v>2740</v>
      </c>
      <c r="E115" s="2854">
        <v>0.1</v>
      </c>
      <c r="F115" s="2854">
        <v>15</v>
      </c>
    </row>
    <row r="116" spans="1:6" ht="24">
      <c r="A116" s="2854">
        <v>44</v>
      </c>
      <c r="B116" s="3481" t="s">
        <v>2741</v>
      </c>
      <c r="C116" s="2854" t="s">
        <v>2742</v>
      </c>
      <c r="D116" s="2828" t="s">
        <v>2743</v>
      </c>
      <c r="E116" s="2854">
        <v>0.1</v>
      </c>
      <c r="F116" s="2854">
        <v>15</v>
      </c>
    </row>
    <row r="117" spans="1:6" ht="24">
      <c r="A117" s="2854">
        <v>45</v>
      </c>
      <c r="B117" s="3485"/>
      <c r="C117" s="2828" t="s">
        <v>2744</v>
      </c>
      <c r="D117" s="2828" t="s">
        <v>2745</v>
      </c>
      <c r="E117" s="2854">
        <v>0.1</v>
      </c>
      <c r="F117" s="2854">
        <v>15</v>
      </c>
    </row>
    <row r="118" spans="1:6" ht="24">
      <c r="A118" s="2854">
        <v>46</v>
      </c>
      <c r="B118" s="3481" t="s">
        <v>2746</v>
      </c>
      <c r="C118" s="2854" t="s">
        <v>2747</v>
      </c>
      <c r="D118" s="2828" t="s">
        <v>2748</v>
      </c>
      <c r="E118" s="2854">
        <v>0.1</v>
      </c>
      <c r="F118" s="2854">
        <v>15</v>
      </c>
    </row>
    <row r="119" spans="1:6" ht="24">
      <c r="A119" s="2854">
        <v>47</v>
      </c>
      <c r="B119" s="3485"/>
      <c r="C119" s="2854" t="s">
        <v>2749</v>
      </c>
      <c r="D119" s="2828" t="s">
        <v>2750</v>
      </c>
      <c r="E119" s="2854">
        <v>0.1</v>
      </c>
      <c r="F119" s="2854">
        <v>15</v>
      </c>
    </row>
    <row r="120" spans="1:6" ht="24">
      <c r="A120" s="2854">
        <v>48</v>
      </c>
      <c r="B120" s="3481" t="s">
        <v>2751</v>
      </c>
      <c r="C120" s="2854" t="s">
        <v>2752</v>
      </c>
      <c r="D120" s="2828" t="s">
        <v>2753</v>
      </c>
      <c r="E120" s="2854">
        <v>0.1</v>
      </c>
      <c r="F120" s="2854">
        <v>15</v>
      </c>
    </row>
    <row r="121" spans="1:6" ht="24">
      <c r="A121" s="2854">
        <v>49</v>
      </c>
      <c r="B121" s="3485"/>
      <c r="C121" s="2854" t="s">
        <v>2754</v>
      </c>
      <c r="D121" s="2828" t="s">
        <v>2755</v>
      </c>
      <c r="E121" s="2854">
        <v>0.1</v>
      </c>
      <c r="F121" s="2854">
        <v>15</v>
      </c>
    </row>
    <row r="122" spans="1:6" ht="24">
      <c r="A122" s="2854">
        <v>50</v>
      </c>
      <c r="B122" s="3486" t="s">
        <v>2756</v>
      </c>
      <c r="C122" s="2854" t="s">
        <v>2757</v>
      </c>
      <c r="D122" s="2828" t="s">
        <v>2758</v>
      </c>
      <c r="E122" s="2854">
        <v>0.1</v>
      </c>
      <c r="F122" s="2854">
        <v>15</v>
      </c>
    </row>
    <row r="123" spans="1:6" ht="24">
      <c r="A123" s="2854">
        <v>51</v>
      </c>
      <c r="B123" s="3486"/>
      <c r="C123" s="2854" t="s">
        <v>2759</v>
      </c>
      <c r="D123" s="2828" t="s">
        <v>2760</v>
      </c>
      <c r="E123" s="2854">
        <v>0.1</v>
      </c>
      <c r="F123" s="2854">
        <v>15</v>
      </c>
    </row>
    <row r="124" spans="1:6" ht="24">
      <c r="A124" s="2854">
        <v>52</v>
      </c>
      <c r="B124" s="3486" t="s">
        <v>2761</v>
      </c>
      <c r="C124" s="2854" t="s">
        <v>2762</v>
      </c>
      <c r="D124" s="2828" t="s">
        <v>2763</v>
      </c>
      <c r="E124" s="2854">
        <v>0.1</v>
      </c>
      <c r="F124" s="2854">
        <v>15</v>
      </c>
    </row>
    <row r="125" spans="1:6" ht="24">
      <c r="A125" s="2854">
        <v>53</v>
      </c>
      <c r="B125" s="3486"/>
      <c r="C125" s="2854" t="s">
        <v>2764</v>
      </c>
      <c r="D125" s="2828" t="s">
        <v>2765</v>
      </c>
      <c r="E125" s="2854">
        <v>0.1</v>
      </c>
      <c r="F125" s="2854">
        <v>15</v>
      </c>
    </row>
    <row r="126" spans="1:6" ht="24">
      <c r="A126" s="2854">
        <v>54</v>
      </c>
      <c r="B126" s="2854" t="s">
        <v>2766</v>
      </c>
      <c r="C126" s="2854" t="s">
        <v>2767</v>
      </c>
      <c r="D126" s="2828" t="s">
        <v>2768</v>
      </c>
      <c r="E126" s="2854">
        <v>0.1</v>
      </c>
      <c r="F126" s="2854">
        <v>15</v>
      </c>
    </row>
    <row r="127" spans="1:6" ht="24">
      <c r="A127" s="2854">
        <v>55</v>
      </c>
      <c r="B127" s="3486" t="s">
        <v>2769</v>
      </c>
      <c r="C127" s="2854" t="s">
        <v>2770</v>
      </c>
      <c r="D127" s="2828" t="s">
        <v>2771</v>
      </c>
      <c r="E127" s="2854">
        <v>0.1</v>
      </c>
      <c r="F127" s="2854">
        <v>15</v>
      </c>
    </row>
    <row r="128" spans="1:6" ht="24">
      <c r="A128" s="2854">
        <v>56</v>
      </c>
      <c r="B128" s="3486"/>
      <c r="C128" s="2854" t="s">
        <v>2772</v>
      </c>
      <c r="D128" s="2828" t="s">
        <v>2773</v>
      </c>
      <c r="E128" s="2854">
        <v>0.1</v>
      </c>
      <c r="F128" s="2854">
        <v>15</v>
      </c>
    </row>
    <row r="129" spans="1:6" ht="24">
      <c r="A129" s="2854">
        <v>57</v>
      </c>
      <c r="B129" s="3486"/>
      <c r="C129" s="2854" t="s">
        <v>2774</v>
      </c>
      <c r="D129" s="2828" t="s">
        <v>2775</v>
      </c>
      <c r="E129" s="2854">
        <v>0.1</v>
      </c>
      <c r="F129" s="2854">
        <v>15</v>
      </c>
    </row>
    <row r="130" spans="1:6" ht="24">
      <c r="A130" s="2854">
        <v>58</v>
      </c>
      <c r="B130" s="3486" t="s">
        <v>2776</v>
      </c>
      <c r="C130" s="2854" t="s">
        <v>2777</v>
      </c>
      <c r="D130" s="2828" t="s">
        <v>2778</v>
      </c>
      <c r="E130" s="2854">
        <v>0.1</v>
      </c>
      <c r="F130" s="2854">
        <v>15</v>
      </c>
    </row>
    <row r="131" spans="1:6" ht="24">
      <c r="A131" s="2854">
        <v>59</v>
      </c>
      <c r="B131" s="3486"/>
      <c r="C131" s="2854" t="s">
        <v>2779</v>
      </c>
      <c r="D131" s="2828" t="s">
        <v>2780</v>
      </c>
      <c r="E131" s="2854">
        <v>0.1</v>
      </c>
      <c r="F131" s="2854">
        <v>15</v>
      </c>
    </row>
    <row r="132" spans="1:6" ht="24">
      <c r="A132" s="2854">
        <v>60</v>
      </c>
      <c r="B132" s="3481" t="s">
        <v>2781</v>
      </c>
      <c r="C132" s="2854" t="s">
        <v>2782</v>
      </c>
      <c r="D132" s="2828" t="s">
        <v>2783</v>
      </c>
      <c r="E132" s="2854">
        <v>0.1</v>
      </c>
      <c r="F132" s="2854">
        <v>15</v>
      </c>
    </row>
    <row r="133" spans="1:6" ht="24">
      <c r="A133" s="2854">
        <v>61</v>
      </c>
      <c r="B133" s="3485"/>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24">
      <c r="A135" s="2854">
        <v>63</v>
      </c>
      <c r="B135" s="3486" t="s">
        <v>2789</v>
      </c>
      <c r="C135" s="2854" t="s">
        <v>2790</v>
      </c>
      <c r="D135" s="2828" t="s">
        <v>2791</v>
      </c>
      <c r="E135" s="2854">
        <v>0.1</v>
      </c>
      <c r="F135" s="2854">
        <v>15</v>
      </c>
    </row>
    <row r="136" spans="1:6" ht="24">
      <c r="A136" s="2854">
        <v>64</v>
      </c>
      <c r="B136" s="3486"/>
      <c r="C136" s="2854" t="s">
        <v>2792</v>
      </c>
      <c r="D136" s="2828" t="s">
        <v>2793</v>
      </c>
      <c r="E136" s="2854">
        <v>0.1</v>
      </c>
      <c r="F136" s="2854">
        <v>15</v>
      </c>
    </row>
    <row r="137" spans="1:6" ht="24">
      <c r="A137" s="2854">
        <v>65</v>
      </c>
      <c r="B137" s="2854" t="s">
        <v>2794</v>
      </c>
      <c r="C137" s="2854" t="s">
        <v>2795</v>
      </c>
      <c r="D137" s="2828" t="s">
        <v>2796</v>
      </c>
      <c r="E137" s="2854">
        <v>0.1</v>
      </c>
      <c r="F137" s="2854">
        <v>15</v>
      </c>
    </row>
    <row r="138" spans="1:6" ht="14.4">
      <c r="A138" s="2854"/>
      <c r="B138" s="2854"/>
      <c r="C138" s="2854"/>
      <c r="D138" s="2854"/>
      <c r="E138" s="2854" t="s">
        <v>2797</v>
      </c>
      <c r="F138" s="285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v>
      </c>
      <c r="B3" s="3175"/>
      <c r="C3" s="3175"/>
      <c r="D3" s="3175"/>
      <c r="E3" s="3175"/>
    </row>
    <row r="4" spans="1:5" ht="18" thickBot="1">
      <c r="A4" s="1391"/>
      <c r="B4" s="3173" t="s">
        <v>917</v>
      </c>
      <c r="C4" s="3173"/>
      <c r="D4" s="3173"/>
      <c r="E4" s="1391"/>
    </row>
    <row r="5" spans="1:5" ht="16.2" thickTop="1">
      <c r="B5" s="3171" t="s">
        <v>909</v>
      </c>
      <c r="C5" s="1392" t="s">
        <v>910</v>
      </c>
      <c r="D5" s="797">
        <f ca="1">结果表!H101</f>
        <v>2752.6619000000001</v>
      </c>
    </row>
    <row r="6" spans="1:5" ht="31.2">
      <c r="B6" s="3171"/>
      <c r="C6" s="1392" t="s">
        <v>911</v>
      </c>
      <c r="D6" s="797" t="str">
        <f ca="1">NUMBERSTRING(INT(D5*10000),2)&amp;"元整"</f>
        <v>贰仟柒佰伍拾贰万陆仟陆佰壹拾玖元整</v>
      </c>
    </row>
    <row r="7" spans="1:5" ht="15.6">
      <c r="B7" s="3176"/>
      <c r="C7" s="1393" t="s">
        <v>912</v>
      </c>
      <c r="D7" s="798">
        <f ca="1">结果表!H102</f>
        <v>36266</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f ca="1">结果表!H107</f>
        <v>2752.6619000000001</v>
      </c>
    </row>
    <row r="14" spans="1:5" ht="31.2">
      <c r="B14" s="3171"/>
      <c r="C14" s="1392" t="s">
        <v>911</v>
      </c>
      <c r="D14" s="797" t="str">
        <f ca="1">NUMBERSTRING(INT(D13*10000),2)&amp;"元整"</f>
        <v>贰仟柒佰伍拾贰万陆仟陆佰壹拾玖元整</v>
      </c>
    </row>
    <row r="15" spans="1:5" ht="15.6">
      <c r="B15" s="3176"/>
      <c r="C15" s="1393" t="s">
        <v>921</v>
      </c>
      <c r="D15" s="806">
        <f ca="1">结果表!H108</f>
        <v>36266</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2798</v>
      </c>
      <c r="B1" s="2862"/>
      <c r="C1" s="2862"/>
      <c r="D1" s="2862"/>
      <c r="E1" s="2862"/>
      <c r="F1" s="2862"/>
      <c r="G1" s="2862"/>
      <c r="H1" s="2862"/>
      <c r="I1" s="2862"/>
      <c r="J1" s="2862"/>
      <c r="K1" s="2862"/>
      <c r="L1" s="2862"/>
      <c r="M1" s="2862"/>
      <c r="N1" s="707"/>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1</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0.94710000000000005</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28359</v>
      </c>
      <c r="C2" s="2" t="s">
        <v>106</v>
      </c>
      <c r="D2" s="191"/>
      <c r="E2" s="191"/>
      <c r="F2" s="191"/>
      <c r="G2" s="191"/>
    </row>
    <row r="3" spans="1:7" s="192" customFormat="1" ht="18" customHeight="1" thickBot="1">
      <c r="A3" s="195" t="s">
        <v>58</v>
      </c>
      <c r="B3" s="196">
        <f ca="1">ROUND(B2*10000/'数据-汇总表'!E3,0)</f>
        <v>373627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759.02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759.02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27990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342</v>
      </c>
      <c r="D34" s="209"/>
      <c r="E34" s="212"/>
      <c r="F34" s="249">
        <f>IF('数据-取费表'!B24=0,1,'数据-取费表'!N16)</f>
        <v>1</v>
      </c>
      <c r="G34" s="211" t="s">
        <v>89</v>
      </c>
    </row>
    <row r="35" spans="1:7" ht="13.5" customHeight="1">
      <c r="A35" s="734" t="s">
        <v>351</v>
      </c>
      <c r="B35" s="207" t="s">
        <v>33</v>
      </c>
      <c r="C35" s="212">
        <f>ROUND(C34*F35,0)</f>
        <v>24</v>
      </c>
      <c r="D35" s="212"/>
      <c r="E35" s="212"/>
      <c r="F35" s="251">
        <f>'数据-取费表'!B33</f>
        <v>7.0000000000000007E-2</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759.02</v>
      </c>
      <c r="E37" s="241">
        <f>'数据-取费表'!B35</f>
        <v>200</v>
      </c>
      <c r="F37" s="251"/>
      <c r="G37" s="253" t="s">
        <v>92</v>
      </c>
    </row>
    <row r="38" spans="1:7" ht="13.5" customHeight="1">
      <c r="A38" s="734" t="s">
        <v>354</v>
      </c>
      <c r="B38" s="207" t="s">
        <v>36</v>
      </c>
      <c r="C38" s="212">
        <f>ROUND(C34*F38,0)</f>
        <v>7</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59</v>
      </c>
      <c r="D45" s="227">
        <f>C47</f>
        <v>4.4999999999999997E-3</v>
      </c>
      <c r="E45" s="228" t="s">
        <v>102</v>
      </c>
      <c r="F45" s="238"/>
      <c r="G45" s="239" t="s">
        <v>434</v>
      </c>
    </row>
    <row r="46" spans="1:7" s="206" customFormat="1" ht="13.5" customHeight="1">
      <c r="A46" s="734" t="s">
        <v>349</v>
      </c>
      <c r="B46" s="240" t="s">
        <v>427</v>
      </c>
      <c r="C46" s="241">
        <f>ROUND((C33+C39)*F27,0)</f>
        <v>59</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512</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369</v>
      </c>
      <c r="D51" s="224"/>
      <c r="E51" s="224"/>
      <c r="F51" s="256"/>
      <c r="G51" s="226" t="s">
        <v>37</v>
      </c>
    </row>
    <row r="52" spans="1:7" s="200" customFormat="1" ht="16.8" thickBot="1">
      <c r="A52" s="257" t="s">
        <v>38</v>
      </c>
      <c r="B52" s="258"/>
      <c r="C52" s="259">
        <f ca="1">C31+C51</f>
        <v>28359</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89" t="s">
        <v>2839</v>
      </c>
      <c r="B1" s="3489"/>
      <c r="C1" s="3489"/>
      <c r="D1" s="3489"/>
      <c r="E1" s="3489"/>
      <c r="F1" s="3489"/>
      <c r="G1" s="3490"/>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1.4"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487"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1.4" thickBot="1">
      <c r="A4" s="3488"/>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1.4"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1.4"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1.4"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1.4"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1" t="s">
        <v>3181</v>
      </c>
      <c r="B1" s="3491"/>
    </row>
    <row r="2" spans="1:7" ht="15" thickBot="1">
      <c r="A2" s="2965"/>
      <c r="B2" s="2965"/>
    </row>
    <row r="3" spans="1:7" ht="15" thickBot="1">
      <c r="A3" s="2965"/>
      <c r="B3" s="2965"/>
      <c r="C3" s="2966" t="s">
        <v>2811</v>
      </c>
      <c r="D3" s="2966" t="s">
        <v>2867</v>
      </c>
      <c r="E3" s="2966" t="s">
        <v>2813</v>
      </c>
      <c r="F3" s="2966" t="s">
        <v>2868</v>
      </c>
      <c r="G3" s="2966" t="s">
        <v>2631</v>
      </c>
    </row>
    <row r="4" spans="1:7" ht="1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92" t="s">
        <v>3232</v>
      </c>
      <c r="B1" s="3492"/>
      <c r="C1" s="3492"/>
      <c r="D1" s="3492"/>
      <c r="E1" s="3492"/>
      <c r="F1" s="3493"/>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4">
        <f>基准地价修正!G23</f>
        <v>45694</v>
      </c>
      <c r="B1" s="2926" t="s">
        <v>3380</v>
      </c>
      <c r="C1" s="2927"/>
      <c r="D1" s="2927"/>
      <c r="E1" s="2927"/>
      <c r="F1" s="2927"/>
      <c r="G1" s="2927"/>
      <c r="H1" s="2927"/>
      <c r="I1" s="2927"/>
      <c r="J1" s="2893"/>
      <c r="K1" s="2927" t="s">
        <v>454</v>
      </c>
      <c r="L1" s="2927"/>
      <c r="M1" s="2927"/>
      <c r="N1" s="2927"/>
      <c r="O1" s="2927"/>
      <c r="P1" s="2927"/>
      <c r="Q1" s="2893"/>
      <c r="R1" s="3494" t="s">
        <v>456</v>
      </c>
      <c r="S1" s="3495"/>
      <c r="T1" s="3495"/>
      <c r="U1" s="3495"/>
      <c r="V1" s="3495"/>
      <c r="W1" s="3495"/>
      <c r="X1" s="2893"/>
      <c r="Y1" s="3494" t="s">
        <v>457</v>
      </c>
      <c r="Z1" s="3495"/>
      <c r="AA1" s="3495"/>
      <c r="AB1" s="3495"/>
      <c r="AC1" s="3495"/>
      <c r="AD1" s="3495"/>
    </row>
    <row r="2" spans="1:30" s="2008" customFormat="1" ht="15" thickBot="1">
      <c r="B2" s="2878"/>
      <c r="C2" s="2879"/>
      <c r="D2" s="2009" t="s">
        <v>2810</v>
      </c>
      <c r="E2" s="2010" t="s">
        <v>2811</v>
      </c>
      <c r="F2" s="2010" t="s">
        <v>2812</v>
      </c>
      <c r="G2" s="2010" t="s">
        <v>2813</v>
      </c>
      <c r="H2" s="2010" t="s">
        <v>2814</v>
      </c>
      <c r="I2" s="2010" t="s">
        <v>2631</v>
      </c>
      <c r="J2" s="2880"/>
      <c r="K2" s="2009" t="s">
        <v>2810</v>
      </c>
      <c r="L2" s="2010" t="s">
        <v>2811</v>
      </c>
      <c r="M2" s="2010" t="s">
        <v>2812</v>
      </c>
      <c r="N2" s="2010" t="s">
        <v>2813</v>
      </c>
      <c r="O2" s="2010" t="s">
        <v>2815</v>
      </c>
      <c r="P2" s="2010" t="s">
        <v>2631</v>
      </c>
      <c r="Q2" s="2880"/>
      <c r="R2" s="2009" t="s">
        <v>2810</v>
      </c>
      <c r="S2" s="2010" t="s">
        <v>2811</v>
      </c>
      <c r="T2" s="2010" t="s">
        <v>2812</v>
      </c>
      <c r="U2" s="2010" t="s">
        <v>2816</v>
      </c>
      <c r="V2" s="2010" t="s">
        <v>2817</v>
      </c>
      <c r="W2" s="2010" t="s">
        <v>2631</v>
      </c>
      <c r="X2" s="2880"/>
      <c r="Y2" s="2009" t="s">
        <v>2810</v>
      </c>
      <c r="Z2" s="2010" t="s">
        <v>2811</v>
      </c>
      <c r="AA2" s="2010" t="s">
        <v>2812</v>
      </c>
      <c r="AB2" s="2010" t="s">
        <v>2818</v>
      </c>
      <c r="AC2" s="2010" t="s">
        <v>2817</v>
      </c>
      <c r="AD2" s="2010" t="s">
        <v>2631</v>
      </c>
    </row>
    <row r="3" spans="1:30" s="2883" customFormat="1" ht="13.2">
      <c r="A3" s="2881" t="s">
        <v>2819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7" customFormat="1" ht="13.2">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3.2">
      <c r="A5" s="2038" t="s">
        <v>3376</v>
      </c>
      <c r="B5" s="2029">
        <v>2025</v>
      </c>
      <c r="C5" s="2040">
        <v>1</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M5</f>
        <v>0</v>
      </c>
      <c r="Q5" s="2903"/>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3"/>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3" customFormat="1" ht="13.2">
      <c r="A6" s="2904" t="s">
        <v>3385</v>
      </c>
      <c r="B6" s="2905">
        <v>2024</v>
      </c>
      <c r="C6" s="2906">
        <v>4</v>
      </c>
      <c r="D6" s="2907">
        <v>-1.02</v>
      </c>
      <c r="E6" s="2907">
        <v>-0.48</v>
      </c>
      <c r="F6" s="2907">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3" customFormat="1" ht="13.2">
      <c r="A7" s="2038" t="s">
        <v>3384</v>
      </c>
      <c r="B7" s="2029">
        <v>2024</v>
      </c>
      <c r="C7" s="2040">
        <v>3</v>
      </c>
      <c r="D7" s="2005">
        <v>-1.19</v>
      </c>
      <c r="E7" s="2005">
        <v>-0.47</v>
      </c>
      <c r="F7" s="2005">
        <v>-0.28999999999999998</v>
      </c>
      <c r="G7" s="2005">
        <v>-0.74</v>
      </c>
      <c r="H7" s="2005">
        <v>-0.21</v>
      </c>
      <c r="I7" s="2006">
        <f t="shared" ref="I7" si="26">F7</f>
        <v>-0.28999999999999998</v>
      </c>
      <c r="J7" s="2903"/>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3"/>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3"/>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2" t="s">
        <v>3377</v>
      </c>
      <c r="B8" s="2029">
        <v>2024</v>
      </c>
      <c r="C8" s="2040">
        <v>2</v>
      </c>
      <c r="D8" s="2005">
        <v>-0.59</v>
      </c>
      <c r="E8" s="2005">
        <v>-0.21</v>
      </c>
      <c r="F8" s="2005">
        <v>-1.38</v>
      </c>
      <c r="G8" s="2005">
        <v>-1.24</v>
      </c>
      <c r="H8" s="2914">
        <v>0.34</v>
      </c>
      <c r="I8" s="2006">
        <f t="shared" ref="I8:I21" si="37">F8</f>
        <v>-1.38</v>
      </c>
      <c r="J8" s="2903"/>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3"/>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3"/>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2" t="s">
        <v>3375</v>
      </c>
      <c r="B9" s="2029">
        <v>2024</v>
      </c>
      <c r="C9" s="2040">
        <v>1</v>
      </c>
      <c r="D9" s="2005">
        <v>0.08</v>
      </c>
      <c r="E9" s="2005">
        <v>0.46</v>
      </c>
      <c r="F9" s="2005">
        <v>-0.16</v>
      </c>
      <c r="G9" s="2005">
        <v>0.26</v>
      </c>
      <c r="H9" s="2914">
        <v>0.59</v>
      </c>
      <c r="I9" s="2006">
        <v>0</v>
      </c>
      <c r="J9" s="2903"/>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3"/>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3"/>
      <c r="Y9" s="2026"/>
      <c r="Z9" s="2026"/>
      <c r="AA9" s="2026"/>
      <c r="AB9" s="2026"/>
      <c r="AC9" s="2026"/>
      <c r="AD9" s="2026"/>
    </row>
    <row r="10" spans="1:30" s="2043" customFormat="1" ht="13.2">
      <c r="A10" s="2902" t="s">
        <v>3371</v>
      </c>
      <c r="B10" s="2029">
        <v>2023</v>
      </c>
      <c r="C10" s="2040">
        <v>4</v>
      </c>
      <c r="D10" s="2005">
        <v>0.19</v>
      </c>
      <c r="E10" s="2005">
        <v>0.24</v>
      </c>
      <c r="F10" s="2005">
        <v>-0.16</v>
      </c>
      <c r="G10" s="2005">
        <v>0.17</v>
      </c>
      <c r="H10" s="2914">
        <v>0.61</v>
      </c>
      <c r="I10" s="2006">
        <f>F10</f>
        <v>-0.16</v>
      </c>
      <c r="J10" s="2903"/>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3"/>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3"/>
      <c r="Y10" s="2026"/>
      <c r="Z10" s="2026"/>
      <c r="AA10" s="2026"/>
      <c r="AB10" s="2026"/>
      <c r="AC10" s="2026"/>
      <c r="AD10" s="2026"/>
    </row>
    <row r="11" spans="1:30" s="2043" customFormat="1" ht="13.2">
      <c r="A11" s="2902" t="s">
        <v>3370</v>
      </c>
      <c r="B11" s="2029">
        <v>2023</v>
      </c>
      <c r="C11" s="2040">
        <v>3</v>
      </c>
      <c r="D11" s="2005">
        <v>0.25</v>
      </c>
      <c r="E11" s="2005">
        <v>0.5</v>
      </c>
      <c r="F11" s="2005">
        <v>0.31</v>
      </c>
      <c r="G11" s="2005">
        <v>0.21</v>
      </c>
      <c r="H11" s="2914">
        <v>0.43</v>
      </c>
      <c r="I11" s="2006">
        <f t="shared" si="37"/>
        <v>0.31</v>
      </c>
      <c r="J11" s="2903"/>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3"/>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3"/>
      <c r="Y11" s="2026"/>
      <c r="Z11" s="2026"/>
      <c r="AA11" s="2026"/>
      <c r="AB11" s="2026"/>
      <c r="AC11" s="2026"/>
      <c r="AD11" s="2026"/>
    </row>
    <row r="12" spans="1:30" s="2043" customFormat="1" ht="13.2">
      <c r="A12" s="2902" t="s">
        <v>3368</v>
      </c>
      <c r="B12" s="2029">
        <v>2023</v>
      </c>
      <c r="C12" s="2040">
        <v>2</v>
      </c>
      <c r="D12" s="2005">
        <v>0.91</v>
      </c>
      <c r="E12" s="2005">
        <v>0.66</v>
      </c>
      <c r="F12" s="2005">
        <v>0.47</v>
      </c>
      <c r="G12" s="2005">
        <v>0.96</v>
      </c>
      <c r="H12" s="2914">
        <v>0.71</v>
      </c>
      <c r="I12" s="2006">
        <f t="shared" si="37"/>
        <v>0.47</v>
      </c>
      <c r="J12" s="2903"/>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3"/>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3"/>
      <c r="Y12" s="2026"/>
      <c r="Z12" s="2026"/>
      <c r="AA12" s="2026"/>
      <c r="AB12" s="2026"/>
      <c r="AC12" s="2026"/>
      <c r="AD12" s="2026"/>
    </row>
    <row r="13" spans="1:30" s="2043" customFormat="1" ht="13.2">
      <c r="A13" s="2902" t="s">
        <v>3367</v>
      </c>
      <c r="B13" s="2029">
        <v>2023</v>
      </c>
      <c r="C13" s="2040">
        <v>1</v>
      </c>
      <c r="D13" s="2005">
        <v>0.89</v>
      </c>
      <c r="E13" s="2005">
        <v>0.74</v>
      </c>
      <c r="F13" s="2005">
        <v>0.56999999999999995</v>
      </c>
      <c r="G13" s="2005">
        <v>0.92</v>
      </c>
      <c r="H13" s="2914">
        <v>0.5</v>
      </c>
      <c r="I13" s="2006">
        <f t="shared" si="37"/>
        <v>0.56999999999999995</v>
      </c>
      <c r="J13" s="2903"/>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3"/>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3"/>
      <c r="Y13" s="2026"/>
      <c r="Z13" s="2026"/>
      <c r="AA13" s="2026"/>
      <c r="AB13" s="2026"/>
      <c r="AC13" s="2026"/>
      <c r="AD13" s="2026"/>
    </row>
    <row r="14" spans="1:30" s="2043" customFormat="1" ht="13.2">
      <c r="A14" s="2902" t="s">
        <v>3366</v>
      </c>
      <c r="B14" s="2029">
        <v>2022</v>
      </c>
      <c r="C14" s="2040">
        <v>4</v>
      </c>
      <c r="D14" s="2005">
        <v>0.62</v>
      </c>
      <c r="E14" s="2005">
        <v>0.2</v>
      </c>
      <c r="F14" s="2005">
        <v>0.11</v>
      </c>
      <c r="G14" s="2005">
        <v>0.69</v>
      </c>
      <c r="H14" s="2914">
        <v>0.53</v>
      </c>
      <c r="I14" s="2006">
        <f t="shared" si="37"/>
        <v>0.11</v>
      </c>
      <c r="J14" s="2903"/>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3"/>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3"/>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2" t="s">
        <v>3364</v>
      </c>
      <c r="B15" s="2029">
        <v>2022</v>
      </c>
      <c r="C15" s="2040">
        <v>3</v>
      </c>
      <c r="D15" s="2005">
        <v>0.66</v>
      </c>
      <c r="E15" s="2005">
        <v>0.32</v>
      </c>
      <c r="F15" s="2005">
        <v>0.23</v>
      </c>
      <c r="G15" s="2005">
        <v>0.72</v>
      </c>
      <c r="H15" s="2914">
        <v>0.63</v>
      </c>
      <c r="I15" s="2006">
        <f t="shared" si="37"/>
        <v>0.23</v>
      </c>
      <c r="J15" s="2903"/>
      <c r="K15" s="2041">
        <f t="shared" si="38"/>
        <v>6.6E-3</v>
      </c>
      <c r="L15" s="2026">
        <f t="shared" si="38"/>
        <v>3.2000000000000002E-3</v>
      </c>
      <c r="M15" s="2026">
        <f t="shared" si="38"/>
        <v>2.3E-3</v>
      </c>
      <c r="N15" s="2026">
        <f t="shared" si="38"/>
        <v>7.1999999999999998E-3</v>
      </c>
      <c r="O15" s="2026">
        <f t="shared" si="38"/>
        <v>6.3E-3</v>
      </c>
      <c r="P15" s="2026">
        <f t="shared" si="58"/>
        <v>2.3E-3</v>
      </c>
      <c r="Q15" s="2903"/>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3"/>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2" t="s">
        <v>3355</v>
      </c>
      <c r="B16" s="2029">
        <v>2022</v>
      </c>
      <c r="C16" s="2040">
        <v>2</v>
      </c>
      <c r="D16" s="2005">
        <v>0.93</v>
      </c>
      <c r="E16" s="2005">
        <v>0.15</v>
      </c>
      <c r="F16" s="2005">
        <v>0.01</v>
      </c>
      <c r="G16" s="2005">
        <v>1.05</v>
      </c>
      <c r="H16" s="2914">
        <v>1.08</v>
      </c>
      <c r="I16" s="2006">
        <f t="shared" si="37"/>
        <v>0.01</v>
      </c>
      <c r="J16" s="2903"/>
      <c r="K16" s="2041">
        <f t="shared" si="38"/>
        <v>9.300000000000001E-3</v>
      </c>
      <c r="L16" s="2026">
        <f t="shared" si="38"/>
        <v>1.5E-3</v>
      </c>
      <c r="M16" s="2026">
        <f t="shared" si="38"/>
        <v>1E-4</v>
      </c>
      <c r="N16" s="2026">
        <f t="shared" si="38"/>
        <v>1.0500000000000001E-2</v>
      </c>
      <c r="O16" s="2026">
        <f t="shared" si="38"/>
        <v>1.0800000000000001E-2</v>
      </c>
      <c r="P16" s="2026">
        <f t="shared" si="58"/>
        <v>1E-4</v>
      </c>
      <c r="Q16" s="2903"/>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3"/>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2" t="s">
        <v>2820</v>
      </c>
      <c r="B17" s="2029">
        <v>2022</v>
      </c>
      <c r="C17" s="2040">
        <v>1</v>
      </c>
      <c r="D17" s="2005">
        <v>0.89</v>
      </c>
      <c r="E17" s="2005">
        <v>0.44</v>
      </c>
      <c r="F17" s="2005">
        <v>0.37</v>
      </c>
      <c r="G17" s="2005">
        <v>0.96</v>
      </c>
      <c r="H17" s="2914">
        <v>0.64</v>
      </c>
      <c r="I17" s="2006">
        <f t="shared" si="37"/>
        <v>0.37</v>
      </c>
      <c r="J17" s="2903"/>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3"/>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3"/>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2" t="s">
        <v>2821</v>
      </c>
      <c r="B18" s="2029">
        <v>2021</v>
      </c>
      <c r="C18" s="2040">
        <v>4</v>
      </c>
      <c r="D18" s="2005">
        <v>1.03</v>
      </c>
      <c r="E18" s="2005">
        <v>0.24</v>
      </c>
      <c r="F18" s="2005">
        <v>7.0000000000000007E-2</v>
      </c>
      <c r="G18" s="2005">
        <v>1.17</v>
      </c>
      <c r="H18" s="2914">
        <v>0.55000000000000004</v>
      </c>
      <c r="I18" s="2006">
        <f t="shared" si="37"/>
        <v>7.0000000000000007E-2</v>
      </c>
      <c r="J18" s="2903"/>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3"/>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3"/>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2" t="s">
        <v>2822</v>
      </c>
      <c r="B19" s="2029">
        <v>2021</v>
      </c>
      <c r="C19" s="2040">
        <v>3</v>
      </c>
      <c r="D19" s="2005">
        <v>0.47</v>
      </c>
      <c r="E19" s="2005">
        <v>0.41</v>
      </c>
      <c r="F19" s="2005">
        <v>0.24</v>
      </c>
      <c r="G19" s="2005">
        <v>0.48</v>
      </c>
      <c r="H19" s="2914">
        <v>0.48</v>
      </c>
      <c r="I19" s="2006">
        <f t="shared" si="37"/>
        <v>0.24</v>
      </c>
      <c r="J19" s="2903"/>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3"/>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3"/>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2" t="s">
        <v>2823</v>
      </c>
      <c r="B20" s="2029">
        <v>2021</v>
      </c>
      <c r="C20" s="2040">
        <v>2</v>
      </c>
      <c r="D20" s="2005">
        <v>0.92</v>
      </c>
      <c r="E20" s="2005">
        <v>0.72</v>
      </c>
      <c r="F20" s="2005">
        <v>0.41</v>
      </c>
      <c r="G20" s="2005">
        <v>0.95</v>
      </c>
      <c r="H20" s="2914">
        <v>1.01</v>
      </c>
      <c r="I20" s="2006">
        <f t="shared" si="37"/>
        <v>0.41</v>
      </c>
      <c r="J20" s="2903"/>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3"/>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3"/>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5" customFormat="1" ht="13.8" thickBot="1">
      <c r="A21" s="2915" t="s">
        <v>2824</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3383</v>
      </c>
    </row>
    <row r="24" spans="1:30">
      <c r="I24" s="1405" t="s">
        <v>2825</v>
      </c>
    </row>
    <row r="26" spans="1:30" s="2007" customFormat="1" ht="13.2">
      <c r="B26" s="2926" t="s">
        <v>3381</v>
      </c>
      <c r="C26" s="2927"/>
      <c r="D26" s="2927"/>
      <c r="E26" s="2927"/>
      <c r="F26" s="2927"/>
      <c r="G26" s="2927"/>
      <c r="H26" s="2927"/>
      <c r="I26" s="2927"/>
      <c r="J26" s="2893"/>
      <c r="K26" s="2927" t="s">
        <v>2826</v>
      </c>
      <c r="L26" s="2927"/>
      <c r="M26" s="2927"/>
      <c r="N26" s="2927"/>
      <c r="O26" s="2927"/>
      <c r="P26" s="2927"/>
      <c r="Q26" s="2893"/>
      <c r="R26" s="3494" t="s">
        <v>2827</v>
      </c>
      <c r="S26" s="3495"/>
      <c r="T26" s="3495"/>
      <c r="U26" s="3495"/>
      <c r="V26" s="3495"/>
      <c r="W26" s="3495"/>
      <c r="X26" s="2893"/>
      <c r="Y26" s="3494" t="s">
        <v>2828</v>
      </c>
      <c r="Z26" s="3495"/>
      <c r="AA26" s="3495"/>
      <c r="AB26" s="3495"/>
      <c r="AC26" s="3495"/>
      <c r="AD26" s="3495"/>
    </row>
    <row r="27" spans="1:30" s="2008" customFormat="1" ht="15" thickBot="1">
      <c r="B27" s="2878"/>
      <c r="C27" s="2879"/>
      <c r="D27" s="2009" t="s">
        <v>2829</v>
      </c>
      <c r="E27" s="2010" t="s">
        <v>2830</v>
      </c>
      <c r="F27" s="2010" t="s">
        <v>2831</v>
      </c>
      <c r="G27" s="2010" t="s">
        <v>2832</v>
      </c>
      <c r="H27" s="2010"/>
      <c r="I27" s="2010" t="s">
        <v>2833</v>
      </c>
      <c r="J27" s="2880"/>
      <c r="K27" s="2009" t="s">
        <v>2829</v>
      </c>
      <c r="L27" s="2010" t="s">
        <v>2830</v>
      </c>
      <c r="M27" s="2010" t="s">
        <v>2831</v>
      </c>
      <c r="N27" s="2010" t="s">
        <v>2832</v>
      </c>
      <c r="O27" s="2010"/>
      <c r="P27" s="2010" t="s">
        <v>2833</v>
      </c>
      <c r="Q27" s="2880"/>
      <c r="R27" s="2009" t="s">
        <v>2829</v>
      </c>
      <c r="S27" s="2010" t="s">
        <v>2830</v>
      </c>
      <c r="T27" s="2010" t="s">
        <v>2831</v>
      </c>
      <c r="U27" s="2010" t="s">
        <v>2832</v>
      </c>
      <c r="V27" s="2010"/>
      <c r="W27" s="2010" t="s">
        <v>2833</v>
      </c>
      <c r="X27" s="2880"/>
      <c r="Y27" s="2009" t="s">
        <v>2829</v>
      </c>
      <c r="Z27" s="2010" t="s">
        <v>2830</v>
      </c>
      <c r="AA27" s="2010" t="s">
        <v>2831</v>
      </c>
      <c r="AB27" s="2010" t="s">
        <v>2832</v>
      </c>
      <c r="AC27" s="2010"/>
      <c r="AD27" s="2010" t="s">
        <v>2833</v>
      </c>
    </row>
    <row r="28" spans="1:30" s="2883" customFormat="1" ht="13.2">
      <c r="A28" s="2881" t="s">
        <v>2834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7" customFormat="1" ht="13.2">
      <c r="B29" s="2023"/>
      <c r="J29" s="2893"/>
      <c r="K29" s="2894"/>
      <c r="L29" s="2895"/>
      <c r="M29" s="2895"/>
      <c r="N29" s="2895"/>
      <c r="O29" s="2895"/>
      <c r="P29" s="2895"/>
      <c r="Q29" s="2893"/>
      <c r="R29" s="2025"/>
      <c r="S29" s="2896"/>
      <c r="T29" s="2897"/>
      <c r="U29" s="2025"/>
      <c r="V29" s="2898"/>
      <c r="W29" s="2025"/>
      <c r="X29" s="2893"/>
      <c r="Y29" s="2026"/>
      <c r="Z29" s="2899"/>
      <c r="AA29" s="2900"/>
      <c r="AB29" s="2026"/>
      <c r="AC29" s="2901"/>
      <c r="AD29" s="2026"/>
    </row>
    <row r="30" spans="1:30" s="2043" customFormat="1" ht="13.2">
      <c r="A30" s="2038" t="s">
        <v>3376</v>
      </c>
      <c r="B30" s="2029">
        <v>2025</v>
      </c>
      <c r="C30" s="2040">
        <v>1</v>
      </c>
      <c r="D30" s="2005"/>
      <c r="E30" s="2005">
        <v>0</v>
      </c>
      <c r="F30" s="2005">
        <v>0</v>
      </c>
      <c r="G30" s="2005">
        <v>0</v>
      </c>
      <c r="H30" s="2005"/>
      <c r="I30" s="2006">
        <f t="shared" ref="I30" si="69">F30</f>
        <v>0</v>
      </c>
      <c r="J30" s="2903"/>
      <c r="K30" s="2041"/>
      <c r="L30" s="2026">
        <f t="shared" ref="L30" si="70">E30/100</f>
        <v>0</v>
      </c>
      <c r="M30" s="2026">
        <f t="shared" ref="M30" si="71">F30/100</f>
        <v>0</v>
      </c>
      <c r="N30" s="2026">
        <f t="shared" ref="N30" si="72">G30/100</f>
        <v>0</v>
      </c>
      <c r="O30" s="2026"/>
      <c r="P30" s="2026">
        <f>M30</f>
        <v>0</v>
      </c>
      <c r="Q30" s="2903"/>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3"/>
      <c r="Y30" s="2026"/>
      <c r="Z30" s="2899">
        <f t="shared" ref="Z30" si="73">IF(E30=0,0,ROUND(AVERAGE(E30:E43)/100,4))</f>
        <v>0</v>
      </c>
      <c r="AA30" s="2899">
        <f t="shared" ref="AA30" si="74">IF(F30=0,0,ROUND(AVERAGE(F30:F43)/100,4))</f>
        <v>0</v>
      </c>
      <c r="AB30" s="2899">
        <f t="shared" ref="AB30" si="75">IF(G30=0,0,ROUND(AVERAGE(G30:G43)/100,4))</f>
        <v>0</v>
      </c>
      <c r="AC30" s="2901"/>
      <c r="AD30" s="2026">
        <f>IF(I30=0,0,ROUND(AVERAGE(I30:I43)/100,4))</f>
        <v>0</v>
      </c>
    </row>
    <row r="31" spans="1:30" s="2913" customFormat="1" ht="13.2">
      <c r="A31" s="2904" t="s">
        <v>3378</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3" customFormat="1" ht="13.2">
      <c r="A32" s="2038" t="s">
        <v>3373</v>
      </c>
      <c r="B32" s="2029">
        <v>2024</v>
      </c>
      <c r="C32" s="2040">
        <v>3</v>
      </c>
      <c r="D32" s="2005"/>
      <c r="E32" s="2005">
        <v>-0.66</v>
      </c>
      <c r="F32" s="2005">
        <v>-0.52</v>
      </c>
      <c r="G32" s="2005">
        <v>-2.87</v>
      </c>
      <c r="H32" s="2005"/>
      <c r="I32" s="2006">
        <f t="shared" ref="I32" si="83">F32</f>
        <v>-0.52</v>
      </c>
      <c r="J32" s="2903"/>
      <c r="K32" s="2041"/>
      <c r="L32" s="2026">
        <f t="shared" ref="L32" si="84">E32/100</f>
        <v>-6.6E-3</v>
      </c>
      <c r="M32" s="2026">
        <f t="shared" ref="M32" si="85">F32/100</f>
        <v>-5.1999999999999998E-3</v>
      </c>
      <c r="N32" s="2026">
        <f t="shared" ref="N32" si="86">G32/100</f>
        <v>-2.87E-2</v>
      </c>
      <c r="O32" s="2026"/>
      <c r="P32" s="2026">
        <f>M32</f>
        <v>-5.1999999999999998E-3</v>
      </c>
      <c r="Q32" s="2903"/>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3"/>
      <c r="Y32" s="2026"/>
      <c r="Z32" s="2899">
        <f t="shared" ref="Z32:AB33" si="87">IF(E32=0,0,ROUND(AVERAGE(E32:E45)/100,4))</f>
        <v>2.5999999999999999E-3</v>
      </c>
      <c r="AA32" s="2899">
        <f t="shared" si="87"/>
        <v>1.6999999999999999E-3</v>
      </c>
      <c r="AB32" s="2899">
        <f t="shared" si="87"/>
        <v>3.3999999999999998E-3</v>
      </c>
      <c r="AC32" s="2901"/>
      <c r="AD32" s="2026">
        <f>IF(I32=0,0,ROUND(AVERAGE(I32:I45)/100,4))</f>
        <v>1.6999999999999999E-3</v>
      </c>
    </row>
    <row r="33" spans="1:30" s="2043" customFormat="1" ht="13.2">
      <c r="A33" s="2902" t="s">
        <v>3379</v>
      </c>
      <c r="B33" s="2029">
        <v>2024</v>
      </c>
      <c r="C33" s="2040">
        <v>2</v>
      </c>
      <c r="D33" s="2005"/>
      <c r="E33" s="2005">
        <v>-0.31</v>
      </c>
      <c r="F33" s="2005">
        <v>-0.39</v>
      </c>
      <c r="G33" s="2005">
        <v>1.23</v>
      </c>
      <c r="H33" s="2914"/>
      <c r="I33" s="2006">
        <f t="shared" ref="I33:I46" si="88">F33</f>
        <v>-0.39</v>
      </c>
      <c r="J33" s="2903"/>
      <c r="K33" s="2041"/>
      <c r="L33" s="2026">
        <f t="shared" ref="L33:N46" si="89">E33/100</f>
        <v>-3.0999999999999999E-3</v>
      </c>
      <c r="M33" s="2026">
        <f t="shared" si="89"/>
        <v>-3.9000000000000003E-3</v>
      </c>
      <c r="N33" s="2026">
        <f t="shared" si="89"/>
        <v>1.23E-2</v>
      </c>
      <c r="O33" s="2026"/>
      <c r="P33" s="2026">
        <f>M33</f>
        <v>-3.9000000000000003E-3</v>
      </c>
      <c r="Q33" s="2903"/>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3"/>
      <c r="Y33" s="2026"/>
      <c r="Z33" s="2899">
        <f t="shared" si="87"/>
        <v>3.3E-3</v>
      </c>
      <c r="AA33" s="2900">
        <f t="shared" si="87"/>
        <v>2.3999999999999998E-3</v>
      </c>
      <c r="AB33" s="2026">
        <f t="shared" si="87"/>
        <v>6.1999999999999998E-3</v>
      </c>
      <c r="AC33" s="2901"/>
      <c r="AD33" s="2026">
        <f>IF(I33=0,0,ROUND(AVERAGE(I33:I46)/100,4))</f>
        <v>2.3999999999999998E-3</v>
      </c>
    </row>
    <row r="34" spans="1:30" s="2043" customFormat="1" ht="13.2">
      <c r="A34" s="2902" t="s">
        <v>3374</v>
      </c>
      <c r="B34" s="2029">
        <v>2024</v>
      </c>
      <c r="C34" s="2040">
        <v>1</v>
      </c>
      <c r="D34" s="2005"/>
      <c r="E34" s="2005">
        <v>0.25</v>
      </c>
      <c r="F34" s="2005">
        <v>0.4</v>
      </c>
      <c r="G34" s="2005">
        <v>-0.63</v>
      </c>
      <c r="H34" s="2914"/>
      <c r="I34" s="2006">
        <f t="shared" ref="I34:I35" si="90">F34</f>
        <v>0.4</v>
      </c>
      <c r="J34" s="2903"/>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3"/>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3"/>
      <c r="Y34" s="2026"/>
      <c r="Z34" s="2899"/>
      <c r="AA34" s="2900"/>
      <c r="AB34" s="2026"/>
      <c r="AC34" s="2901"/>
      <c r="AD34" s="2026"/>
    </row>
    <row r="35" spans="1:30" s="2043" customFormat="1" ht="13.2">
      <c r="A35" s="2902" t="s">
        <v>3372</v>
      </c>
      <c r="B35" s="2029">
        <v>2023</v>
      </c>
      <c r="C35" s="2040">
        <v>4</v>
      </c>
      <c r="D35" s="2005"/>
      <c r="E35" s="2005">
        <v>7.0000000000000007E-2</v>
      </c>
      <c r="F35" s="2005">
        <v>0.09</v>
      </c>
      <c r="G35" s="2005">
        <v>0.03</v>
      </c>
      <c r="H35" s="2914"/>
      <c r="I35" s="2006">
        <f t="shared" si="90"/>
        <v>0.09</v>
      </c>
      <c r="J35" s="2903"/>
      <c r="K35" s="2041"/>
      <c r="L35" s="2026">
        <f t="shared" si="89"/>
        <v>7.000000000000001E-4</v>
      </c>
      <c r="M35" s="2026">
        <f t="shared" si="89"/>
        <v>8.9999999999999998E-4</v>
      </c>
      <c r="N35" s="2026">
        <f t="shared" si="89"/>
        <v>2.9999999999999997E-4</v>
      </c>
      <c r="O35" s="2026"/>
      <c r="P35" s="2026">
        <f t="shared" ref="P35" si="96">M35</f>
        <v>8.9999999999999998E-4</v>
      </c>
      <c r="Q35" s="2903"/>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3"/>
      <c r="Y35" s="2026"/>
      <c r="Z35" s="2899"/>
      <c r="AA35" s="2900"/>
      <c r="AB35" s="2026"/>
      <c r="AC35" s="2901"/>
      <c r="AD35" s="2026"/>
    </row>
    <row r="36" spans="1:30" s="2043" customFormat="1" ht="13.2">
      <c r="A36" s="2902" t="s">
        <v>3370</v>
      </c>
      <c r="B36" s="2029">
        <v>2023</v>
      </c>
      <c r="C36" s="2040">
        <v>3</v>
      </c>
      <c r="D36" s="2005"/>
      <c r="E36" s="2005">
        <v>0.35</v>
      </c>
      <c r="F36" s="2005">
        <v>0.17</v>
      </c>
      <c r="G36" s="2005">
        <v>0.52</v>
      </c>
      <c r="H36" s="2914"/>
      <c r="I36" s="2006">
        <f t="shared" si="88"/>
        <v>0.17</v>
      </c>
      <c r="J36" s="2903"/>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3"/>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3"/>
      <c r="Y36" s="2026"/>
      <c r="Z36" s="2899"/>
      <c r="AA36" s="2900"/>
      <c r="AB36" s="2026"/>
      <c r="AC36" s="2901"/>
      <c r="AD36" s="2026"/>
    </row>
    <row r="37" spans="1:30" s="2043" customFormat="1" ht="13.2">
      <c r="A37" s="2902" t="s">
        <v>3369</v>
      </c>
      <c r="B37" s="2029">
        <v>2023</v>
      </c>
      <c r="C37" s="2040">
        <v>2</v>
      </c>
      <c r="D37" s="2005"/>
      <c r="E37" s="2005">
        <v>0.5</v>
      </c>
      <c r="F37" s="2005">
        <v>0.45</v>
      </c>
      <c r="G37" s="2005">
        <v>0.89</v>
      </c>
      <c r="H37" s="2914"/>
      <c r="I37" s="2006">
        <f t="shared" si="88"/>
        <v>0.45</v>
      </c>
      <c r="J37" s="2903"/>
      <c r="K37" s="2041"/>
      <c r="L37" s="2026">
        <f t="shared" si="98"/>
        <v>5.0000000000000001E-3</v>
      </c>
      <c r="M37" s="2026">
        <f t="shared" si="99"/>
        <v>4.5000000000000005E-3</v>
      </c>
      <c r="N37" s="2026">
        <f t="shared" si="100"/>
        <v>8.8999999999999999E-3</v>
      </c>
      <c r="O37" s="2026"/>
      <c r="P37" s="2026">
        <f t="shared" si="101"/>
        <v>4.5000000000000005E-3</v>
      </c>
      <c r="Q37" s="2903"/>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3"/>
      <c r="Y37" s="2026"/>
      <c r="Z37" s="2899"/>
      <c r="AA37" s="2900"/>
      <c r="AB37" s="2026"/>
      <c r="AC37" s="2901"/>
      <c r="AD37" s="2026"/>
    </row>
    <row r="38" spans="1:30" s="2043" customFormat="1" ht="13.2">
      <c r="A38" s="2902" t="s">
        <v>3367</v>
      </c>
      <c r="B38" s="2029">
        <v>2023</v>
      </c>
      <c r="C38" s="2040">
        <v>1</v>
      </c>
      <c r="D38" s="2005"/>
      <c r="E38" s="2005">
        <v>0.55000000000000004</v>
      </c>
      <c r="F38" s="2005">
        <v>0.59</v>
      </c>
      <c r="G38" s="2005">
        <v>0.64</v>
      </c>
      <c r="H38" s="2914"/>
      <c r="I38" s="2006">
        <f t="shared" si="88"/>
        <v>0.59</v>
      </c>
      <c r="J38" s="2903"/>
      <c r="K38" s="2041"/>
      <c r="L38" s="2026">
        <f t="shared" si="98"/>
        <v>5.5000000000000005E-3</v>
      </c>
      <c r="M38" s="2026">
        <f t="shared" si="99"/>
        <v>5.8999999999999999E-3</v>
      </c>
      <c r="N38" s="2026">
        <f t="shared" si="100"/>
        <v>6.4000000000000003E-3</v>
      </c>
      <c r="O38" s="2026"/>
      <c r="P38" s="2026">
        <f t="shared" si="101"/>
        <v>5.8999999999999999E-3</v>
      </c>
      <c r="Q38" s="2903"/>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3"/>
      <c r="Y38" s="2026"/>
      <c r="Z38" s="2899"/>
      <c r="AA38" s="2900"/>
      <c r="AB38" s="2026"/>
      <c r="AC38" s="2901"/>
      <c r="AD38" s="2026"/>
    </row>
    <row r="39" spans="1:30" s="2043" customFormat="1" ht="13.2">
      <c r="A39" s="2902" t="s">
        <v>3366</v>
      </c>
      <c r="B39" s="2029">
        <v>2022</v>
      </c>
      <c r="C39" s="2040">
        <v>4</v>
      </c>
      <c r="D39" s="2005"/>
      <c r="E39" s="2005">
        <v>0.45</v>
      </c>
      <c r="F39" s="2005">
        <v>0.2</v>
      </c>
      <c r="G39" s="2005">
        <v>0.38</v>
      </c>
      <c r="H39" s="2914"/>
      <c r="I39" s="2006">
        <f t="shared" si="88"/>
        <v>0.2</v>
      </c>
      <c r="J39" s="2903"/>
      <c r="K39" s="2041"/>
      <c r="L39" s="2026">
        <f t="shared" si="89"/>
        <v>4.5000000000000005E-3</v>
      </c>
      <c r="M39" s="2026">
        <f t="shared" si="89"/>
        <v>2E-3</v>
      </c>
      <c r="N39" s="2026">
        <f t="shared" si="89"/>
        <v>3.8E-3</v>
      </c>
      <c r="O39" s="2026"/>
      <c r="P39" s="2026">
        <f t="shared" ref="P39:P46" si="103">M39</f>
        <v>2E-3</v>
      </c>
      <c r="Q39" s="2903"/>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3"/>
      <c r="Y39" s="2026"/>
      <c r="Z39" s="2899">
        <f t="shared" ref="Z39:AD46" si="105">IF(E39=0,0,ROUND(AVERAGE(E39:E47)/100,4))</f>
        <v>4.0000000000000001E-3</v>
      </c>
      <c r="AA39" s="2900">
        <f t="shared" si="105"/>
        <v>2.5999999999999999E-3</v>
      </c>
      <c r="AB39" s="2026">
        <f t="shared" si="105"/>
        <v>7.4000000000000003E-3</v>
      </c>
      <c r="AC39" s="2901"/>
      <c r="AD39" s="2026">
        <f t="shared" si="105"/>
        <v>2.5999999999999999E-3</v>
      </c>
    </row>
    <row r="40" spans="1:30" s="2043" customFormat="1" ht="13.2">
      <c r="A40" s="2902" t="s">
        <v>3365</v>
      </c>
      <c r="B40" s="2029">
        <v>2022</v>
      </c>
      <c r="C40" s="2040">
        <v>3</v>
      </c>
      <c r="D40" s="2005"/>
      <c r="E40" s="2005">
        <v>0.3</v>
      </c>
      <c r="F40" s="2005">
        <v>0.28999999999999998</v>
      </c>
      <c r="G40" s="2005">
        <v>0.83</v>
      </c>
      <c r="H40" s="2914"/>
      <c r="I40" s="2006">
        <f t="shared" si="88"/>
        <v>0.28999999999999998</v>
      </c>
      <c r="J40" s="2903"/>
      <c r="K40" s="2041"/>
      <c r="L40" s="2026">
        <f t="shared" si="89"/>
        <v>3.0000000000000001E-3</v>
      </c>
      <c r="M40" s="2026">
        <f t="shared" si="89"/>
        <v>2.8999999999999998E-3</v>
      </c>
      <c r="N40" s="2026">
        <f t="shared" si="89"/>
        <v>8.3000000000000001E-3</v>
      </c>
      <c r="O40" s="2026"/>
      <c r="P40" s="2026">
        <f t="shared" si="103"/>
        <v>2.8999999999999998E-3</v>
      </c>
      <c r="Q40" s="2903"/>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3"/>
      <c r="Y40" s="2026"/>
      <c r="Z40" s="2899">
        <f t="shared" si="105"/>
        <v>3.8999999999999998E-3</v>
      </c>
      <c r="AA40" s="2900">
        <f t="shared" si="105"/>
        <v>2.7000000000000001E-3</v>
      </c>
      <c r="AB40" s="2026">
        <f t="shared" si="105"/>
        <v>7.9000000000000008E-3</v>
      </c>
      <c r="AC40" s="2901"/>
      <c r="AD40" s="2026">
        <f t="shared" si="105"/>
        <v>2.7000000000000001E-3</v>
      </c>
    </row>
    <row r="41" spans="1:30" s="2043" customFormat="1" ht="13.2">
      <c r="A41" s="2902" t="s">
        <v>3355</v>
      </c>
      <c r="B41" s="2029">
        <v>2022</v>
      </c>
      <c r="C41" s="2040">
        <v>2</v>
      </c>
      <c r="D41" s="2005"/>
      <c r="E41" s="2005">
        <v>-0.11</v>
      </c>
      <c r="F41" s="2005">
        <v>-0.13</v>
      </c>
      <c r="G41" s="2005">
        <v>0.53</v>
      </c>
      <c r="H41" s="2914"/>
      <c r="I41" s="2006">
        <f t="shared" si="88"/>
        <v>-0.13</v>
      </c>
      <c r="J41" s="2903"/>
      <c r="K41" s="2041"/>
      <c r="L41" s="2026">
        <f t="shared" si="89"/>
        <v>-1.1000000000000001E-3</v>
      </c>
      <c r="M41" s="2026">
        <f t="shared" si="89"/>
        <v>-1.2999999999999999E-3</v>
      </c>
      <c r="N41" s="2026">
        <f t="shared" si="89"/>
        <v>5.3E-3</v>
      </c>
      <c r="O41" s="2026"/>
      <c r="P41" s="2026">
        <f t="shared" si="103"/>
        <v>-1.2999999999999999E-3</v>
      </c>
      <c r="Q41" s="2903"/>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3"/>
      <c r="Y41" s="2026"/>
      <c r="Z41" s="2899">
        <f t="shared" si="105"/>
        <v>4.1000000000000003E-3</v>
      </c>
      <c r="AA41" s="2900">
        <f t="shared" si="105"/>
        <v>2.7000000000000001E-3</v>
      </c>
      <c r="AB41" s="2026">
        <f t="shared" si="105"/>
        <v>7.9000000000000008E-3</v>
      </c>
      <c r="AC41" s="2901"/>
      <c r="AD41" s="2026">
        <f t="shared" si="105"/>
        <v>2.7000000000000001E-3</v>
      </c>
    </row>
    <row r="42" spans="1:30" s="2043" customFormat="1" ht="13.2">
      <c r="A42" s="2902" t="s">
        <v>2835</v>
      </c>
      <c r="B42" s="2029">
        <v>2022</v>
      </c>
      <c r="C42" s="2040">
        <v>1</v>
      </c>
      <c r="D42" s="2005"/>
      <c r="E42" s="2005">
        <v>0.6</v>
      </c>
      <c r="F42" s="2005">
        <v>0.45</v>
      </c>
      <c r="G42" s="2005">
        <v>0.53</v>
      </c>
      <c r="H42" s="2914"/>
      <c r="I42" s="2006">
        <f t="shared" si="88"/>
        <v>0.45</v>
      </c>
      <c r="J42" s="2903"/>
      <c r="K42" s="2041"/>
      <c r="L42" s="2026">
        <f t="shared" si="89"/>
        <v>6.0000000000000001E-3</v>
      </c>
      <c r="M42" s="2026">
        <f t="shared" si="89"/>
        <v>4.5000000000000005E-3</v>
      </c>
      <c r="N42" s="2026">
        <f t="shared" si="89"/>
        <v>5.3E-3</v>
      </c>
      <c r="O42" s="2026"/>
      <c r="P42" s="2026">
        <f t="shared" si="103"/>
        <v>4.5000000000000005E-3</v>
      </c>
      <c r="Q42" s="2903"/>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3"/>
      <c r="Y42" s="2026"/>
      <c r="Z42" s="2899">
        <f t="shared" si="105"/>
        <v>5.1000000000000004E-3</v>
      </c>
      <c r="AA42" s="2900">
        <f t="shared" si="105"/>
        <v>3.5000000000000001E-3</v>
      </c>
      <c r="AB42" s="2026">
        <f t="shared" si="105"/>
        <v>8.3999999999999995E-3</v>
      </c>
      <c r="AC42" s="2901"/>
      <c r="AD42" s="2026">
        <f t="shared" si="105"/>
        <v>3.5000000000000001E-3</v>
      </c>
    </row>
    <row r="43" spans="1:30" s="2043" customFormat="1" ht="13.2">
      <c r="A43" s="2902" t="s">
        <v>2836</v>
      </c>
      <c r="B43" s="2029">
        <v>2021</v>
      </c>
      <c r="C43" s="2040">
        <v>4</v>
      </c>
      <c r="D43" s="2005"/>
      <c r="E43" s="2005">
        <v>0.57999999999999996</v>
      </c>
      <c r="F43" s="2005">
        <v>0.08</v>
      </c>
      <c r="G43" s="2005">
        <v>0.68</v>
      </c>
      <c r="H43" s="2914"/>
      <c r="I43" s="2006">
        <f t="shared" si="88"/>
        <v>0.08</v>
      </c>
      <c r="J43" s="2903"/>
      <c r="K43" s="2041"/>
      <c r="L43" s="2026">
        <f t="shared" si="89"/>
        <v>5.7999999999999996E-3</v>
      </c>
      <c r="M43" s="2026">
        <f t="shared" si="89"/>
        <v>8.0000000000000004E-4</v>
      </c>
      <c r="N43" s="2026">
        <f t="shared" si="89"/>
        <v>6.8000000000000005E-3</v>
      </c>
      <c r="O43" s="2026"/>
      <c r="P43" s="2026">
        <f t="shared" si="103"/>
        <v>8.0000000000000004E-4</v>
      </c>
      <c r="Q43" s="2903"/>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3"/>
      <c r="Y43" s="2026"/>
      <c r="Z43" s="2899">
        <f t="shared" si="105"/>
        <v>4.8999999999999998E-3</v>
      </c>
      <c r="AA43" s="2900">
        <f t="shared" si="105"/>
        <v>3.3E-3</v>
      </c>
      <c r="AB43" s="2026">
        <f t="shared" si="105"/>
        <v>9.1999999999999998E-3</v>
      </c>
      <c r="AC43" s="2901"/>
      <c r="AD43" s="2026">
        <f t="shared" si="105"/>
        <v>3.3E-3</v>
      </c>
    </row>
    <row r="44" spans="1:30" s="2043" customFormat="1" ht="13.2">
      <c r="A44" s="2902" t="s">
        <v>2837</v>
      </c>
      <c r="B44" s="2029">
        <v>2021</v>
      </c>
      <c r="C44" s="2040">
        <v>3</v>
      </c>
      <c r="D44" s="2005"/>
      <c r="E44" s="2005">
        <v>0.47</v>
      </c>
      <c r="F44" s="2005">
        <v>0.28000000000000003</v>
      </c>
      <c r="G44" s="2005">
        <v>0.91</v>
      </c>
      <c r="H44" s="2914"/>
      <c r="I44" s="2006">
        <f t="shared" si="88"/>
        <v>0.28000000000000003</v>
      </c>
      <c r="J44" s="2903"/>
      <c r="K44" s="2041"/>
      <c r="L44" s="2026">
        <f t="shared" si="89"/>
        <v>4.6999999999999993E-3</v>
      </c>
      <c r="M44" s="2026">
        <f t="shared" si="89"/>
        <v>2.8000000000000004E-3</v>
      </c>
      <c r="N44" s="2026">
        <f t="shared" si="89"/>
        <v>9.1000000000000004E-3</v>
      </c>
      <c r="O44" s="2026"/>
      <c r="P44" s="2026">
        <f t="shared" si="103"/>
        <v>2.8000000000000004E-3</v>
      </c>
      <c r="Q44" s="2903"/>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3"/>
      <c r="Y44" s="2026"/>
      <c r="Z44" s="2899">
        <f t="shared" si="105"/>
        <v>4.5999999999999999E-3</v>
      </c>
      <c r="AA44" s="2900">
        <f t="shared" si="105"/>
        <v>4.1000000000000003E-3</v>
      </c>
      <c r="AB44" s="2026">
        <f t="shared" si="105"/>
        <v>0.01</v>
      </c>
      <c r="AC44" s="2901"/>
      <c r="AD44" s="2026">
        <f t="shared" si="105"/>
        <v>4.1000000000000003E-3</v>
      </c>
    </row>
    <row r="45" spans="1:30" s="2043" customFormat="1" ht="13.2">
      <c r="A45" s="2902" t="s">
        <v>2838</v>
      </c>
      <c r="B45" s="2029">
        <v>2021</v>
      </c>
      <c r="C45" s="2040">
        <v>2</v>
      </c>
      <c r="D45" s="2005"/>
      <c r="E45" s="2005">
        <v>0.55000000000000004</v>
      </c>
      <c r="F45" s="2005">
        <v>0.46</v>
      </c>
      <c r="G45" s="2005">
        <v>1.1000000000000001</v>
      </c>
      <c r="H45" s="2914"/>
      <c r="I45" s="2006">
        <f t="shared" si="88"/>
        <v>0.46</v>
      </c>
      <c r="J45" s="2903"/>
      <c r="K45" s="2041"/>
      <c r="L45" s="2026">
        <f t="shared" si="89"/>
        <v>5.5000000000000005E-3</v>
      </c>
      <c r="M45" s="2026">
        <f t="shared" si="89"/>
        <v>4.5999999999999999E-3</v>
      </c>
      <c r="N45" s="2026">
        <f t="shared" si="89"/>
        <v>1.1000000000000001E-2</v>
      </c>
      <c r="O45" s="2026"/>
      <c r="P45" s="2026">
        <f t="shared" si="103"/>
        <v>4.5999999999999999E-3</v>
      </c>
      <c r="Q45" s="2903"/>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3"/>
      <c r="Y45" s="2026"/>
      <c r="Z45" s="2899">
        <f t="shared" si="105"/>
        <v>4.4999999999999997E-3</v>
      </c>
      <c r="AA45" s="2900">
        <f t="shared" si="105"/>
        <v>4.7000000000000002E-3</v>
      </c>
      <c r="AB45" s="2026">
        <f t="shared" si="105"/>
        <v>1.04E-2</v>
      </c>
      <c r="AC45" s="2901"/>
      <c r="AD45" s="2026">
        <f t="shared" si="105"/>
        <v>4.7000000000000002E-3</v>
      </c>
    </row>
    <row r="46" spans="1:30" s="2925" customFormat="1" ht="13.8" thickBot="1">
      <c r="A46" s="2915" t="s">
        <v>2824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49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7">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498">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7">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498">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45694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82"/>
      <c r="B3" s="3182"/>
      <c r="C3" s="3182"/>
      <c r="D3" s="801" t="s">
        <v>925</v>
      </c>
      <c r="E3" s="801" t="s">
        <v>931</v>
      </c>
      <c r="F3" s="801" t="s">
        <v>925</v>
      </c>
      <c r="G3" s="801" t="s">
        <v>926</v>
      </c>
      <c r="H3" s="801" t="s">
        <v>925</v>
      </c>
      <c r="I3" s="801" t="s">
        <v>926</v>
      </c>
    </row>
    <row r="4" spans="1:9" ht="30">
      <c r="A4" s="1403" t="str">
        <f>项目基本情况!S2</f>
        <v>北京市海淀区首体南路22号楼19C、D、E房地产</v>
      </c>
      <c r="B4" s="801">
        <f>项目基本情况!C17</f>
        <v>759.02</v>
      </c>
      <c r="C4" s="801">
        <f>项目基本情况!C18</f>
        <v>0</v>
      </c>
      <c r="D4" s="801">
        <f>结果表!D118</f>
        <v>0</v>
      </c>
      <c r="E4" s="801">
        <f>结果表!E118</f>
        <v>0</v>
      </c>
      <c r="F4" s="801">
        <f>结果表!F118</f>
        <v>0</v>
      </c>
      <c r="G4" s="801">
        <f>结果表!G118</f>
        <v>0</v>
      </c>
      <c r="H4" s="801">
        <f ca="1">结果表!H118</f>
        <v>2752.6619000000001</v>
      </c>
      <c r="I4" s="801">
        <f ca="1">结果表!I118</f>
        <v>36266</v>
      </c>
    </row>
    <row r="5" spans="1:9" ht="30" customHeight="1">
      <c r="A5" s="3182" t="s">
        <v>927</v>
      </c>
      <c r="B5" s="3182"/>
      <c r="C5" s="3182"/>
      <c r="D5" s="3182" t="str">
        <f>结果表!D119</f>
        <v>零元整</v>
      </c>
      <c r="E5" s="3182"/>
      <c r="F5" s="3182" t="str">
        <f>结果表!F119</f>
        <v>零元整</v>
      </c>
      <c r="G5" s="3182"/>
      <c r="H5" s="3182" t="str">
        <f ca="1">结果表!H119</f>
        <v>贰仟柒佰伍拾贰万陆仟陆佰壹拾玖元整</v>
      </c>
      <c r="I5" s="3182"/>
    </row>
    <row r="6" spans="1:9" ht="15.6">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6">
      <c r="A8" s="3183" t="str">
        <f>结果表!A122</f>
        <v>房地产抵押价值</v>
      </c>
      <c r="B8" s="3183"/>
      <c r="C8" s="3183"/>
      <c r="D8" s="3183">
        <f ca="1">结果表!D122</f>
        <v>2752.6619000000001</v>
      </c>
      <c r="E8" s="3183"/>
      <c r="F8" s="3183"/>
      <c r="G8" s="3183"/>
      <c r="H8" s="3183"/>
      <c r="I8" s="3183"/>
    </row>
    <row r="9" spans="1:9" ht="15">
      <c r="A9" s="3182" t="s">
        <v>927</v>
      </c>
      <c r="B9" s="3182"/>
      <c r="C9" s="3182"/>
      <c r="D9" s="3182" t="str">
        <f ca="1">结果表!D123</f>
        <v>贰仟柒佰伍拾贰万陆仟陆佰壹拾玖元整</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45695</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8"/>
      <c r="E18" s="3208" t="s">
        <v>2162</v>
      </c>
      <c r="F18" s="3207"/>
      <c r="G18" s="3207"/>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比较法-办公租金</vt:lpstr>
      <vt:lpstr>案例</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2025-02-07T02:31:03Z</dcterms:modified>
</cp:coreProperties>
</file>