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10" i="74" l="1"/>
  <c r="B14" i="74"/>
  <c r="B24" i="31" l="1"/>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R38" i="31"/>
  <c r="S38" i="31" s="1"/>
  <c r="R39" i="31"/>
  <c r="S39" i="31" s="1"/>
  <c r="R40" i="31"/>
  <c r="R41" i="31"/>
  <c r="S41" i="31" s="1"/>
  <c r="R42" i="31"/>
  <c r="S42" i="31" s="1"/>
  <c r="R43" i="31"/>
  <c r="S43" i="31" s="1"/>
  <c r="R44" i="31"/>
  <c r="S44" i="31" s="1"/>
  <c r="R45" i="31"/>
  <c r="R46" i="31"/>
  <c r="S46" i="31" s="1"/>
  <c r="R47" i="31"/>
  <c r="R48" i="31"/>
  <c r="S48" i="31" s="1"/>
  <c r="R49" i="31"/>
  <c r="S49" i="31" s="1"/>
  <c r="R50" i="31"/>
  <c r="S50" i="31" s="1"/>
  <c r="R51" i="31"/>
  <c r="R52" i="31"/>
  <c r="S52" i="31" s="1"/>
  <c r="R53" i="31"/>
  <c r="R54" i="31"/>
  <c r="S54" i="31" s="1"/>
  <c r="R55" i="31"/>
  <c r="R56" i="31"/>
  <c r="S56" i="31" s="1"/>
  <c r="R57" i="31"/>
  <c r="R58" i="31"/>
  <c r="S58" i="31" s="1"/>
  <c r="R59" i="31"/>
  <c r="R60" i="31"/>
  <c r="S60" i="31" s="1"/>
  <c r="R61" i="31"/>
  <c r="S61" i="31" s="1"/>
  <c r="R62" i="31"/>
  <c r="S62" i="31" s="1"/>
  <c r="R63" i="31"/>
  <c r="S63" i="31" s="1"/>
  <c r="R64" i="31"/>
  <c r="R65" i="31"/>
  <c r="R66" i="31"/>
  <c r="S66" i="31" s="1"/>
  <c r="R67" i="31"/>
  <c r="S67" i="31" s="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R82" i="31"/>
  <c r="S82" i="31" s="1"/>
  <c r="R83" i="31"/>
  <c r="R84" i="31"/>
  <c r="S84" i="31" s="1"/>
  <c r="R85" i="31"/>
  <c r="S85" i="31" s="1"/>
  <c r="R86" i="31"/>
  <c r="S86" i="31" s="1"/>
  <c r="R87" i="31"/>
  <c r="S87" i="31" s="1"/>
  <c r="R88" i="31"/>
  <c r="R89" i="31"/>
  <c r="R90" i="31"/>
  <c r="S90" i="31" s="1"/>
  <c r="R91" i="31"/>
  <c r="S91" i="31" s="1"/>
  <c r="R92" i="31"/>
  <c r="S92" i="31" s="1"/>
  <c r="R93" i="31"/>
  <c r="R94" i="31"/>
  <c r="S94" i="31" s="1"/>
  <c r="R95" i="31"/>
  <c r="R96" i="31"/>
  <c r="S96" i="31" s="1"/>
  <c r="R97" i="31"/>
  <c r="S97" i="31" s="1"/>
  <c r="R98" i="31"/>
  <c r="S98" i="31" s="1"/>
  <c r="R99" i="31"/>
  <c r="R100" i="31"/>
  <c r="S100" i="31" s="1"/>
  <c r="R101" i="31"/>
  <c r="R102" i="31"/>
  <c r="S102" i="31" s="1"/>
  <c r="R103" i="31"/>
  <c r="R104" i="31"/>
  <c r="R105" i="31"/>
  <c r="S105" i="31" s="1"/>
  <c r="R106" i="31"/>
  <c r="S106" i="31" s="1"/>
  <c r="R107" i="31"/>
  <c r="S107" i="31" s="1"/>
  <c r="R108" i="31"/>
  <c r="S108" i="31" s="1"/>
  <c r="R109" i="31"/>
  <c r="R110" i="31"/>
  <c r="S110" i="31" s="1"/>
  <c r="R111" i="31"/>
  <c r="S111" i="31" s="1"/>
  <c r="R112" i="31"/>
  <c r="R113" i="31"/>
  <c r="S113" i="31" s="1"/>
  <c r="R114" i="31"/>
  <c r="S114" i="31" s="1"/>
  <c r="R115" i="31"/>
  <c r="S115" i="31" s="1"/>
  <c r="R116" i="31"/>
  <c r="S116" i="31" s="1"/>
  <c r="R117" i="31"/>
  <c r="S117" i="31" s="1"/>
  <c r="R118" i="31"/>
  <c r="S118" i="31" s="1"/>
  <c r="R119" i="3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R228" i="31"/>
  <c r="S228" i="31" s="1"/>
  <c r="R229" i="31"/>
  <c r="R230" i="31"/>
  <c r="S230" i="31" s="1"/>
  <c r="R231" i="31"/>
  <c r="R232" i="31"/>
  <c r="S232" i="31" s="1"/>
  <c r="R233" i="31"/>
  <c r="S233" i="31" s="1"/>
  <c r="R234" i="31"/>
  <c r="S234" i="31" s="1"/>
  <c r="R235" i="31"/>
  <c r="S235" i="31" s="1"/>
  <c r="R236" i="31"/>
  <c r="R237" i="31"/>
  <c r="R238" i="31"/>
  <c r="S238" i="31" s="1"/>
  <c r="R239" i="31"/>
  <c r="S239" i="31" s="1"/>
  <c r="R240" i="31"/>
  <c r="S240" i="31" s="1"/>
  <c r="R241" i="31"/>
  <c r="R242" i="31"/>
  <c r="S242" i="31" s="1"/>
  <c r="R243" i="31"/>
  <c r="R244" i="31"/>
  <c r="S244" i="31" s="1"/>
  <c r="R245" i="31"/>
  <c r="S245" i="31" s="1"/>
  <c r="R246" i="31"/>
  <c r="S246" i="31" s="1"/>
  <c r="R247" i="31"/>
  <c r="R248" i="31"/>
  <c r="S248" i="31" s="1"/>
  <c r="R249" i="3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R462" i="31"/>
  <c r="S462" i="31" s="1"/>
  <c r="R463" i="31"/>
  <c r="R464" i="31"/>
  <c r="R465" i="31"/>
  <c r="S465" i="31" s="1"/>
  <c r="R466" i="31"/>
  <c r="S466" i="31" s="1"/>
  <c r="R467" i="31"/>
  <c r="S467" i="31" s="1"/>
  <c r="R468" i="31"/>
  <c r="R469" i="31"/>
  <c r="S469" i="31" s="1"/>
  <c r="R470" i="31"/>
  <c r="S470" i="31" s="1"/>
  <c r="R471" i="31"/>
  <c r="S471" i="31" s="1"/>
  <c r="R472" i="31"/>
  <c r="R473" i="31"/>
  <c r="S473" i="31" s="1"/>
  <c r="R474" i="31"/>
  <c r="S474" i="31" s="1"/>
  <c r="R475" i="3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4" i="31"/>
  <c r="S280" i="31"/>
  <c r="S264" i="31"/>
  <c r="S252" i="31"/>
  <c r="S249" i="31"/>
  <c r="S247" i="31"/>
  <c r="S243" i="31"/>
  <c r="S241" i="31"/>
  <c r="S237" i="31"/>
  <c r="S236" i="31"/>
  <c r="S231" i="31"/>
  <c r="S229" i="31"/>
  <c r="S227" i="31"/>
  <c r="S428" i="31"/>
  <c r="S221" i="31"/>
  <c r="S209" i="31"/>
  <c r="S205" i="31"/>
  <c r="S193" i="31"/>
  <c r="S189" i="31"/>
  <c r="S177" i="31"/>
  <c r="S173" i="31"/>
  <c r="S161" i="31"/>
  <c r="S157" i="31"/>
  <c r="S145" i="31"/>
  <c r="S141" i="31"/>
  <c r="S129" i="31"/>
  <c r="S125" i="31"/>
  <c r="S496" i="31"/>
  <c r="S492" i="31"/>
  <c r="S491" i="31"/>
  <c r="S488" i="31"/>
  <c r="S484" i="31"/>
  <c r="S480" i="31"/>
  <c r="S476" i="31"/>
  <c r="S475" i="31"/>
  <c r="S472" i="31"/>
  <c r="S468" i="31"/>
  <c r="S444" i="31"/>
  <c r="S440" i="31"/>
  <c r="S436" i="31"/>
  <c r="S432" i="31"/>
  <c r="S121" i="31"/>
  <c r="S119" i="31"/>
  <c r="S112" i="31"/>
  <c r="S504" i="31"/>
  <c r="S500" i="31"/>
  <c r="S464" i="31"/>
  <c r="S463" i="31"/>
  <c r="S461" i="31"/>
  <c r="S460" i="31"/>
  <c r="S456" i="31"/>
  <c r="S452" i="31"/>
  <c r="S53" i="31"/>
  <c r="S51" i="31"/>
  <c r="S47" i="31"/>
  <c r="S45" i="31"/>
  <c r="S40" i="31"/>
  <c r="S37" i="31"/>
  <c r="S35" i="31"/>
  <c r="S75" i="31"/>
  <c r="S73" i="31"/>
  <c r="S71" i="31"/>
  <c r="S65" i="31"/>
  <c r="S64" i="31"/>
  <c r="S59" i="31"/>
  <c r="S57" i="31"/>
  <c r="S55" i="31"/>
  <c r="S95" i="31"/>
  <c r="S93" i="31"/>
  <c r="S89" i="31"/>
  <c r="S88" i="31"/>
  <c r="S83" i="31"/>
  <c r="S81" i="31"/>
  <c r="S79" i="31"/>
  <c r="S99" i="31"/>
  <c r="S101" i="31"/>
  <c r="S103" i="31"/>
  <c r="S104" i="31"/>
  <c r="S109" i="31"/>
  <c r="S447"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F38" i="15"/>
  <c r="L47" i="67"/>
  <c r="M9" i="15"/>
  <c r="D4" i="73"/>
  <c r="D7" i="73"/>
  <c r="D5" i="73"/>
  <c r="M8" i="67"/>
  <c r="M23" i="67"/>
  <c r="L47" i="15"/>
  <c r="F42" i="67"/>
  <c r="E2" i="68"/>
  <c r="J15" i="15"/>
  <c r="B7" i="76"/>
  <c r="M29" i="15"/>
  <c r="B10" i="76"/>
  <c r="B9" i="76"/>
  <c r="E11" i="76"/>
  <c r="F40" i="15"/>
  <c r="F36" i="67"/>
  <c r="M9" i="67"/>
  <c r="F3" i="73"/>
  <c r="M6" i="15"/>
  <c r="E9" i="76"/>
  <c r="E10" i="76"/>
  <c r="F8" i="67"/>
  <c r="F26" i="15"/>
  <c r="M24" i="67"/>
  <c r="F43" i="15"/>
  <c r="M8" i="15"/>
  <c r="M26" i="67"/>
  <c r="B13" i="76"/>
  <c r="F7" i="15"/>
  <c r="M28" i="15"/>
  <c r="F16" i="15"/>
  <c r="L48" i="15"/>
  <c r="F26" i="67"/>
  <c r="C76" i="67"/>
  <c r="F13" i="15"/>
  <c r="F5" i="73"/>
  <c r="F42" i="15"/>
  <c r="F6" i="15"/>
  <c r="M28" i="67"/>
  <c r="F9" i="67"/>
  <c r="E12" i="76"/>
  <c r="B12" i="76"/>
  <c r="J15" i="67"/>
  <c r="F37" i="67"/>
  <c r="F6" i="73"/>
  <c r="M22" i="15"/>
  <c r="E13" i="76"/>
  <c r="D6" i="73"/>
  <c r="M24" i="15"/>
  <c r="E7" i="76"/>
  <c r="F37" i="15"/>
  <c r="F9" i="15"/>
  <c r="C76" i="15"/>
  <c r="F4" i="73"/>
  <c r="B8" i="76"/>
  <c r="AO13" i="1"/>
  <c r="F40" i="67"/>
  <c r="F6" i="67"/>
  <c r="F16" i="67"/>
  <c r="D3" i="73"/>
  <c r="F7" i="73"/>
  <c r="E8" i="76"/>
  <c r="F8" i="15"/>
  <c r="F36" i="15"/>
  <c r="M26" i="15"/>
  <c r="F38" i="67"/>
  <c r="M22" i="67"/>
  <c r="E2" i="69"/>
  <c r="F13" i="67"/>
  <c r="B11" i="76"/>
  <c r="F20" i="31"/>
  <c r="M6" i="67"/>
  <c r="AB8" i="34" l="1"/>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W43" i="34"/>
  <c r="AA40" i="34"/>
  <c r="W39" i="34"/>
  <c r="S38" i="34"/>
  <c r="AB35" i="34"/>
  <c r="S35" i="34"/>
  <c r="AB33" i="34"/>
  <c r="AC33" i="34"/>
  <c r="W27" i="34"/>
  <c r="AA21" i="34"/>
  <c r="W19" i="34"/>
  <c r="S19" i="34"/>
  <c r="AA17" i="34"/>
  <c r="AB17" i="34"/>
  <c r="AB40" i="34"/>
  <c r="AA39" i="34"/>
  <c r="U38" i="34"/>
  <c r="AC38" i="34"/>
  <c r="AC36" i="34"/>
  <c r="W35" i="34"/>
  <c r="U34"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C16" i="15"/>
  <c r="F43" i="67"/>
  <c r="F7" i="67"/>
  <c r="L48" i="67"/>
  <c r="M29" i="67"/>
  <c r="G1" i="73"/>
  <c r="AB44" i="34" l="1"/>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C16" i="67"/>
  <c r="T49" i="34" l="1"/>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15"/>
  <c r="M27" i="67"/>
  <c r="F41" i="67"/>
  <c r="F41" i="15"/>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50" i="34" l="1"/>
  <c r="R24" i="31"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19" i="9"/>
  <c r="D2" i="34"/>
  <c r="D2" i="37"/>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AO6" i="1"/>
  <c r="C19" i="9"/>
  <c r="AO8" i="1"/>
  <c r="AO12" i="1"/>
  <c r="AO11" i="1"/>
  <c r="AO10" i="1"/>
  <c r="D20"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T24" i="31"/>
  <c r="C42" i="40"/>
  <c r="C43" i="40"/>
  <c r="E47" i="40"/>
  <c r="F47" i="40" s="1"/>
  <c r="E46" i="40"/>
  <c r="F46" i="40" s="1"/>
  <c r="I47" i="40"/>
  <c r="J47" i="40" s="1"/>
  <c r="S24" i="31" l="1"/>
  <c r="R32" i="31"/>
  <c r="R26" i="31"/>
  <c r="R27" i="31"/>
  <c r="R29" i="31"/>
  <c r="R30" i="31"/>
  <c r="R28" i="31"/>
  <c r="R31"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B20" i="31" s="1"/>
  <c r="B21" i="31" s="1"/>
  <c r="G118" i="9"/>
  <c r="F118" i="9" s="1"/>
  <c r="I118" i="9"/>
  <c r="I4" i="52" s="1"/>
  <c r="G14" i="74" l="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<sst xmlns="http://schemas.openxmlformats.org/spreadsheetml/2006/main" count="7904" uniqueCount="3450">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</sst>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76200</xdr:rowOff>
    </xdr:from>
    <xdr:to>
      <xdr:col>2</xdr:col>
      <xdr:colOff>504359</xdr:colOff>
      <xdr:row>26</xdr:row>
      <xdr:rowOff>123262</xdr:rowOff>
    </xdr:to>
    <xdr:pic>
      <xdr:nvPicPr>
        <xdr:cNvPr id="4" name="图片 3"/>
        <xdr:cNvPicPr>
          <a:picLocks noChangeAspect="1"/>
        </xdr:cNvPicPr>
      </xdr:nvPicPr>
      <xdr:blipFill>
        <a:blip xmlns:r="http://schemas.openxmlformats.org/officeDocument/2006/relationships" r:embed="rId1"/>
        <a:stretch>
          <a:fillRect/>
        </a:stretch>
      </xdr:blipFill>
      <xdr:spPr>
        <a:xfrm>
          <a:off x="19050" y="76200"/>
          <a:ext cx="3723809" cy="4504762"/>
        </a:xfrm>
        <a:prstGeom prst="rect">
          <a:avLst/>
        </a:prstGeom>
      </xdr:spPr>
    </xdr:pic>
    <xdr:clientData/>
  </xdr:twoCellAnchor>
  <xdr:twoCellAnchor editAs="oneCell">
    <xdr:from>
      <xdr:col>2</xdr:col>
      <xdr:colOff>476250</xdr:colOff>
      <xdr:row>0</xdr:row>
      <xdr:rowOff>85725</xdr:rowOff>
    </xdr:from>
    <xdr:to>
      <xdr:col>5</xdr:col>
      <xdr:colOff>370995</xdr:colOff>
      <xdr:row>33</xdr:row>
      <xdr:rowOff>65970</xdr:rowOff>
    </xdr:to>
    <xdr:pic>
      <xdr:nvPicPr>
        <xdr:cNvPr id="5" name="图片 4"/>
        <xdr:cNvPicPr>
          <a:picLocks noChangeAspect="1"/>
        </xdr:cNvPicPr>
      </xdr:nvPicPr>
      <xdr:blipFill>
        <a:blip xmlns:r="http://schemas.openxmlformats.org/officeDocument/2006/relationships" r:embed="rId2"/>
        <a:stretch>
          <a:fillRect/>
        </a:stretch>
      </xdr:blipFill>
      <xdr:spPr>
        <a:xfrm>
          <a:off x="3714750" y="85725"/>
          <a:ext cx="3838095" cy="5638095"/>
        </a:xfrm>
        <a:prstGeom prst="rect">
          <a:avLst/>
        </a:prstGeom>
      </xdr:spPr>
    </xdr:pic>
    <xdr:clientData/>
  </xdr:twoCellAnchor>
  <xdr:twoCellAnchor>
    <xdr:from>
      <xdr:col>0</xdr:col>
      <xdr:colOff>28575</xdr:colOff>
      <xdr:row>0</xdr:row>
      <xdr:rowOff>66675</xdr:rowOff>
    </xdr:from>
    <xdr:to>
      <xdr:col>2</xdr:col>
      <xdr:colOff>419100</xdr:colOff>
      <xdr:row>13</xdr:row>
      <xdr:rowOff>28575</xdr:rowOff>
    </xdr:to>
    <xdr:sp macro="" textlink="">
      <xdr:nvSpPr>
        <xdr:cNvPr id="6" name="矩形 5"/>
        <xdr:cNvSpPr/>
      </xdr:nvSpPr>
      <xdr:spPr>
        <a:xfrm>
          <a:off x="28575" y="66675"/>
          <a:ext cx="3629025" cy="21907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504825</xdr:colOff>
      <xdr:row>20</xdr:row>
      <xdr:rowOff>152400</xdr:rowOff>
    </xdr:from>
    <xdr:to>
      <xdr:col>5</xdr:col>
      <xdr:colOff>190500</xdr:colOff>
      <xdr:row>27</xdr:row>
      <xdr:rowOff>38100</xdr:rowOff>
    </xdr:to>
    <xdr:sp macro="" textlink="">
      <xdr:nvSpPr>
        <xdr:cNvPr id="7" name="矩形 6"/>
        <xdr:cNvSpPr/>
      </xdr:nvSpPr>
      <xdr:spPr>
        <a:xfrm>
          <a:off x="3743325" y="3581400"/>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160.55000000000001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4" t="s">
        <v>2583</v>
      </c>
      <c r="J2" s="3494"/>
      <c r="K2" s="3494"/>
      <c r="L2" s="3494"/>
      <c r="M2" s="3494"/>
      <c r="N2" s="3494"/>
      <c r="O2" s="3494"/>
      <c r="P2" s="3494"/>
      <c r="Q2" s="3494"/>
      <c r="R2" s="3494"/>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5" t="str">
        <f>IF(B10="北京市","北京市",C10)&amp;F10&amp;IF(结果表!G1="在建","出让国有建设用地使用权及在建建筑物",IF(结果表!G1="土地","出让国有建设用地使用权",))&amp;B9&amp;"预评估"</f>
        <v>北京市房地产市场价值预评估</v>
      </c>
      <c r="C1" s="3496"/>
      <c r="D1" s="3496"/>
      <c r="E1" s="3496"/>
      <c r="F1" s="3496"/>
      <c r="G1" s="3496"/>
      <c r="H1" s="3496"/>
      <c r="I1" s="349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498"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499"/>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5"/>
      <c r="C16" s="3506"/>
      <c r="D16" s="3507"/>
      <c r="E16" s="2411" t="s">
        <v>2193</v>
      </c>
      <c r="F16" s="3508"/>
      <c r="G16" s="3509"/>
      <c r="H16" s="3509"/>
      <c r="I16" s="3510"/>
      <c r="J16" s="2437"/>
      <c r="K16" s="2615"/>
      <c r="L16" s="2449"/>
      <c r="M16" s="2449"/>
      <c r="N16" s="2507"/>
      <c r="O16" s="2449"/>
      <c r="P16" s="2507"/>
      <c r="Q16" s="2437"/>
      <c r="R16" s="2437"/>
    </row>
    <row r="17" spans="1:28">
      <c r="A17" s="313" t="s">
        <v>2194</v>
      </c>
      <c r="B17" s="302" t="s">
        <v>2195</v>
      </c>
      <c r="C17" s="8">
        <f>'数据-汇总表'!E3</f>
        <v>160.55000000000001</v>
      </c>
      <c r="D17" s="2320" t="s">
        <v>2196</v>
      </c>
      <c r="E17" s="3511" t="s">
        <v>2197</v>
      </c>
      <c r="F17" s="3512"/>
      <c r="G17" s="3512"/>
      <c r="H17" s="3512"/>
      <c r="I17" s="3513"/>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4" t="s">
        <v>2201</v>
      </c>
      <c r="F18" s="3515"/>
      <c r="G18" s="3515"/>
      <c r="H18" s="3515"/>
      <c r="I18" s="3516"/>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1" t="s">
        <v>2205</v>
      </c>
      <c r="C20" s="3502"/>
      <c r="D20" s="3503" t="s">
        <v>2206</v>
      </c>
      <c r="E20" s="3504"/>
      <c r="F20" s="2645" t="s">
        <v>1056</v>
      </c>
      <c r="G20" s="2662"/>
      <c r="H20" s="2662"/>
      <c r="I20" s="2662"/>
      <c r="J20" s="2437"/>
      <c r="K20" s="350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2217</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517" t="s">
        <v>2227</v>
      </c>
      <c r="T34" s="2426" t="str">
        <f>NUMBERSTRING(7-K34,1)&amp;"通"</f>
        <v>七通</v>
      </c>
      <c r="U34" s="2437"/>
      <c r="V34" s="2437"/>
    </row>
    <row r="35" spans="1:30">
      <c r="A35" s="2427"/>
      <c r="B35" s="3524" t="s">
        <v>2228</v>
      </c>
      <c r="C35" s="3524"/>
      <c r="D35" s="3524"/>
      <c r="E35" s="3524"/>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160.55000000000001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160.55000000000001</v>
      </c>
      <c r="H5" s="13">
        <f t="shared" ref="H5:AT5" si="0">SUM(H13:H656)</f>
        <v>160.55000000000001</v>
      </c>
      <c r="I5" s="13">
        <f t="shared" si="0"/>
        <v>160.55000000000001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160.55000000000001</v>
      </c>
      <c r="BA5" s="15">
        <f t="shared" si="1"/>
        <v>160.55000000000001</v>
      </c>
      <c r="BB5" s="15">
        <f t="shared" si="1"/>
        <v>160.55000000000001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160.55000000000001</v>
      </c>
      <c r="H13" s="17">
        <f>SUMIF(I$12:AB$12,"总值",I13:AB13)</f>
        <v>160.55000000000001</v>
      </c>
      <c r="I13" s="1624">
        <v>160.55000000000001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160.55000000000001</v>
      </c>
      <c r="BA13" s="13">
        <f>SUM(BB13:BK13)</f>
        <v>160.55000000000001</v>
      </c>
      <c r="BB13" s="13">
        <f>IF($D13="是",I13-J13,0)</f>
        <v>160.55000000000001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4" sqref="N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4" t="s">
        <v>1131</v>
      </c>
      <c r="B2" s="3534"/>
      <c r="C2" s="3534"/>
      <c r="D2" s="794" t="s">
        <v>1107</v>
      </c>
      <c r="E2" s="1637" t="s">
        <v>1108</v>
      </c>
      <c r="F2" s="2657"/>
      <c r="G2" s="2648"/>
      <c r="H2" s="2649"/>
      <c r="I2" s="2323" t="s">
        <v>1132</v>
      </c>
      <c r="J2" s="2657"/>
      <c r="K2" s="2657"/>
      <c r="L2" s="2657"/>
      <c r="M2" s="2657"/>
      <c r="N2" s="2659"/>
      <c r="O2" s="2657"/>
      <c r="P2" s="2657"/>
    </row>
    <row r="3" spans="1:16" ht="15.75" thickBot="1">
      <c r="A3" s="3535" t="s">
        <v>1105</v>
      </c>
      <c r="B3" s="3535"/>
      <c r="C3" s="3535"/>
      <c r="D3" s="43">
        <f>'数据-基础表'!AY6</f>
        <v>0</v>
      </c>
      <c r="E3" s="43">
        <f>'数据-基础表'!AZ5</f>
        <v>160.55000000000001</v>
      </c>
      <c r="F3" s="2657"/>
      <c r="G3" s="1143"/>
      <c r="H3" s="1024" t="s">
        <v>1106</v>
      </c>
      <c r="I3" s="853" t="e">
        <f>ROUND('数据-基础表'!B3/'数据-基础表'!A3,2)</f>
        <v>#DIV/0!</v>
      </c>
      <c r="J3" s="2657"/>
      <c r="K3" s="2657"/>
      <c r="L3" s="2657"/>
      <c r="M3" s="2657"/>
      <c r="N3" s="2659"/>
      <c r="O3" s="2657"/>
      <c r="P3" s="2657"/>
    </row>
    <row r="4" spans="1:16" ht="15">
      <c r="A4" s="3536"/>
      <c r="B4" s="3537"/>
      <c r="C4" s="353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9" t="s">
        <v>1110</v>
      </c>
      <c r="C5" s="353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9" t="s">
        <v>1111</v>
      </c>
      <c r="C6" s="3539"/>
      <c r="D6" s="45">
        <f>ROUND($D$3*E6/$E$3,2)</f>
        <v>0</v>
      </c>
      <c r="E6" s="46">
        <f>E3-E5</f>
        <v>160.55000000000001</v>
      </c>
      <c r="F6" s="2657"/>
      <c r="G6" s="2651" t="s">
        <v>1112</v>
      </c>
      <c r="H6" s="1144" t="s">
        <v>1113</v>
      </c>
      <c r="I6" s="2652" t="e">
        <f>ROUND(F31/D31,2)</f>
        <v>#DIV/0!</v>
      </c>
      <c r="J6" s="2657"/>
      <c r="K6" s="2657"/>
      <c r="L6" s="2657"/>
      <c r="M6" s="2657"/>
      <c r="N6" s="2657"/>
      <c r="O6" s="2657"/>
      <c r="P6" s="2657"/>
    </row>
    <row r="7" spans="1:16" ht="15.75" thickBot="1">
      <c r="A7" s="3531"/>
      <c r="B7" s="3532"/>
      <c r="C7" s="353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160.55000000000001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160.55000000000001</v>
      </c>
      <c r="F16" s="2657"/>
      <c r="G16" s="2658"/>
      <c r="H16" s="1646" t="s">
        <v>1135</v>
      </c>
      <c r="I16" s="1647"/>
      <c r="J16" s="1137"/>
      <c r="K16" s="3528" t="s">
        <v>1135</v>
      </c>
      <c r="L16" s="3529"/>
      <c r="M16" s="3529"/>
      <c r="N16" s="3529"/>
      <c r="O16" s="3529"/>
      <c r="P16" s="3530"/>
    </row>
    <row r="17" spans="1:19" ht="15">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160.55000000000001</v>
      </c>
      <c r="F19" s="2793">
        <f>'数据-基础表'!I5</f>
        <v>160.55000000000001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160.55000000000001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160.55000000000001</v>
      </c>
      <c r="F27" s="1138">
        <f>IF(SUM(F19:F26)=E8,SUM(F19:F26),"地上面积有误")</f>
        <v>160.55000000000001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160.55000000000001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160.55000000000001</v>
      </c>
      <c r="F31" s="675">
        <f>F27+F30</f>
        <v>160.55000000000001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G18" activePane="bottomRight" state="frozen"/>
      <selection activeCell="C50" sqref="C50"/>
      <selection pane="topRight" activeCell="C50" sqref="C50"/>
      <selection pane="bottomLeft" activeCell="C50" sqref="C50"/>
      <selection pane="bottomRight" activeCell="C57" sqref="C5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160.55000000000001</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497.29520000000002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160.55000000000001</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0" t="s">
        <v>2285</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5.5</v>
      </c>
      <c r="C5" s="2510">
        <f ca="1">IF(B5=D14,结果表!H102,ROUND(B5*10000/$B$1,0))</f>
        <v>9296</v>
      </c>
      <c r="D5" s="2510" t="e">
        <f>ROUND(B5*10000/$B$2,0)</f>
        <v>#DIV/0!</v>
      </c>
      <c r="E5" s="2684"/>
      <c r="F5" s="2685"/>
      <c r="G5" s="2685"/>
      <c r="H5" s="2686"/>
      <c r="I5" s="2686"/>
      <c r="J5" s="2686"/>
      <c r="K5" s="2686"/>
    </row>
    <row r="6" spans="1:11" ht="16.5">
      <c r="A6" s="2510" t="s">
        <v>656</v>
      </c>
      <c r="B6" s="2510">
        <f>SUM(G14:G23)</f>
        <v>5.5</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t="e">
        <f>IF(E10="",0,ROUND(B1*(E10*365/G10)/10000,0))</f>
        <v>#DIV/0!</v>
      </c>
      <c r="C10" s="2510" t="s">
        <v>3359</v>
      </c>
      <c r="D10" s="2510" t="s">
        <v>3360</v>
      </c>
      <c r="E10" s="3439">
        <f>典型户型修正!R24</f>
        <v>5.5</v>
      </c>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310.81</v>
      </c>
      <c r="C14" s="2516">
        <f>Sheet1!E11</f>
        <v>0</v>
      </c>
      <c r="D14" s="2516">
        <f>系统读取表!E10</f>
        <v>5.5</v>
      </c>
      <c r="E14" s="2516">
        <f>ROUND(D14*10000/B14,0)</f>
        <v>177</v>
      </c>
      <c r="F14" s="2516" t="e">
        <f>ROUND(D14*10000/C14,0)</f>
        <v>#DIV/0!</v>
      </c>
      <c r="G14" s="2516">
        <f>D14</f>
        <v>5.5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G23" sqref="G2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2" t="s">
        <v>1265</v>
      </c>
      <c r="B4" s="1753" t="s">
        <v>1266</v>
      </c>
      <c r="C4" s="1754" t="s">
        <v>3431</v>
      </c>
      <c r="D4" s="1754" t="s">
        <v>3398</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5"/>
      <c r="G5" s="1755"/>
      <c r="H5" s="1755"/>
      <c r="I5" s="1371"/>
    </row>
    <row r="6" spans="1:12" ht="12.75">
      <c r="A6" s="3557"/>
      <c r="B6" s="3612"/>
      <c r="C6" s="3617"/>
      <c r="D6" s="3603"/>
      <c r="E6" s="131" t="s">
        <v>1270</v>
      </c>
      <c r="F6" s="1755"/>
      <c r="G6" s="1755"/>
      <c r="H6" s="1755"/>
      <c r="I6" s="1371"/>
    </row>
    <row r="7" spans="1:12" ht="12.75">
      <c r="A7" s="3557"/>
      <c r="B7" s="3612"/>
      <c r="C7" s="3616"/>
      <c r="D7" s="3603"/>
      <c r="E7" s="131" t="s">
        <v>1271</v>
      </c>
      <c r="F7" s="1755"/>
      <c r="G7" s="1755"/>
      <c r="H7" s="1755"/>
      <c r="I7" s="1371"/>
    </row>
    <row r="8" spans="1:12" ht="12.75">
      <c r="A8" s="3557" t="s">
        <v>1272</v>
      </c>
      <c r="B8" s="3612">
        <v>15</v>
      </c>
      <c r="C8" s="3615"/>
      <c r="D8" s="3603"/>
      <c r="E8" s="131" t="s">
        <v>1273</v>
      </c>
      <c r="F8" s="1755"/>
      <c r="G8" s="1755"/>
      <c r="H8" s="1755"/>
      <c r="I8" s="1371"/>
    </row>
    <row r="9" spans="1:12" ht="12.75">
      <c r="A9" s="3557"/>
      <c r="B9" s="3612"/>
      <c r="C9" s="3616"/>
      <c r="D9" s="3603"/>
      <c r="E9" s="131" t="s">
        <v>1274</v>
      </c>
      <c r="F9" s="1755"/>
      <c r="G9" s="1755"/>
      <c r="H9" s="1755"/>
      <c r="I9" s="1371"/>
    </row>
    <row r="10" spans="1:12" ht="12.75">
      <c r="A10" s="3557" t="s">
        <v>1275</v>
      </c>
      <c r="B10" s="3612">
        <v>15</v>
      </c>
      <c r="C10" s="3615"/>
      <c r="D10" s="3603"/>
      <c r="E10" s="131" t="s">
        <v>1276</v>
      </c>
      <c r="F10" s="1755"/>
      <c r="G10" s="1755"/>
      <c r="H10" s="1755"/>
      <c r="I10" s="1371"/>
    </row>
    <row r="11" spans="1:12" ht="12.75">
      <c r="A11" s="3557"/>
      <c r="B11" s="3612"/>
      <c r="C11" s="3616"/>
      <c r="D11" s="3603"/>
      <c r="E11" s="131" t="s">
        <v>1277</v>
      </c>
      <c r="F11" s="1755"/>
      <c r="G11" s="1755"/>
      <c r="H11" s="1755"/>
      <c r="I11" s="1371"/>
    </row>
    <row r="12" spans="1:12" ht="12.75">
      <c r="A12" s="3557" t="s">
        <v>1278</v>
      </c>
      <c r="B12" s="3612">
        <v>15</v>
      </c>
      <c r="C12" s="3615"/>
      <c r="D12" s="3603"/>
      <c r="E12" s="131" t="s">
        <v>1279</v>
      </c>
      <c r="F12" s="1755"/>
      <c r="G12" s="1755"/>
      <c r="H12" s="1755"/>
      <c r="I12" s="1371"/>
    </row>
    <row r="13" spans="1:12" ht="12.75">
      <c r="A13" s="3557"/>
      <c r="B13" s="3612"/>
      <c r="C13" s="3616"/>
      <c r="D13" s="3603"/>
      <c r="E13" s="131" t="s">
        <v>1280</v>
      </c>
      <c r="F13" s="1755"/>
      <c r="G13" s="1755"/>
      <c r="H13" s="1755"/>
      <c r="I13" s="1371"/>
    </row>
    <row r="14" spans="1:12" ht="12.75">
      <c r="A14" s="3557" t="s">
        <v>1281</v>
      </c>
      <c r="B14" s="3612">
        <v>30</v>
      </c>
      <c r="C14" s="3615">
        <v>7</v>
      </c>
      <c r="D14" s="3603">
        <v>3</v>
      </c>
      <c r="E14" s="131" t="s">
        <v>1282</v>
      </c>
      <c r="F14" s="1755"/>
      <c r="G14" s="1755"/>
      <c r="H14" s="1755"/>
      <c r="I14" s="1371"/>
    </row>
    <row r="15" spans="1:12" ht="12.75">
      <c r="A15" s="3557"/>
      <c r="B15" s="3612"/>
      <c r="C15" s="3617"/>
      <c r="D15" s="3603"/>
      <c r="E15" s="131" t="s">
        <v>1283</v>
      </c>
      <c r="F15" s="1755"/>
      <c r="G15" s="1755"/>
      <c r="H15" s="1755"/>
      <c r="I15" s="1371"/>
    </row>
    <row r="16" spans="1:12" ht="12.75">
      <c r="A16" s="3557"/>
      <c r="B16" s="3612"/>
      <c r="C16" s="3616"/>
      <c r="D16" s="3603"/>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4" t="s">
        <v>2130</v>
      </c>
      <c r="F18" s="3635"/>
      <c r="G18" s="3635"/>
      <c r="H18" s="3635"/>
      <c r="I18" s="3635"/>
      <c r="K18" s="302" t="s">
        <v>1289</v>
      </c>
      <c r="L18" s="302">
        <f>IF(C1="",'数据-汇总表'!E3,SUMIF(项目类型,C1,'数据-汇总表'!E17:E26)+SUMIF(项目类型,C1,'数据-汇总表'!I17:I26))</f>
        <v>160.55000000000001</v>
      </c>
      <c r="M18" s="302">
        <f>IF(C1="",'数据-汇总表'!E3,SUMIF(项目类型,C1,'数据-汇总表'!E17:E26))</f>
        <v>160.55000000000001</v>
      </c>
    </row>
    <row r="19" spans="1:36" ht="15">
      <c r="A19" s="1759" t="s">
        <v>1290</v>
      </c>
      <c r="B19" s="1760" t="s">
        <v>1291</v>
      </c>
      <c r="C19" s="134">
        <f ca="1">SUMIF(INDIRECT("'"&amp;C4&amp;"'"&amp;"!A:A"),结果表!B19,INDIRECT("'"&amp;C4&amp;"'"&amp;"!B:B"))</f>
        <v>8.8300000000000003E-2</v>
      </c>
      <c r="D19" s="135">
        <f ca="1">SUMIF(INDIRECT("'"&amp;D4&amp;"'"&amp;"!A:A"),结果表!B19,INDIRECT("'"&amp;D4&amp;"'"&amp;"!B:B"))</f>
        <v>497.29520000000002</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5630.8822197055497</v>
      </c>
      <c r="E22" s="129"/>
      <c r="F22" s="129"/>
      <c r="G22" s="129"/>
      <c r="H22" s="129"/>
      <c r="I22" s="129"/>
    </row>
    <row r="23" spans="1:36" ht="13.5" thickBot="1">
      <c r="A23" s="1745"/>
      <c r="B23" s="1745"/>
      <c r="C23" s="1745"/>
      <c r="D23" s="1745"/>
      <c r="E23" s="129"/>
      <c r="F23" s="129"/>
      <c r="G23" s="129"/>
      <c r="H23" s="129"/>
      <c r="I23" s="129"/>
    </row>
    <row r="24" spans="1:36" ht="14.25">
      <c r="A24" s="3627" t="s">
        <v>1299</v>
      </c>
      <c r="B24" s="1760" t="s">
        <v>1291</v>
      </c>
      <c r="C24" s="136">
        <f>IF(B30=0,0,D30)</f>
        <v>0</v>
      </c>
      <c r="D24" s="1767"/>
      <c r="E24" s="129"/>
      <c r="F24" s="129"/>
      <c r="G24" s="129"/>
      <c r="H24" s="129"/>
      <c r="I24" s="129"/>
    </row>
    <row r="25" spans="1:36" ht="14.25">
      <c r="A25" s="362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604" t="s">
        <v>1312</v>
      </c>
      <c r="B36" s="1785" t="s">
        <v>1313</v>
      </c>
      <c r="C36" s="145"/>
      <c r="D36" s="1786"/>
      <c r="E36" s="1787"/>
      <c r="F36" s="1788"/>
      <c r="G36" s="129"/>
      <c r="H36" s="129"/>
      <c r="I36" s="129"/>
    </row>
    <row r="37" spans="1:15" ht="15.75" thickBot="1">
      <c r="A37" s="3605"/>
      <c r="B37" s="1672" t="s">
        <v>1314</v>
      </c>
      <c r="C37" s="147"/>
      <c r="D37" s="1137"/>
      <c r="E37" s="1137"/>
      <c r="F37" s="1788"/>
      <c r="G37" s="129"/>
      <c r="H37" s="129"/>
      <c r="I37" s="129"/>
    </row>
    <row r="38" spans="1:15" ht="15.75" thickBot="1">
      <c r="A38" s="360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4" t="s">
        <v>1326</v>
      </c>
      <c r="B45" s="3625"/>
      <c r="C45" s="3626"/>
      <c r="D45" s="155">
        <f ca="1">ROUND(H101*F45,0)</f>
        <v>149</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4"/>
      <c r="I46" s="159"/>
      <c r="J46" s="2521">
        <v>1</v>
      </c>
      <c r="K46" s="3545" t="s">
        <v>1331</v>
      </c>
      <c r="L46" s="3545"/>
      <c r="M46" s="3546"/>
      <c r="N46" s="3546"/>
      <c r="O46" s="3546"/>
    </row>
    <row r="47" spans="1:15" ht="12" customHeight="1">
      <c r="A47" s="160" t="s">
        <v>1332</v>
      </c>
      <c r="B47" s="161"/>
      <c r="C47" s="162"/>
      <c r="D47" s="1085" t="s">
        <v>1333</v>
      </c>
      <c r="E47" s="302" t="s">
        <v>1334</v>
      </c>
      <c r="F47" s="163" t="s">
        <v>1335</v>
      </c>
      <c r="G47" s="2544" t="s">
        <v>1336</v>
      </c>
      <c r="H47" s="2545"/>
      <c r="I47" s="159"/>
      <c r="J47" s="2521">
        <v>2</v>
      </c>
      <c r="K47" s="3545" t="s">
        <v>1337</v>
      </c>
      <c r="L47" s="3545"/>
      <c r="M47" s="3547">
        <f>'数据-取费表'!B2</f>
        <v>45247</v>
      </c>
      <c r="N47" s="3547"/>
      <c r="O47" s="3547"/>
    </row>
    <row r="48" spans="1:15" ht="25.5">
      <c r="A48" s="3607" t="s">
        <v>1338</v>
      </c>
      <c r="B48" s="3608"/>
      <c r="C48" s="3608"/>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545" t="s">
        <v>1340</v>
      </c>
      <c r="L48" s="3545"/>
      <c r="M48" s="3548">
        <f ca="1">H101</f>
        <v>149</v>
      </c>
      <c r="N48" s="3548"/>
      <c r="O48" s="3548"/>
    </row>
    <row r="49" spans="1:35" ht="25.5" customHeight="1">
      <c r="A49" s="2331" t="s">
        <v>1341</v>
      </c>
      <c r="B49" s="3593" t="s">
        <v>1342</v>
      </c>
      <c r="C49" s="3593"/>
      <c r="D49" s="1588">
        <v>0</v>
      </c>
      <c r="E49" s="324" t="s">
        <v>1343</v>
      </c>
      <c r="F49" s="2422" t="s">
        <v>28</v>
      </c>
      <c r="G49" s="3576"/>
      <c r="H49" s="2308" t="s">
        <v>2133</v>
      </c>
      <c r="I49" s="2309"/>
      <c r="J49" s="2521">
        <v>4</v>
      </c>
      <c r="K49" s="3545" t="str">
        <f>IF(项目基本情况!E8="房地产抵押价值","房地产抵押价值","抵押担保权已注销时的房地产抵押价值")</f>
        <v>抵押担保权已注销时的房地产抵押价值</v>
      </c>
      <c r="L49" s="3545"/>
      <c r="M49" s="3548" t="str">
        <f>IF(项目基本情况!E8="房地产抵押价值",H107,H109)</f>
        <v>——</v>
      </c>
      <c r="N49" s="3548"/>
      <c r="O49" s="3548"/>
    </row>
    <row r="50" spans="1:35" ht="25.5" customHeight="1">
      <c r="A50" s="2549"/>
      <c r="B50" s="3593" t="s">
        <v>1344</v>
      </c>
      <c r="C50" s="3593"/>
      <c r="D50" s="2550"/>
      <c r="E50" s="332"/>
      <c r="F50" s="2422"/>
      <c r="G50" s="3577"/>
      <c r="H50" s="2310" t="s">
        <v>2134</v>
      </c>
      <c r="I50" s="2309"/>
      <c r="J50" s="3544" t="s">
        <v>1345</v>
      </c>
      <c r="K50" s="3544"/>
      <c r="L50" s="3544"/>
      <c r="M50" s="3544"/>
      <c r="N50" s="3544"/>
      <c r="O50" s="3544"/>
    </row>
    <row r="51" spans="1:35" ht="20.45" customHeight="1">
      <c r="A51" s="2551"/>
      <c r="B51" s="3593" t="s">
        <v>1346</v>
      </c>
      <c r="C51" s="3593"/>
      <c r="D51" s="1085"/>
      <c r="E51" s="327"/>
      <c r="F51" s="2422"/>
      <c r="G51" s="3578"/>
      <c r="H51" s="2310" t="s">
        <v>2135</v>
      </c>
      <c r="I51" s="2309"/>
      <c r="J51" s="2522" t="s">
        <v>1347</v>
      </c>
      <c r="K51" s="3545" t="s">
        <v>1348</v>
      </c>
      <c r="L51" s="3545"/>
      <c r="M51" s="2522" t="s">
        <v>1349</v>
      </c>
      <c r="N51" s="2522" t="s">
        <v>1350</v>
      </c>
      <c r="O51" s="2522" t="s">
        <v>1351</v>
      </c>
    </row>
    <row r="52" spans="1:35" ht="24" customHeight="1">
      <c r="A52" s="2333" t="s">
        <v>1352</v>
      </c>
      <c r="B52" s="3593" t="s">
        <v>1353</v>
      </c>
      <c r="C52" s="3593"/>
      <c r="D52" s="1085">
        <f ca="1">ROUND(D45*'数据-取费表'!B41/(1+'数据-取费表'!C42),0)</f>
        <v>8</v>
      </c>
      <c r="E52" s="2332" t="s">
        <v>1354</v>
      </c>
      <c r="F52" s="2552">
        <f>'数据-取费表'!B41</f>
        <v>5.6000000000000001E-2</v>
      </c>
      <c r="G52" s="2553"/>
      <c r="H52" s="2542"/>
      <c r="I52" s="1805"/>
      <c r="J52" s="2521">
        <v>1</v>
      </c>
      <c r="K52" s="3570" t="s">
        <v>1355</v>
      </c>
      <c r="L52" s="3570"/>
      <c r="M52" s="2523">
        <f ca="1">D48</f>
        <v>8</v>
      </c>
      <c r="N52" s="2521" t="str">
        <f>E48</f>
        <v>销售额×税（费）率</v>
      </c>
      <c r="O52" s="2524">
        <f>F48</f>
        <v>5.6000000000000001E-2</v>
      </c>
    </row>
    <row r="53" spans="1:35" ht="12" customHeight="1">
      <c r="A53" s="2333" t="s">
        <v>1356</v>
      </c>
      <c r="B53" s="3594" t="s">
        <v>2290</v>
      </c>
      <c r="C53" s="3595"/>
      <c r="D53" s="1085">
        <f ca="1">ROUND(D45*'数据-取费表'!B41/(1+'数据-取费表'!C42),0)</f>
        <v>8</v>
      </c>
      <c r="E53" s="2332" t="s">
        <v>1354</v>
      </c>
      <c r="F53" s="2552">
        <f>'数据-取费表'!B41</f>
        <v>5.6000000000000001E-2</v>
      </c>
      <c r="G53" s="2553"/>
      <c r="H53" s="2542"/>
      <c r="I53" s="1805"/>
      <c r="J53" s="2521">
        <v>2</v>
      </c>
      <c r="K53" s="3570" t="s">
        <v>1357</v>
      </c>
      <c r="L53" s="3570"/>
      <c r="M53" s="2523">
        <f t="shared" ref="M53:O54" ca="1" si="0">D55</f>
        <v>0</v>
      </c>
      <c r="N53" s="2521" t="str">
        <f t="shared" si="0"/>
        <v>销售额×税（费）率</v>
      </c>
      <c r="O53" s="2524">
        <f t="shared" si="0"/>
        <v>5.0000000000000001E-4</v>
      </c>
    </row>
    <row r="54" spans="1:35" ht="12" customHeight="1">
      <c r="A54" s="2333" t="s">
        <v>1358</v>
      </c>
      <c r="B54" s="3594" t="s">
        <v>2291</v>
      </c>
      <c r="C54" s="3595"/>
      <c r="D54" s="1085">
        <f ca="1">C68</f>
        <v>8</v>
      </c>
      <c r="E54" s="327" t="s">
        <v>1359</v>
      </c>
      <c r="F54" s="2552">
        <f>'数据-取费表'!B41</f>
        <v>5.6000000000000001E-2</v>
      </c>
      <c r="G54" s="2553"/>
      <c r="H54" s="2554"/>
      <c r="I54" s="1805"/>
      <c r="J54" s="2521">
        <v>3</v>
      </c>
      <c r="K54" s="3570" t="s">
        <v>1360</v>
      </c>
      <c r="L54" s="3570"/>
      <c r="M54" s="2523">
        <f t="shared" ca="1" si="0"/>
        <v>84</v>
      </c>
      <c r="N54" s="2521" t="str">
        <f t="shared" si="0"/>
        <v>增值额×税（费）率</v>
      </c>
      <c r="O54" s="2525" t="str">
        <f t="shared" si="0"/>
        <v>——</v>
      </c>
    </row>
    <row r="55" spans="1:35" ht="24" customHeight="1">
      <c r="A55" s="3630" t="s">
        <v>1361</v>
      </c>
      <c r="B55" s="3608"/>
      <c r="C55" s="3608"/>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570" t="str">
        <f>IF(H59="非个人房产","——","个人所得税")</f>
        <v>个人所得税</v>
      </c>
      <c r="L55" s="3570"/>
      <c r="M55" s="2526">
        <f ca="1">D59</f>
        <v>1</v>
      </c>
      <c r="N55" s="2038" t="str">
        <f>E59</f>
        <v>差额计税</v>
      </c>
      <c r="O55" s="2527">
        <f>F59</f>
        <v>0.01</v>
      </c>
    </row>
    <row r="56" spans="1:35" ht="24.75">
      <c r="A56" s="3630" t="s">
        <v>1363</v>
      </c>
      <c r="B56" s="3608"/>
      <c r="C56" s="3608"/>
      <c r="D56" s="2322">
        <f ca="1">IF(H56="个人住宅",D57,D58)</f>
        <v>84</v>
      </c>
      <c r="E56" s="2332" t="s">
        <v>1364</v>
      </c>
      <c r="F56" s="2552" t="str">
        <f>IF(H56="正常",F58,"免征")</f>
        <v>——</v>
      </c>
      <c r="G56" s="2555" t="s">
        <v>1365</v>
      </c>
      <c r="H56" s="2556" t="s">
        <v>3403</v>
      </c>
      <c r="I56" s="1806"/>
      <c r="J56" s="2521" t="str">
        <f>IF(项目基本情况!K6="上海银行",IF(J55="",4,J55+1),"")</f>
        <v/>
      </c>
      <c r="K56" s="3551" t="str">
        <f>IF(项目基本情况!K6="上海银行","其他处置费用","")</f>
        <v/>
      </c>
      <c r="L56" s="3552"/>
      <c r="M56" s="2523" t="str">
        <f>IF(项目基本情况!K6="上海银行",M69,"")</f>
        <v/>
      </c>
      <c r="N56" s="3551" t="str">
        <f>IF(项目基本情况!K6="上海银行","包含处置中涉及的律师、诉讼、拍卖、评估等费用","")</f>
        <v/>
      </c>
      <c r="O56" s="3554"/>
    </row>
    <row r="57" spans="1:35" ht="12.75">
      <c r="A57" s="2333" t="s">
        <v>1341</v>
      </c>
      <c r="B57" s="3594" t="s">
        <v>1366</v>
      </c>
      <c r="C57" s="3595"/>
      <c r="D57" s="1588">
        <v>0</v>
      </c>
      <c r="E57" s="324" t="s">
        <v>1343</v>
      </c>
      <c r="F57" s="302"/>
      <c r="G57" s="2553"/>
      <c r="H57" s="2557"/>
      <c r="I57" s="1806"/>
      <c r="J57" s="3570">
        <f>IF(AND(J55="",J56=""),4,IF(项目基本情况!K6="上海银行",结果表!J56+1,结果表!J55+1))</f>
        <v>5</v>
      </c>
      <c r="K57" s="3570" t="s">
        <v>1367</v>
      </c>
      <c r="L57" s="2528" t="s">
        <v>1368</v>
      </c>
      <c r="M57" s="2529"/>
      <c r="N57" s="2530">
        <f ca="1">SUMIF(M52:M56,"&lt;9e307")</f>
        <v>93</v>
      </c>
      <c r="O57" s="2531"/>
      <c r="P57" s="2688" t="e">
        <f ca="1">N57/M49</f>
        <v>#VALUE!</v>
      </c>
    </row>
    <row r="58" spans="1:35" ht="24.75">
      <c r="A58" s="2333" t="s">
        <v>1352</v>
      </c>
      <c r="B58" s="3594" t="s">
        <v>1369</v>
      </c>
      <c r="C58" s="3593"/>
      <c r="D58" s="2322">
        <f ca="1">IF(H58="转让取得",C81,C97)</f>
        <v>84</v>
      </c>
      <c r="E58" s="2332" t="s">
        <v>1364</v>
      </c>
      <c r="F58" s="302" t="s">
        <v>28</v>
      </c>
      <c r="G58" s="2553"/>
      <c r="H58" s="2556" t="s">
        <v>3436</v>
      </c>
      <c r="I58" s="1806"/>
      <c r="J58" s="3570"/>
      <c r="K58" s="3570"/>
      <c r="L58" s="2528" t="s">
        <v>1370</v>
      </c>
      <c r="M58" s="2532"/>
      <c r="N58" s="2533" t="str">
        <f ca="1">NUMBERSTRING(INT(N57*10000),2)&amp;"元整"</f>
        <v>玖拾叁万元整</v>
      </c>
      <c r="O58" s="2534"/>
    </row>
    <row r="59" spans="1:35" ht="24.75" thickBot="1">
      <c r="A59" s="3574" t="s">
        <v>1371</v>
      </c>
      <c r="B59" s="3575"/>
      <c r="C59" s="3575"/>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2">
        <f>J57+1</f>
        <v>6</v>
      </c>
      <c r="K59" s="3570" t="s">
        <v>1372</v>
      </c>
      <c r="L59" s="2521" t="s">
        <v>1368</v>
      </c>
      <c r="M59" s="2535"/>
      <c r="N59" s="2536" t="e">
        <f ca="1">M49-N57</f>
        <v>#VALUE!</v>
      </c>
      <c r="O59" s="2537"/>
    </row>
    <row r="60" spans="1:35" ht="12" customHeight="1">
      <c r="A60" s="1807"/>
      <c r="B60" s="1745"/>
      <c r="C60" s="1745"/>
      <c r="D60" s="1745"/>
      <c r="E60" s="1576"/>
      <c r="F60" s="1806"/>
      <c r="G60" s="1806"/>
      <c r="H60" s="1808"/>
      <c r="I60" s="129"/>
      <c r="J60" s="3573"/>
      <c r="K60" s="3570"/>
      <c r="L60" s="2528" t="s">
        <v>1370</v>
      </c>
      <c r="M60" s="2532"/>
      <c r="N60" s="2533" t="e">
        <f ca="1">NUMBERSTRING(INT(N59*10000),2)&amp;"元整"</f>
        <v>#VALUE!</v>
      </c>
      <c r="O60" s="2534"/>
    </row>
    <row r="61" spans="1:35" ht="13.5" thickBot="1">
      <c r="A61" s="3629" t="s">
        <v>1373</v>
      </c>
      <c r="B61" s="3629"/>
      <c r="C61" s="3629"/>
      <c r="D61" s="3629"/>
      <c r="E61" s="3629"/>
      <c r="F61" s="1806"/>
      <c r="G61" s="1806"/>
      <c r="H61" s="1808"/>
      <c r="I61" s="129"/>
      <c r="J61" s="2521">
        <f>J59+1</f>
        <v>7</v>
      </c>
      <c r="K61" s="3570" t="s">
        <v>1374</v>
      </c>
      <c r="L61" s="3570"/>
      <c r="M61" s="2538"/>
      <c r="N61" s="2539" t="e">
        <f ca="1">ROUND(N59*10000/'数据-汇总表'!E3,0)</f>
        <v>#VALUE!</v>
      </c>
      <c r="O61" s="2540"/>
    </row>
    <row r="62" spans="1:35" ht="12.75">
      <c r="A62" s="3589" t="s">
        <v>1375</v>
      </c>
      <c r="B62" s="3590"/>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553"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553"/>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53"/>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53"/>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553"/>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553"/>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53"/>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9" t="s">
        <v>1375</v>
      </c>
      <c r="B71" s="359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4" t="s">
        <v>1402</v>
      </c>
      <c r="F76" s="3593"/>
      <c r="G76" s="3593"/>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86" t="s">
        <v>1406</v>
      </c>
      <c r="F78" s="3587"/>
      <c r="G78" s="3587"/>
      <c r="H78" s="358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9" t="s">
        <v>1375</v>
      </c>
      <c r="B84" s="359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5" t="s">
        <v>2128</v>
      </c>
      <c r="H90" s="3556"/>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6" t="s">
        <v>1419</v>
      </c>
      <c r="F91" s="3587"/>
      <c r="G91" s="358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6" t="s">
        <v>1422</v>
      </c>
      <c r="F92" s="3587"/>
      <c r="G92" s="3587"/>
      <c r="H92" s="358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86" t="s">
        <v>1406</v>
      </c>
      <c r="F93" s="3587"/>
      <c r="G93" s="3587"/>
      <c r="H93" s="358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1" t="s">
        <v>1426</v>
      </c>
      <c r="F94" s="3632"/>
      <c r="G94" s="3632"/>
      <c r="H94" s="363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3" t="str">
        <f>C4</f>
        <v>比较法-办公</v>
      </c>
      <c r="D101" s="2584" t="str">
        <f>D4</f>
        <v>收益法 (元)</v>
      </c>
      <c r="E101" s="3549" t="s">
        <v>1431</v>
      </c>
      <c r="F101" s="3550"/>
      <c r="G101" s="1825" t="s">
        <v>1432</v>
      </c>
      <c r="H101" s="2593">
        <f ca="1">H118</f>
        <v>149</v>
      </c>
      <c r="I101" s="129"/>
    </row>
    <row r="102" spans="1:35" ht="18.75" customHeight="1">
      <c r="A102" s="3581" t="s">
        <v>1433</v>
      </c>
      <c r="B102" s="2582" t="s">
        <v>1432</v>
      </c>
      <c r="C102" s="2583">
        <f ca="1">IF(D32="楼面单价",ROUND(C19,0),C19)</f>
        <v>0</v>
      </c>
      <c r="D102" s="2584">
        <f ca="1">IF(D32="楼面单价",ROUND(D19,0),D19)</f>
        <v>497</v>
      </c>
      <c r="E102" s="3549"/>
      <c r="F102" s="3550"/>
      <c r="G102" s="1825" t="s">
        <v>1434</v>
      </c>
      <c r="H102" s="2553">
        <f ca="1">I118</f>
        <v>9296</v>
      </c>
      <c r="I102" s="129"/>
    </row>
    <row r="103" spans="1:35" ht="42.75" customHeight="1">
      <c r="A103" s="3581"/>
      <c r="B103" s="2582" t="s">
        <v>1434</v>
      </c>
      <c r="C103" s="2585">
        <f ca="1">C20</f>
        <v>5.5</v>
      </c>
      <c r="D103" s="2586">
        <f ca="1">D20</f>
        <v>30974</v>
      </c>
      <c r="E103" s="3542" t="s">
        <v>1435</v>
      </c>
      <c r="F103" s="3543"/>
      <c r="G103" s="1826" t="s">
        <v>1436</v>
      </c>
      <c r="H103" s="2593">
        <f>IF(D36="正常操作",H104+H105+H106,H105+H106)</f>
        <v>0</v>
      </c>
      <c r="I103" s="129"/>
    </row>
    <row r="104" spans="1:35" ht="18.75" customHeight="1">
      <c r="A104" s="3581"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91"/>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2" t="str">
        <f>IF(项目基本情况!E8="已注销","——","3.房地产抵押价值")</f>
        <v>3.房地产抵押价值</v>
      </c>
      <c r="F107" s="3550"/>
      <c r="G107" s="1825" t="s">
        <v>1432</v>
      </c>
      <c r="H107" s="2593">
        <f ca="1">IF(E107="——","——",H101-H103)</f>
        <v>149</v>
      </c>
      <c r="I107" s="129"/>
    </row>
    <row r="108" spans="1:35" ht="18.75" customHeight="1">
      <c r="A108" s="129"/>
      <c r="B108" s="129"/>
      <c r="C108" s="129"/>
      <c r="D108" s="129"/>
      <c r="E108" s="3582"/>
      <c r="F108" s="3550"/>
      <c r="G108" s="1825" t="s">
        <v>1434</v>
      </c>
      <c r="H108" s="2553">
        <f ca="1">IF(H107=H101,H102,ROUND(H107*10000/'数据-汇总表'!E3,0))</f>
        <v>9296</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5" t="s">
        <v>1432</v>
      </c>
      <c r="H109" s="2596" t="str">
        <f>IF(E109="——","——",H101-H105-H106)</f>
        <v>——</v>
      </c>
      <c r="I109" s="129"/>
    </row>
    <row r="110" spans="1:35" ht="18.75" customHeight="1">
      <c r="A110" s="129"/>
      <c r="B110" s="129"/>
      <c r="C110" s="129"/>
      <c r="D110" s="129"/>
      <c r="E110" s="3582"/>
      <c r="F110" s="3550"/>
      <c r="G110" s="1825" t="s">
        <v>1434</v>
      </c>
      <c r="H110" s="2553"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5" t="s">
        <v>1432</v>
      </c>
      <c r="H111" s="2593" t="str">
        <f>IF(E111="——","——",N59)</f>
        <v>——</v>
      </c>
      <c r="I111" s="129"/>
    </row>
    <row r="112" spans="1:35" ht="18.75" customHeight="1" thickBot="1">
      <c r="A112" s="129"/>
      <c r="B112" s="129"/>
      <c r="C112" s="129"/>
      <c r="D112" s="129"/>
      <c r="E112" s="3584"/>
      <c r="F112" s="3585"/>
      <c r="G112" s="1828" t="s">
        <v>1434</v>
      </c>
      <c r="H112" s="2597" t="str">
        <f>IF(E111="——","——",N61)</f>
        <v>——</v>
      </c>
      <c r="I112" s="129"/>
    </row>
    <row r="113" spans="1:27" ht="18.75" customHeight="1">
      <c r="A113" s="129"/>
      <c r="B113" s="129"/>
      <c r="C113" s="129"/>
      <c r="D113" s="129"/>
      <c r="E113" s="3592" t="s">
        <v>1440</v>
      </c>
      <c r="F113" s="3592"/>
      <c r="G113" s="3592"/>
      <c r="H113" s="3592"/>
      <c r="I113" s="129"/>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160.55000000000001</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57" t="s">
        <v>1452</v>
      </c>
      <c r="B119" s="3557"/>
      <c r="C119" s="3557"/>
      <c r="D119" s="3563" t="e">
        <f ca="1">NUMBERSTRING(INT(D118*10000),2)&amp;"元整"</f>
        <v>#DIV/0!</v>
      </c>
      <c r="E119" s="3564"/>
      <c r="F119" s="3563" t="e">
        <f ca="1">NUMBERSTRING(INT(F118*10000),2)&amp;"元整"</f>
        <v>#DIV/0!</v>
      </c>
      <c r="G119" s="3564"/>
      <c r="H119" s="3563" t="str">
        <f ca="1">NUMBERSTRING(INT(H118*10000),2)&amp;"元整"</f>
        <v>壹佰肆拾玖万元整</v>
      </c>
      <c r="I119" s="3564"/>
    </row>
    <row r="120" spans="1:27" ht="18.75" customHeight="1">
      <c r="A120" s="3558" t="str">
        <f>IF(项目基本情况!B9="房地产市场价值","",MID(E103,3,LEN(E103)-2))</f>
        <v/>
      </c>
      <c r="B120" s="3559"/>
      <c r="C120" s="3560"/>
      <c r="D120" s="3558">
        <f>H103</f>
        <v>0</v>
      </c>
      <c r="E120" s="3559"/>
      <c r="F120" s="3559"/>
      <c r="G120" s="3559"/>
      <c r="H120" s="3559"/>
      <c r="I120" s="3560"/>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63" t="s">
        <v>1452</v>
      </c>
      <c r="B121" s="3565"/>
      <c r="C121" s="3564"/>
      <c r="D121" s="3563" t="str">
        <f>IF(D120=0,"零元整",NUMBERSTRING(INT(D120*10000),2)&amp;"元整")</f>
        <v>零元整</v>
      </c>
      <c r="E121" s="3565"/>
      <c r="F121" s="3565"/>
      <c r="G121" s="3565"/>
      <c r="H121" s="3565"/>
      <c r="I121" s="3564"/>
      <c r="AA121" s="723"/>
    </row>
    <row r="122" spans="1:27" ht="18.75" customHeight="1">
      <c r="A122" s="3569" t="str">
        <f>IF(项目基本情况!B9="房地产市场价值","",MID(E107,3,LEN(E107)-2))</f>
        <v/>
      </c>
      <c r="B122" s="3569"/>
      <c r="C122" s="3569"/>
      <c r="D122" s="3558">
        <f ca="1">H107</f>
        <v>149</v>
      </c>
      <c r="E122" s="3559"/>
      <c r="F122" s="3559"/>
      <c r="G122" s="3559"/>
      <c r="H122" s="3559"/>
      <c r="I122" s="3560"/>
      <c r="AA122" s="723"/>
    </row>
    <row r="123" spans="1:27" ht="18.75" customHeight="1">
      <c r="A123" s="3557" t="s">
        <v>1452</v>
      </c>
      <c r="B123" s="3557"/>
      <c r="C123" s="3557"/>
      <c r="D123" s="3563" t="str">
        <f ca="1">NUMBERSTRING(INT(D122*10000),2)&amp;"元整"</f>
        <v>壹佰肆拾玖万元整</v>
      </c>
      <c r="E123" s="3565"/>
      <c r="F123" s="3565"/>
      <c r="G123" s="3565"/>
      <c r="H123" s="3565"/>
      <c r="I123" s="3564"/>
      <c r="AA123" s="723"/>
    </row>
    <row r="124" spans="1:27" ht="18.75" customHeight="1">
      <c r="A124" s="3569" t="str">
        <f>IF(项目基本情况!B9="房地产市场价值","",MID(E109,3,LEN(E109)-2))</f>
        <v/>
      </c>
      <c r="B124" s="3569"/>
      <c r="C124" s="3569"/>
      <c r="D124" s="3558" t="str">
        <f>H109</f>
        <v>——</v>
      </c>
      <c r="E124" s="3559"/>
      <c r="F124" s="3559"/>
      <c r="G124" s="3559"/>
      <c r="H124" s="3559"/>
      <c r="I124" s="3560"/>
      <c r="AA124" s="723"/>
    </row>
    <row r="125" spans="1:27" ht="18.75" customHeight="1">
      <c r="A125" s="3557" t="s">
        <v>1452</v>
      </c>
      <c r="B125" s="3557"/>
      <c r="C125" s="3557"/>
      <c r="D125" s="3563" t="e">
        <f>NUMBERSTRING(INT(D124*10000),2)&amp;"元整"</f>
        <v>#VALUE!</v>
      </c>
      <c r="E125" s="3565"/>
      <c r="F125" s="3565"/>
      <c r="G125" s="3565"/>
      <c r="H125" s="3565"/>
      <c r="I125" s="3564"/>
      <c r="AA125" s="723"/>
    </row>
    <row r="126" spans="1:27" ht="18.75" customHeight="1">
      <c r="A126" s="3569" t="str">
        <f>IF(项目基本情况!B9="房地产市场价值","",MID(E111,3,LEN(E111)-2))</f>
        <v/>
      </c>
      <c r="B126" s="3569"/>
      <c r="C126" s="3569"/>
      <c r="D126" s="3558" t="str">
        <f>H111</f>
        <v>——</v>
      </c>
      <c r="E126" s="3559"/>
      <c r="F126" s="3559"/>
      <c r="G126" s="3559"/>
      <c r="H126" s="3559"/>
      <c r="I126" s="3560"/>
      <c r="AA126" s="723"/>
    </row>
    <row r="127" spans="1:27" ht="18.75" customHeight="1">
      <c r="A127" s="3557" t="s">
        <v>1452</v>
      </c>
      <c r="B127" s="3557"/>
      <c r="C127" s="3557"/>
      <c r="D127" s="3563" t="e">
        <f>NUMBERSTRING(INT(D126*10000),2)&amp;"元整"</f>
        <v>#VALUE!</v>
      </c>
      <c r="E127" s="3565"/>
      <c r="F127" s="3565"/>
      <c r="G127" s="3565"/>
      <c r="H127" s="3565"/>
      <c r="I127" s="3564"/>
      <c r="AA127" s="723"/>
    </row>
    <row r="128" spans="1:27" ht="21.75" customHeight="1">
      <c r="A128" s="3566" t="s">
        <v>1453</v>
      </c>
      <c r="B128" s="3566"/>
      <c r="C128" s="3566"/>
      <c r="D128" s="3566"/>
      <c r="E128" s="3566"/>
      <c r="F128" s="3566"/>
      <c r="G128" s="3566"/>
      <c r="H128" s="3566"/>
      <c r="I128" s="356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I30"/>
  <sheetViews>
    <sheetView workbookViewId="0">
      <selection activeCell="B30" sqref="B30"/>
    </sheetView>
  </sheetViews>
  <sheetFormatPr defaultRowHeight="13.5"/>
  <cols>
    <col min="2" max="2" width="33.5" customWidth="1"/>
    <col min="3" max="3" width="33.75" customWidth="1"/>
  </cols>
  <sheetData>
    <row r="1" spans="7:9">
      <c r="G1" s="3452" t="s">
        <v>3443</v>
      </c>
      <c r="H1" s="3452" t="s">
        <v>3441</v>
      </c>
      <c r="I1" s="3452" t="s">
        <v>3442</v>
      </c>
    </row>
    <row r="3" spans="7:9">
      <c r="G3" s="3452" t="s">
        <v>3444</v>
      </c>
      <c r="H3">
        <v>106.65</v>
      </c>
      <c r="I3">
        <v>5.5</v>
      </c>
    </row>
    <row r="4" spans="7:9">
      <c r="G4" s="3452" t="s">
        <v>3444</v>
      </c>
      <c r="H4">
        <v>245.28</v>
      </c>
      <c r="I4">
        <v>6.8</v>
      </c>
    </row>
    <row r="6" spans="7:9">
      <c r="G6" s="3452" t="s">
        <v>3446</v>
      </c>
      <c r="H6">
        <v>148</v>
      </c>
      <c r="I6">
        <v>6.5</v>
      </c>
    </row>
    <row r="10" spans="7:9">
      <c r="G10" s="3452" t="s">
        <v>3444</v>
      </c>
      <c r="H10">
        <v>157.35</v>
      </c>
      <c r="I10">
        <v>5.5</v>
      </c>
    </row>
    <row r="11" spans="7:9">
      <c r="G11" s="3452" t="s">
        <v>3444</v>
      </c>
      <c r="H11">
        <v>150.47</v>
      </c>
      <c r="I11">
        <v>6</v>
      </c>
    </row>
    <row r="12" spans="7:9">
      <c r="G12" s="3452" t="s">
        <v>3445</v>
      </c>
      <c r="H12">
        <v>150.26</v>
      </c>
      <c r="I12">
        <v>5.8</v>
      </c>
    </row>
    <row r="13" spans="7:9">
      <c r="G13" s="3452" t="s">
        <v>3445</v>
      </c>
      <c r="H13" s="3452">
        <v>152</v>
      </c>
      <c r="I13" s="3452">
        <v>6</v>
      </c>
    </row>
    <row r="14" spans="7:9">
      <c r="G14" s="3452" t="s">
        <v>3445</v>
      </c>
      <c r="H14">
        <v>168.84</v>
      </c>
      <c r="I14">
        <v>5.5</v>
      </c>
    </row>
    <row r="16" spans="7:9">
      <c r="I16" s="3452" t="s">
        <v>3448</v>
      </c>
    </row>
    <row r="30" spans="2:2">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北京市房地产市场价值预评估</v>
      </c>
      <c r="C37" s="3453"/>
      <c r="D37" s="3453"/>
      <c r="E37" s="3453"/>
      <c r="F37" s="3453"/>
      <c r="G37" s="3453"/>
      <c r="H37" s="3453"/>
      <c r="I37" s="345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160.55000000000001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160.55000000000001</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160.55000000000001</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71.076999999999998</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32110</v>
      </c>
      <c r="D10" s="843">
        <f ca="1">IF(B1="",'数据-汇总表'!E6,IF(INDIRECT("'数据-取费表'!c"&amp;$G$1)="住宅",INDIRECT("'数据-取费表'!s"&amp;$G$1),INDIRECT("'数据-取费表'!k"&amp;$G$1)+INDIRECT("'数据-取费表'!s"&amp;$G$1)))</f>
        <v>160.55000000000001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32110</v>
      </c>
      <c r="D19" s="847">
        <f ca="1">D9+D10</f>
        <v>160.55000000000001</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619322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561925</v>
      </c>
      <c r="D34" s="217"/>
      <c r="E34" s="220"/>
      <c r="F34" s="257"/>
      <c r="G34" s="219"/>
    </row>
    <row r="35" spans="1:7" ht="13.5" customHeight="1">
      <c r="A35" s="778" t="s">
        <v>351</v>
      </c>
      <c r="B35" s="215" t="s">
        <v>1527</v>
      </c>
      <c r="C35" s="220">
        <f ca="1">ROUND(C34*F35,0)</f>
        <v>16858</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32110</v>
      </c>
      <c r="D37" s="217">
        <f ca="1">D19</f>
        <v>160.55000000000001</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21367</v>
      </c>
      <c r="D42" s="238"/>
      <c r="E42" s="238"/>
      <c r="F42" s="239"/>
      <c r="G42" s="3636" t="s">
        <v>1591</v>
      </c>
    </row>
    <row r="43" spans="1:7" ht="13.5" customHeight="1">
      <c r="A43" s="778" t="s">
        <v>347</v>
      </c>
      <c r="B43" s="215" t="s">
        <v>1545</v>
      </c>
      <c r="C43" s="238">
        <f ca="1">ROUND(IF('数据-取费表'!B22&lt;=1,C39*F22*'数据-取费表'!B20/2,C39*(POWER((1+F22),'数据-取费表'!B20/2)-1)),0)</f>
        <v>427</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94756</v>
      </c>
      <c r="D45" s="235">
        <f ca="1">C47</f>
        <v>3.0000000000000001E-3</v>
      </c>
      <c r="E45" s="236" t="s">
        <v>1539</v>
      </c>
      <c r="F45" s="246">
        <f ca="1">F27</f>
        <v>0.15</v>
      </c>
      <c r="G45" s="247" t="s">
        <v>1548</v>
      </c>
    </row>
    <row r="46" spans="1:7" s="214" customFormat="1" ht="13.5" customHeight="1">
      <c r="A46" s="778" t="s">
        <v>346</v>
      </c>
      <c r="B46" s="248" t="s">
        <v>1549</v>
      </c>
      <c r="C46" s="249">
        <f ca="1">ROUND((C33+C39)*F27,0)</f>
        <v>94756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810680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624224</v>
      </c>
      <c r="D51" s="232"/>
      <c r="E51" s="232"/>
      <c r="F51" s="264"/>
      <c r="G51" s="234" t="s">
        <v>1560</v>
      </c>
    </row>
    <row r="52" spans="1:7" s="208" customFormat="1" ht="16.5" thickBot="1">
      <c r="A52" s="265" t="s">
        <v>1561</v>
      </c>
      <c r="B52" s="266"/>
      <c r="C52" s="267">
        <f ca="1">C31+C51</f>
        <v>710770</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160.55000000000001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160.55000000000001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160.55000000000001</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1" t="s">
        <v>694</v>
      </c>
      <c r="C6" s="1072">
        <f ca="1">ROUND(F6*F8*F7*(1-F9)/10000,0)</f>
        <v>0</v>
      </c>
      <c r="D6" s="155" t="s">
        <v>2108</v>
      </c>
      <c r="E6" s="302" t="s">
        <v>696</v>
      </c>
      <c r="F6" s="303">
        <f ca="1">INDIRECT("'数据-取费表'!u"&amp;$G$1)</f>
        <v>0</v>
      </c>
      <c r="G6" s="1382"/>
      <c r="H6" s="1067" t="s">
        <v>398</v>
      </c>
      <c r="I6" s="3641" t="s">
        <v>694</v>
      </c>
      <c r="J6" s="301">
        <f ca="1">ROUND(M6*M8*M7*(1-M9)/10000,0)</f>
        <v>0</v>
      </c>
      <c r="K6" s="155" t="s">
        <v>2107</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0</v>
      </c>
      <c r="G7" s="1382"/>
      <c r="H7" s="304"/>
      <c r="I7" s="3642"/>
      <c r="J7" s="306"/>
      <c r="K7" s="307"/>
      <c r="L7" s="302" t="s">
        <v>697</v>
      </c>
      <c r="M7" s="303">
        <f ca="1">F7</f>
        <v>0</v>
      </c>
    </row>
    <row r="8" spans="1:37" ht="18" customHeight="1">
      <c r="A8" s="304"/>
      <c r="B8" s="3642"/>
      <c r="C8" s="306"/>
      <c r="D8" s="307"/>
      <c r="E8" s="302" t="s">
        <v>698</v>
      </c>
      <c r="F8" s="303">
        <f ca="1">INDIRECT("'数据-取费表'!ai"&amp;$G$1)</f>
        <v>0</v>
      </c>
      <c r="G8" s="1382"/>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9" t="s">
        <v>837</v>
      </c>
      <c r="L53" s="364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4" t="s">
        <v>2320</v>
      </c>
      <c r="K2" s="3645"/>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6" t="s">
        <v>2330</v>
      </c>
      <c r="K3" s="3647"/>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6" t="s">
        <v>2332</v>
      </c>
      <c r="K4" s="3647"/>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8" t="s">
        <v>2336</v>
      </c>
      <c r="B6" s="3649"/>
      <c r="C6" s="3650"/>
      <c r="D6" s="2868"/>
      <c r="E6" s="2869"/>
      <c r="F6" s="2870"/>
      <c r="G6" s="2871"/>
      <c r="H6" s="2846"/>
      <c r="I6" s="2847"/>
      <c r="J6" s="3651">
        <v>1</v>
      </c>
      <c r="K6" s="365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1"/>
      <c r="K7" s="365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5" t="s">
        <v>2350</v>
      </c>
      <c r="C8" s="3656"/>
      <c r="D8" s="2887" t="s">
        <v>2351</v>
      </c>
      <c r="E8" s="2888" t="s">
        <v>2352</v>
      </c>
      <c r="F8" s="2889" t="s">
        <v>2353</v>
      </c>
      <c r="G8" s="2890"/>
      <c r="H8" s="2846"/>
      <c r="I8" s="2847"/>
      <c r="J8" s="3651"/>
      <c r="K8" s="365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5" t="s">
        <v>2356</v>
      </c>
      <c r="C9" s="3656"/>
      <c r="D9" s="2887">
        <f>ROUND(D6*E9,0)</f>
        <v>0</v>
      </c>
      <c r="E9" s="2891"/>
      <c r="F9" s="2892" t="s">
        <v>2357</v>
      </c>
      <c r="G9" s="2871"/>
      <c r="H9" s="2846"/>
      <c r="I9" s="2847"/>
      <c r="J9" s="3651"/>
      <c r="K9" s="3653"/>
      <c r="L9" s="2881" t="s">
        <v>2358</v>
      </c>
      <c r="M9" s="2882"/>
      <c r="N9" s="2858"/>
      <c r="O9" s="2883"/>
      <c r="P9" s="2883"/>
      <c r="Q9" s="2884">
        <v>365</v>
      </c>
      <c r="R9" s="2885">
        <f t="shared" si="0"/>
        <v>0</v>
      </c>
      <c r="S9" s="2839"/>
      <c r="T9" s="2839"/>
      <c r="U9" s="2839"/>
      <c r="V9" s="2847"/>
    </row>
    <row r="10" spans="1:22" s="2851" customFormat="1" ht="13.15" customHeight="1">
      <c r="A10" s="2886">
        <v>2</v>
      </c>
      <c r="B10" s="3655" t="s">
        <v>2359</v>
      </c>
      <c r="C10" s="3656"/>
      <c r="D10" s="2887">
        <f>ROUND(D6*E10,0)</f>
        <v>0</v>
      </c>
      <c r="E10" s="2891"/>
      <c r="F10" s="2892" t="s">
        <v>2360</v>
      </c>
      <c r="G10" s="2871"/>
      <c r="H10" s="2846"/>
      <c r="I10" s="2847"/>
      <c r="J10" s="3651"/>
      <c r="K10" s="3653"/>
      <c r="L10" s="2881" t="s">
        <v>2361</v>
      </c>
      <c r="M10" s="2882"/>
      <c r="N10" s="2858"/>
      <c r="O10" s="2883"/>
      <c r="P10" s="2883"/>
      <c r="Q10" s="2884">
        <v>365</v>
      </c>
      <c r="R10" s="2885">
        <f t="shared" si="0"/>
        <v>0</v>
      </c>
      <c r="S10" s="2839"/>
      <c r="T10" s="2839"/>
      <c r="U10" s="2839"/>
      <c r="V10" s="2847"/>
    </row>
    <row r="11" spans="1:22" s="2851" customFormat="1" ht="13.15" customHeight="1">
      <c r="A11" s="2886">
        <v>3</v>
      </c>
      <c r="B11" s="3655" t="s">
        <v>2362</v>
      </c>
      <c r="C11" s="3656"/>
      <c r="D11" s="2887">
        <f>D12+D14+D15+D16</f>
        <v>0</v>
      </c>
      <c r="E11" s="2893" t="e">
        <f>D11/D6</f>
        <v>#DIV/0!</v>
      </c>
      <c r="F11" s="2889"/>
      <c r="G11" s="2890"/>
      <c r="H11" s="2846"/>
      <c r="I11" s="2847"/>
      <c r="J11" s="3651"/>
      <c r="K11" s="365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7" t="s">
        <v>2365</v>
      </c>
      <c r="C12" s="3658"/>
      <c r="D12" s="2895">
        <f>ROUND(D13*1.2%*(1-30%),0)</f>
        <v>0</v>
      </c>
      <c r="E12" s="2896">
        <v>1.2E-2</v>
      </c>
      <c r="F12" s="2889" t="s">
        <v>2366</v>
      </c>
      <c r="G12" s="2890"/>
      <c r="H12" s="2846"/>
      <c r="I12" s="2847"/>
      <c r="J12" s="3651"/>
      <c r="K12" s="365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1"/>
      <c r="K13" s="365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7" t="s">
        <v>2371</v>
      </c>
      <c r="C14" s="3658"/>
      <c r="D14" s="2895">
        <f>ROUND(E14*B5/10000,0)</f>
        <v>0</v>
      </c>
      <c r="E14" s="2884"/>
      <c r="F14" s="2889" t="s">
        <v>2372</v>
      </c>
      <c r="G14" s="2890"/>
      <c r="H14" s="2846"/>
      <c r="I14" s="2847"/>
      <c r="J14" s="3651"/>
      <c r="K14" s="365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7" t="s">
        <v>2375</v>
      </c>
      <c r="C15" s="3658"/>
      <c r="D15" s="2895">
        <f>ROUND(D6*E15,0)</f>
        <v>0</v>
      </c>
      <c r="E15" s="2896">
        <v>5.5E-2</v>
      </c>
      <c r="F15" s="2889" t="s">
        <v>2376</v>
      </c>
      <c r="G15" s="2871"/>
      <c r="H15" s="2846"/>
      <c r="I15" s="2847"/>
      <c r="J15" s="3651">
        <v>2</v>
      </c>
      <c r="K15" s="365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7" t="s">
        <v>2384</v>
      </c>
      <c r="C16" s="3658"/>
      <c r="D16" s="2906">
        <f>D6*E16</f>
        <v>0</v>
      </c>
      <c r="E16" s="2907"/>
      <c r="F16" s="2892" t="s">
        <v>2385</v>
      </c>
      <c r="G16" s="2871"/>
      <c r="H16" s="2846"/>
      <c r="I16" s="2847"/>
      <c r="J16" s="3651"/>
      <c r="K16" s="365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9" t="s">
        <v>2387</v>
      </c>
      <c r="C17" s="3660"/>
      <c r="D17" s="2909">
        <f>ROUND(D6*E17,0)</f>
        <v>0</v>
      </c>
      <c r="E17" s="2910"/>
      <c r="F17" s="2911" t="s">
        <v>2388</v>
      </c>
      <c r="G17" s="2871"/>
      <c r="H17" s="2846"/>
      <c r="I17" s="2847"/>
      <c r="J17" s="3651"/>
      <c r="K17" s="365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1"/>
      <c r="K18" s="365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1"/>
      <c r="K19" s="365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1"/>
      <c r="K21" s="365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1"/>
      <c r="K22" s="365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1"/>
      <c r="K23" s="365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1"/>
      <c r="K24" s="365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1">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4" t="s">
        <v>2320</v>
      </c>
      <c r="K32" s="3645"/>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6" t="s">
        <v>2330</v>
      </c>
      <c r="K33" s="3647"/>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6" t="s">
        <v>2332</v>
      </c>
      <c r="K34" s="364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1">
        <v>1</v>
      </c>
      <c r="K36" s="365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1"/>
      <c r="K40" s="365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1">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497.29520000000002</v>
      </c>
      <c r="C2" s="1870" t="s">
        <v>1651</v>
      </c>
      <c r="D2" s="1871" t="s">
        <v>1652</v>
      </c>
      <c r="E2" s="2605">
        <f>SUM(E6:E13)</f>
        <v>160.55000000000001</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3" t="s">
        <v>1654</v>
      </c>
      <c r="C5" s="3664"/>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497.29520000000002</v>
      </c>
      <c r="C6" s="1870" t="s">
        <v>1651</v>
      </c>
      <c r="D6" s="2707"/>
      <c r="E6" s="2604">
        <f>IF(OR(A6=0,F6="否"),0,'数据-取费表'!K6+'数据-取费表'!S6)</f>
        <v>160.55000000000001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160.55000000000001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3" t="s">
        <v>1667</v>
      </c>
      <c r="D4" s="3684"/>
      <c r="E4" s="3685" t="s">
        <v>1668</v>
      </c>
      <c r="F4" s="3686"/>
      <c r="G4" s="3683" t="s">
        <v>1669</v>
      </c>
      <c r="H4" s="3684"/>
      <c r="I4" s="3683" t="s">
        <v>1670</v>
      </c>
      <c r="J4" s="3684"/>
      <c r="K4" s="1887" t="s">
        <v>1671</v>
      </c>
      <c r="L4" s="2713"/>
      <c r="M4" s="2714"/>
      <c r="N4" s="2714"/>
      <c r="O4" s="2714"/>
      <c r="P4" s="3687" t="s">
        <v>1672</v>
      </c>
      <c r="Q4" s="3688"/>
      <c r="R4" s="3670" t="s">
        <v>1668</v>
      </c>
      <c r="S4" s="3671"/>
      <c r="T4" s="3670" t="s">
        <v>1669</v>
      </c>
      <c r="U4" s="3671"/>
      <c r="V4" s="3695" t="s">
        <v>1670</v>
      </c>
      <c r="W4" s="3695"/>
      <c r="X4" s="1353"/>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88"/>
      <c r="L5" s="2713"/>
      <c r="M5" s="2714"/>
      <c r="N5" s="2714"/>
      <c r="O5" s="2714"/>
      <c r="P5" s="3689"/>
      <c r="Q5" s="3690"/>
      <c r="R5" s="3672"/>
      <c r="S5" s="3673"/>
      <c r="T5" s="3672"/>
      <c r="U5" s="3673"/>
      <c r="V5" s="3695"/>
      <c r="W5" s="3695"/>
      <c r="X5" s="1353"/>
      <c r="Y5" s="3672"/>
      <c r="Z5" s="3673"/>
      <c r="AA5" s="3666"/>
      <c r="AB5" s="3666"/>
      <c r="AC5" s="3666"/>
    </row>
    <row r="6" spans="1:29" ht="15.75" thickBot="1">
      <c r="A6" s="360"/>
      <c r="B6" s="361"/>
      <c r="C6" s="3678" t="s">
        <v>1677</v>
      </c>
      <c r="D6" s="3679"/>
      <c r="E6" s="3680" t="s">
        <v>1677</v>
      </c>
      <c r="F6" s="3681"/>
      <c r="G6" s="3678" t="s">
        <v>1677</v>
      </c>
      <c r="H6" s="3679"/>
      <c r="I6" s="3678" t="s">
        <v>1677</v>
      </c>
      <c r="J6" s="3679"/>
      <c r="K6" s="1888" t="s">
        <v>1678</v>
      </c>
      <c r="L6" s="2713"/>
      <c r="M6" s="2714"/>
      <c r="N6" s="2714"/>
      <c r="O6" s="2714"/>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8" t="s">
        <v>1680</v>
      </c>
      <c r="Q7" s="3696"/>
      <c r="R7" s="699" t="s">
        <v>20</v>
      </c>
      <c r="S7" s="700">
        <f t="shared" ref="S7:S15" si="0">F7</f>
        <v>0</v>
      </c>
      <c r="T7" s="699" t="s">
        <v>20</v>
      </c>
      <c r="U7" s="700">
        <f t="shared" ref="U7:U15" si="1">H7</f>
        <v>0</v>
      </c>
      <c r="V7" s="699" t="s">
        <v>20</v>
      </c>
      <c r="W7" s="700">
        <f t="shared" ref="W7:W15"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8" t="s">
        <v>1683</v>
      </c>
      <c r="Q8" s="3669"/>
      <c r="R8" s="699" t="s">
        <v>20</v>
      </c>
      <c r="S8" s="700">
        <f t="shared" si="0"/>
        <v>100</v>
      </c>
      <c r="T8" s="699" t="s">
        <v>20</v>
      </c>
      <c r="U8" s="700">
        <f t="shared" si="1"/>
        <v>100</v>
      </c>
      <c r="V8" s="699" t="s">
        <v>20</v>
      </c>
      <c r="W8" s="700">
        <f t="shared" si="2"/>
        <v>100</v>
      </c>
      <c r="X8" s="701"/>
      <c r="Y8" s="3668" t="s">
        <v>1683</v>
      </c>
      <c r="Z8" s="3669"/>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2"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2"/>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2"/>
      <c r="Q11" s="1341" t="str">
        <f t="shared" si="6"/>
        <v>容积率</v>
      </c>
      <c r="R11" s="699" t="s">
        <v>18</v>
      </c>
      <c r="S11" s="700" t="e">
        <f t="shared" si="0"/>
        <v>#N/A</v>
      </c>
      <c r="T11" s="699" t="s">
        <v>18</v>
      </c>
      <c r="U11" s="700" t="e">
        <f t="shared" si="1"/>
        <v>#N/A</v>
      </c>
      <c r="V11" s="699" t="s">
        <v>18</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2"/>
      <c r="Q12" s="1341">
        <f t="shared" si="6"/>
        <v>111</v>
      </c>
      <c r="R12" s="699" t="s">
        <v>18</v>
      </c>
      <c r="S12" s="700">
        <f t="shared" si="0"/>
        <v>100</v>
      </c>
      <c r="T12" s="699" t="s">
        <v>18</v>
      </c>
      <c r="U12" s="700">
        <f t="shared" si="1"/>
        <v>100</v>
      </c>
      <c r="V12" s="699" t="s">
        <v>18</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2"/>
      <c r="Q13" s="1341">
        <f t="shared" si="6"/>
        <v>111</v>
      </c>
      <c r="R13" s="699" t="s">
        <v>18</v>
      </c>
      <c r="S13" s="700">
        <f t="shared" si="0"/>
        <v>100</v>
      </c>
      <c r="T13" s="699" t="s">
        <v>18</v>
      </c>
      <c r="U13" s="700">
        <f t="shared" si="1"/>
        <v>100</v>
      </c>
      <c r="V13" s="699" t="s">
        <v>18</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2"/>
      <c r="Q14" s="1341">
        <f t="shared" si="6"/>
        <v>111</v>
      </c>
      <c r="R14" s="699" t="s">
        <v>18</v>
      </c>
      <c r="S14" s="700">
        <f t="shared" si="0"/>
        <v>100</v>
      </c>
      <c r="T14" s="699" t="s">
        <v>18</v>
      </c>
      <c r="U14" s="700">
        <f t="shared" si="1"/>
        <v>100</v>
      </c>
      <c r="V14" s="699" t="s">
        <v>18</v>
      </c>
      <c r="W14" s="700">
        <f t="shared" si="2"/>
        <v>100</v>
      </c>
      <c r="X14" s="701"/>
      <c r="Y14" s="361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9" t="s">
        <v>1691</v>
      </c>
      <c r="Q15" s="1350" t="str">
        <f t="shared" si="6"/>
        <v>居住社区成熟度</v>
      </c>
      <c r="R15" s="703" t="s">
        <v>18</v>
      </c>
      <c r="S15" s="704">
        <f t="shared" si="0"/>
        <v>100</v>
      </c>
      <c r="T15" s="703" t="s">
        <v>18</v>
      </c>
      <c r="U15" s="704">
        <f t="shared" si="1"/>
        <v>100</v>
      </c>
      <c r="V15" s="703" t="s">
        <v>18</v>
      </c>
      <c r="W15" s="704">
        <f t="shared" si="2"/>
        <v>100</v>
      </c>
      <c r="X15" s="1353"/>
      <c r="Y15" s="3702"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10"/>
      <c r="Q16" s="1350"/>
      <c r="R16" s="703"/>
      <c r="S16" s="704"/>
      <c r="T16" s="703"/>
      <c r="U16" s="704"/>
      <c r="V16" s="703"/>
      <c r="W16" s="704"/>
      <c r="X16" s="1353"/>
      <c r="Y16" s="3703"/>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0"/>
      <c r="Q17" s="1350" t="str">
        <f>B17</f>
        <v>交通便捷度</v>
      </c>
      <c r="R17" s="703" t="s">
        <v>18</v>
      </c>
      <c r="S17" s="704">
        <f>F17</f>
        <v>100</v>
      </c>
      <c r="T17" s="703" t="s">
        <v>18</v>
      </c>
      <c r="U17" s="704">
        <f>H17</f>
        <v>100</v>
      </c>
      <c r="V17" s="703" t="s">
        <v>18</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10"/>
      <c r="Q18" s="1350"/>
      <c r="R18" s="703"/>
      <c r="S18" s="704"/>
      <c r="T18" s="703"/>
      <c r="U18" s="704"/>
      <c r="V18" s="703"/>
      <c r="W18" s="704"/>
      <c r="X18" s="1353"/>
      <c r="Y18" s="3703"/>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0"/>
      <c r="Q19" s="1350" t="str">
        <f>B19</f>
        <v>公共配套设施</v>
      </c>
      <c r="R19" s="703" t="s">
        <v>18</v>
      </c>
      <c r="S19" s="704">
        <f>F19</f>
        <v>100</v>
      </c>
      <c r="T19" s="703" t="s">
        <v>18</v>
      </c>
      <c r="U19" s="704">
        <f>H19</f>
        <v>100</v>
      </c>
      <c r="V19" s="703" t="s">
        <v>18</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10"/>
      <c r="Q20" s="1350"/>
      <c r="R20" s="703"/>
      <c r="S20" s="704"/>
      <c r="T20" s="703"/>
      <c r="U20" s="704"/>
      <c r="V20" s="703"/>
      <c r="W20" s="704"/>
      <c r="X20" s="1353"/>
      <c r="Y20" s="3703"/>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0"/>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10"/>
      <c r="Q22" s="1350"/>
      <c r="R22" s="703"/>
      <c r="S22" s="704"/>
      <c r="T22" s="703"/>
      <c r="U22" s="704"/>
      <c r="V22" s="703"/>
      <c r="W22" s="704"/>
      <c r="X22" s="1353"/>
      <c r="Y22" s="3703"/>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0"/>
      <c r="Q23" s="1350" t="str">
        <f>B23</f>
        <v>自然及人文环境</v>
      </c>
      <c r="R23" s="703" t="s">
        <v>18</v>
      </c>
      <c r="S23" s="704">
        <f>F23</f>
        <v>100</v>
      </c>
      <c r="T23" s="703" t="s">
        <v>18</v>
      </c>
      <c r="U23" s="704">
        <f>H23</f>
        <v>100</v>
      </c>
      <c r="V23" s="703" t="s">
        <v>18</v>
      </c>
      <c r="W23" s="704">
        <f>J23</f>
        <v>100</v>
      </c>
      <c r="X23" s="1353"/>
      <c r="Y23" s="3703"/>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10"/>
      <c r="Q24" s="1350"/>
      <c r="R24" s="703"/>
      <c r="S24" s="704"/>
      <c r="T24" s="703"/>
      <c r="U24" s="704"/>
      <c r="V24" s="703"/>
      <c r="W24" s="704"/>
      <c r="X24" s="1353"/>
      <c r="Y24" s="3703"/>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1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3"/>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10"/>
      <c r="Q26" s="1350" t="str">
        <f t="shared" si="11"/>
        <v>朝向</v>
      </c>
      <c r="R26" s="703" t="s">
        <v>18</v>
      </c>
      <c r="S26" s="704">
        <f t="shared" si="12"/>
        <v>100</v>
      </c>
      <c r="T26" s="703" t="s">
        <v>18</v>
      </c>
      <c r="U26" s="704">
        <f t="shared" si="13"/>
        <v>100</v>
      </c>
      <c r="V26" s="703" t="s">
        <v>18</v>
      </c>
      <c r="W26" s="704">
        <f t="shared" si="14"/>
        <v>100</v>
      </c>
      <c r="X26" s="1353"/>
      <c r="Y26" s="3703"/>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10"/>
      <c r="Q27" s="1341">
        <f t="shared" si="11"/>
        <v>111</v>
      </c>
      <c r="R27" s="699" t="s">
        <v>18</v>
      </c>
      <c r="S27" s="700">
        <f t="shared" si="12"/>
        <v>100</v>
      </c>
      <c r="T27" s="699" t="s">
        <v>18</v>
      </c>
      <c r="U27" s="700">
        <f t="shared" si="13"/>
        <v>100</v>
      </c>
      <c r="V27" s="699" t="s">
        <v>18</v>
      </c>
      <c r="W27" s="700">
        <f t="shared" si="14"/>
        <v>100</v>
      </c>
      <c r="X27" s="701"/>
      <c r="Y27" s="3703"/>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10"/>
      <c r="Q28" s="1350">
        <f t="shared" si="11"/>
        <v>111</v>
      </c>
      <c r="R28" s="703" t="s">
        <v>18</v>
      </c>
      <c r="S28" s="704">
        <f t="shared" si="12"/>
        <v>100</v>
      </c>
      <c r="T28" s="703" t="s">
        <v>18</v>
      </c>
      <c r="U28" s="704">
        <f t="shared" si="13"/>
        <v>100</v>
      </c>
      <c r="V28" s="703" t="s">
        <v>18</v>
      </c>
      <c r="W28" s="704">
        <f t="shared" si="14"/>
        <v>100</v>
      </c>
      <c r="X28" s="1353"/>
      <c r="Y28" s="3703"/>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10"/>
      <c r="Q29" s="1350">
        <f t="shared" si="11"/>
        <v>111</v>
      </c>
      <c r="R29" s="703" t="s">
        <v>18</v>
      </c>
      <c r="S29" s="704">
        <f t="shared" si="12"/>
        <v>100</v>
      </c>
      <c r="T29" s="703" t="s">
        <v>18</v>
      </c>
      <c r="U29" s="704">
        <f t="shared" si="13"/>
        <v>100</v>
      </c>
      <c r="V29" s="703" t="s">
        <v>18</v>
      </c>
      <c r="W29" s="704">
        <f t="shared" si="14"/>
        <v>100</v>
      </c>
      <c r="X29" s="1353"/>
      <c r="Y29" s="3703"/>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10"/>
      <c r="Q30" s="1350">
        <f t="shared" si="11"/>
        <v>111</v>
      </c>
      <c r="R30" s="703" t="s">
        <v>18</v>
      </c>
      <c r="S30" s="704">
        <f t="shared" si="12"/>
        <v>100</v>
      </c>
      <c r="T30" s="703" t="s">
        <v>18</v>
      </c>
      <c r="U30" s="704">
        <f t="shared" si="13"/>
        <v>100</v>
      </c>
      <c r="V30" s="703" t="s">
        <v>18</v>
      </c>
      <c r="W30" s="704">
        <f t="shared" si="14"/>
        <v>100</v>
      </c>
      <c r="X30" s="1353"/>
      <c r="Y30" s="3703"/>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10"/>
      <c r="Q31" s="1350">
        <f t="shared" si="11"/>
        <v>111</v>
      </c>
      <c r="R31" s="703" t="s">
        <v>18</v>
      </c>
      <c r="S31" s="704">
        <f t="shared" si="12"/>
        <v>100</v>
      </c>
      <c r="T31" s="703" t="s">
        <v>18</v>
      </c>
      <c r="U31" s="704">
        <f t="shared" si="13"/>
        <v>100</v>
      </c>
      <c r="V31" s="703" t="s">
        <v>18</v>
      </c>
      <c r="W31" s="704">
        <f t="shared" si="14"/>
        <v>100</v>
      </c>
      <c r="X31" s="1353"/>
      <c r="Y31" s="3703"/>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4" t="s">
        <v>1696</v>
      </c>
      <c r="Q32" s="1350" t="str">
        <f t="shared" si="11"/>
        <v>建筑类型</v>
      </c>
      <c r="R32" s="703" t="s">
        <v>18</v>
      </c>
      <c r="S32" s="704">
        <f t="shared" si="12"/>
        <v>100</v>
      </c>
      <c r="T32" s="703" t="s">
        <v>18</v>
      </c>
      <c r="U32" s="704">
        <f t="shared" si="13"/>
        <v>100</v>
      </c>
      <c r="V32" s="703" t="s">
        <v>18</v>
      </c>
      <c r="W32" s="704">
        <f t="shared" si="14"/>
        <v>100</v>
      </c>
      <c r="X32" s="1353"/>
      <c r="Y32" s="3707"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5"/>
      <c r="Q33" s="705" t="str">
        <f t="shared" si="11"/>
        <v>项目建筑规模</v>
      </c>
      <c r="R33" s="706" t="s">
        <v>18</v>
      </c>
      <c r="S33" s="707" t="e">
        <f t="shared" si="12"/>
        <v>#N/A</v>
      </c>
      <c r="T33" s="706" t="s">
        <v>18</v>
      </c>
      <c r="U33" s="707" t="e">
        <f t="shared" si="13"/>
        <v>#N/A</v>
      </c>
      <c r="V33" s="706" t="s">
        <v>18</v>
      </c>
      <c r="W33" s="707" t="e">
        <f t="shared" si="14"/>
        <v>#N/A</v>
      </c>
      <c r="X33" s="708"/>
      <c r="Y33" s="3707"/>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5"/>
      <c r="Q34" s="1350" t="str">
        <f t="shared" si="11"/>
        <v>建筑结构</v>
      </c>
      <c r="R34" s="703" t="s">
        <v>18</v>
      </c>
      <c r="S34" s="704">
        <f t="shared" si="12"/>
        <v>100</v>
      </c>
      <c r="T34" s="703" t="s">
        <v>18</v>
      </c>
      <c r="U34" s="704">
        <f t="shared" si="13"/>
        <v>100</v>
      </c>
      <c r="V34" s="703" t="s">
        <v>18</v>
      </c>
      <c r="W34" s="704">
        <f t="shared" si="14"/>
        <v>100</v>
      </c>
      <c r="X34" s="1353"/>
      <c r="Y34" s="3707"/>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5"/>
      <c r="Q35" s="1350" t="str">
        <f t="shared" si="11"/>
        <v>建筑品质</v>
      </c>
      <c r="R35" s="703" t="s">
        <v>18</v>
      </c>
      <c r="S35" s="704">
        <f t="shared" si="12"/>
        <v>100</v>
      </c>
      <c r="T35" s="703" t="s">
        <v>18</v>
      </c>
      <c r="U35" s="704">
        <f t="shared" si="13"/>
        <v>100</v>
      </c>
      <c r="V35" s="703" t="s">
        <v>18</v>
      </c>
      <c r="W35" s="704">
        <f t="shared" si="14"/>
        <v>100</v>
      </c>
      <c r="X35" s="1353"/>
      <c r="Y35" s="3707"/>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5"/>
      <c r="Q36" s="1350" t="str">
        <f t="shared" si="11"/>
        <v>公共部分装修</v>
      </c>
      <c r="R36" s="703" t="s">
        <v>18</v>
      </c>
      <c r="S36" s="704">
        <f t="shared" si="12"/>
        <v>100</v>
      </c>
      <c r="T36" s="703" t="s">
        <v>18</v>
      </c>
      <c r="U36" s="704">
        <f t="shared" si="13"/>
        <v>100</v>
      </c>
      <c r="V36" s="703" t="s">
        <v>18</v>
      </c>
      <c r="W36" s="704">
        <f t="shared" si="14"/>
        <v>100</v>
      </c>
      <c r="X36" s="1353"/>
      <c r="Y36" s="3707"/>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5"/>
      <c r="Q37" s="1341" t="str">
        <f t="shared" si="11"/>
        <v>成新度</v>
      </c>
      <c r="R37" s="699" t="s">
        <v>18</v>
      </c>
      <c r="S37" s="700" t="e">
        <f t="shared" si="12"/>
        <v>#N/A</v>
      </c>
      <c r="T37" s="699" t="s">
        <v>18</v>
      </c>
      <c r="U37" s="700" t="e">
        <f t="shared" si="13"/>
        <v>#N/A</v>
      </c>
      <c r="V37" s="699" t="s">
        <v>18</v>
      </c>
      <c r="W37" s="700" t="e">
        <f t="shared" si="14"/>
        <v>#N/A</v>
      </c>
      <c r="X37" s="701"/>
      <c r="Y37" s="3707"/>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5" t="s">
        <v>1696</v>
      </c>
      <c r="Q38" s="1350" t="str">
        <f t="shared" si="11"/>
        <v>物业管理</v>
      </c>
      <c r="R38" s="703" t="s">
        <v>18</v>
      </c>
      <c r="S38" s="704">
        <f t="shared" si="12"/>
        <v>100</v>
      </c>
      <c r="T38" s="703" t="s">
        <v>18</v>
      </c>
      <c r="U38" s="704">
        <f t="shared" si="13"/>
        <v>100</v>
      </c>
      <c r="V38" s="703" t="s">
        <v>18</v>
      </c>
      <c r="W38" s="704">
        <f t="shared" si="14"/>
        <v>100</v>
      </c>
      <c r="X38" s="1353"/>
      <c r="Y38" s="3707"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5"/>
      <c r="Q39" s="1350" t="str">
        <f t="shared" si="11"/>
        <v>市政基础设施</v>
      </c>
      <c r="R39" s="703" t="s">
        <v>18</v>
      </c>
      <c r="S39" s="704">
        <f t="shared" si="12"/>
        <v>100</v>
      </c>
      <c r="T39" s="703" t="s">
        <v>18</v>
      </c>
      <c r="U39" s="704">
        <f t="shared" si="13"/>
        <v>100</v>
      </c>
      <c r="V39" s="703" t="s">
        <v>18</v>
      </c>
      <c r="W39" s="704">
        <f t="shared" si="14"/>
        <v>100</v>
      </c>
      <c r="X39" s="1353"/>
      <c r="Y39" s="3707"/>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5"/>
      <c r="Q40" s="1350" t="str">
        <f t="shared" si="11"/>
        <v>房型</v>
      </c>
      <c r="R40" s="703" t="s">
        <v>18</v>
      </c>
      <c r="S40" s="704">
        <f t="shared" si="12"/>
        <v>100</v>
      </c>
      <c r="T40" s="703" t="s">
        <v>18</v>
      </c>
      <c r="U40" s="704">
        <f t="shared" si="13"/>
        <v>100</v>
      </c>
      <c r="V40" s="703" t="s">
        <v>18</v>
      </c>
      <c r="W40" s="704">
        <f t="shared" si="14"/>
        <v>100</v>
      </c>
      <c r="X40" s="1353"/>
      <c r="Y40" s="3707"/>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5"/>
      <c r="Q41" s="705" t="str">
        <f t="shared" si="11"/>
        <v>单套/主力户型建筑面积</v>
      </c>
      <c r="R41" s="706" t="s">
        <v>18</v>
      </c>
      <c r="S41" s="707">
        <f t="shared" si="12"/>
        <v>100</v>
      </c>
      <c r="T41" s="706" t="s">
        <v>18</v>
      </c>
      <c r="U41" s="707">
        <f t="shared" si="13"/>
        <v>100</v>
      </c>
      <c r="V41" s="706" t="s">
        <v>18</v>
      </c>
      <c r="W41" s="707">
        <f t="shared" si="14"/>
        <v>100</v>
      </c>
      <c r="X41" s="708"/>
      <c r="Y41" s="3707"/>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5"/>
      <c r="Q42" s="1350" t="str">
        <f t="shared" si="11"/>
        <v>内部装修</v>
      </c>
      <c r="R42" s="703" t="s">
        <v>18</v>
      </c>
      <c r="S42" s="704">
        <f t="shared" si="12"/>
        <v>100</v>
      </c>
      <c r="T42" s="703" t="s">
        <v>18</v>
      </c>
      <c r="U42" s="704">
        <f t="shared" si="13"/>
        <v>100</v>
      </c>
      <c r="V42" s="703" t="s">
        <v>18</v>
      </c>
      <c r="W42" s="704">
        <f t="shared" si="14"/>
        <v>100</v>
      </c>
      <c r="X42" s="1353"/>
      <c r="Y42" s="3707"/>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5"/>
      <c r="Q43" s="1350" t="str">
        <f t="shared" si="11"/>
        <v>内部装修维护情况</v>
      </c>
      <c r="R43" s="703" t="s">
        <v>18</v>
      </c>
      <c r="S43" s="704">
        <f t="shared" si="12"/>
        <v>100</v>
      </c>
      <c r="T43" s="703" t="s">
        <v>18</v>
      </c>
      <c r="U43" s="704">
        <f t="shared" si="13"/>
        <v>100</v>
      </c>
      <c r="V43" s="703" t="s">
        <v>18</v>
      </c>
      <c r="W43" s="704">
        <f t="shared" si="14"/>
        <v>100</v>
      </c>
      <c r="X43" s="1353"/>
      <c r="Y43" s="3707"/>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5"/>
      <c r="Q44" s="1341">
        <f t="shared" si="11"/>
        <v>111</v>
      </c>
      <c r="R44" s="699" t="s">
        <v>18</v>
      </c>
      <c r="S44" s="700">
        <f t="shared" si="12"/>
        <v>100</v>
      </c>
      <c r="T44" s="699" t="s">
        <v>18</v>
      </c>
      <c r="U44" s="700">
        <f t="shared" si="13"/>
        <v>100</v>
      </c>
      <c r="V44" s="699" t="s">
        <v>18</v>
      </c>
      <c r="W44" s="700">
        <f t="shared" si="14"/>
        <v>100</v>
      </c>
      <c r="X44" s="701"/>
      <c r="Y44" s="3707"/>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5"/>
      <c r="Q45" s="1350">
        <f t="shared" si="11"/>
        <v>111</v>
      </c>
      <c r="R45" s="703" t="s">
        <v>18</v>
      </c>
      <c r="S45" s="704">
        <f t="shared" si="12"/>
        <v>100</v>
      </c>
      <c r="T45" s="703" t="s">
        <v>18</v>
      </c>
      <c r="U45" s="704">
        <f t="shared" si="13"/>
        <v>100</v>
      </c>
      <c r="V45" s="703" t="s">
        <v>18</v>
      </c>
      <c r="W45" s="704">
        <f t="shared" si="14"/>
        <v>100</v>
      </c>
      <c r="X45" s="1353"/>
      <c r="Y45" s="3707"/>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6"/>
      <c r="Q46" s="1350">
        <f t="shared" si="11"/>
        <v>111</v>
      </c>
      <c r="R46" s="703" t="s">
        <v>17</v>
      </c>
      <c r="S46" s="704">
        <f t="shared" si="12"/>
        <v>100</v>
      </c>
      <c r="T46" s="703" t="s">
        <v>17</v>
      </c>
      <c r="U46" s="704">
        <f t="shared" si="13"/>
        <v>100</v>
      </c>
      <c r="V46" s="703" t="s">
        <v>17</v>
      </c>
      <c r="W46" s="704">
        <f t="shared" si="14"/>
        <v>100</v>
      </c>
      <c r="X46" s="1353"/>
      <c r="Y46" s="3708"/>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00" t="str">
        <f>A47</f>
        <v>成交单价（元/平方米）</v>
      </c>
      <c r="Q47" s="3700"/>
      <c r="R47" s="3701">
        <f>E47</f>
        <v>0</v>
      </c>
      <c r="S47" s="3701"/>
      <c r="T47" s="3701">
        <f>G47</f>
        <v>0</v>
      </c>
      <c r="U47" s="3701"/>
      <c r="V47" s="3701">
        <f>I47</f>
        <v>0</v>
      </c>
      <c r="W47" s="3701"/>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160.55000000000001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91"/>
      <c r="Q6" s="3692"/>
      <c r="R6" s="3672"/>
      <c r="S6" s="3673"/>
      <c r="T6" s="3693"/>
      <c r="U6" s="3694"/>
      <c r="V6" s="3695"/>
      <c r="W6" s="3695"/>
      <c r="X6" s="1353"/>
      <c r="Y6" s="3693"/>
      <c r="Z6" s="3694"/>
      <c r="AA6" s="3667"/>
      <c r="AB6" s="3695"/>
      <c r="AC6" s="3667"/>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8" t="s">
        <v>1680</v>
      </c>
      <c r="Q7" s="3696"/>
      <c r="R7" s="699" t="s">
        <v>14</v>
      </c>
      <c r="S7" s="700">
        <f t="shared" ref="S7:S15" si="0">F7</f>
        <v>0</v>
      </c>
      <c r="T7" s="699" t="s">
        <v>14</v>
      </c>
      <c r="U7" s="700">
        <f t="shared" ref="U7:U15" si="1">H7</f>
        <v>0</v>
      </c>
      <c r="V7" s="699" t="s">
        <v>14</v>
      </c>
      <c r="W7" s="700">
        <f t="shared" ref="W7:W15"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8" t="s">
        <v>1683</v>
      </c>
      <c r="Q8" s="3669"/>
      <c r="R8" s="699" t="s">
        <v>14</v>
      </c>
      <c r="S8" s="700">
        <f t="shared" si="0"/>
        <v>100</v>
      </c>
      <c r="T8" s="699" t="s">
        <v>14</v>
      </c>
      <c r="U8" s="700">
        <f t="shared" si="1"/>
        <v>100</v>
      </c>
      <c r="V8" s="699" t="s">
        <v>14</v>
      </c>
      <c r="W8" s="700">
        <f t="shared" si="2"/>
        <v>100</v>
      </c>
      <c r="X8" s="701"/>
      <c r="Y8" s="3668" t="s">
        <v>1683</v>
      </c>
      <c r="Z8" s="3669"/>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2"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2"/>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2"/>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2"/>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2"/>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2"/>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9" t="s">
        <v>1691</v>
      </c>
      <c r="Q15" s="1350" t="str">
        <f t="shared" si="6"/>
        <v>商业繁华度</v>
      </c>
      <c r="R15" s="703" t="s">
        <v>14</v>
      </c>
      <c r="S15" s="704">
        <f t="shared" si="0"/>
        <v>100</v>
      </c>
      <c r="T15" s="703" t="s">
        <v>14</v>
      </c>
      <c r="U15" s="704">
        <f t="shared" si="1"/>
        <v>100</v>
      </c>
      <c r="V15" s="703" t="s">
        <v>14</v>
      </c>
      <c r="W15" s="704">
        <f t="shared" si="2"/>
        <v>100</v>
      </c>
      <c r="X15" s="1353"/>
      <c r="Y15" s="3702"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10"/>
      <c r="Q16" s="1350"/>
      <c r="R16" s="703"/>
      <c r="S16" s="704"/>
      <c r="T16" s="703"/>
      <c r="U16" s="704"/>
      <c r="V16" s="703"/>
      <c r="W16" s="704"/>
      <c r="X16" s="1353"/>
      <c r="Y16" s="3703"/>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0"/>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10"/>
      <c r="Q18" s="1350"/>
      <c r="R18" s="703"/>
      <c r="S18" s="704"/>
      <c r="T18" s="703"/>
      <c r="U18" s="704"/>
      <c r="V18" s="703"/>
      <c r="W18" s="704"/>
      <c r="X18" s="1353"/>
      <c r="Y18" s="3703"/>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0"/>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10"/>
      <c r="Q20" s="1350"/>
      <c r="R20" s="703"/>
      <c r="S20" s="704"/>
      <c r="T20" s="703"/>
      <c r="U20" s="704"/>
      <c r="V20" s="703"/>
      <c r="W20" s="704"/>
      <c r="X20" s="1353"/>
      <c r="Y20" s="3703"/>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0"/>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10"/>
      <c r="Q22" s="1350"/>
      <c r="R22" s="703"/>
      <c r="S22" s="704"/>
      <c r="T22" s="703"/>
      <c r="U22" s="704"/>
      <c r="V22" s="703"/>
      <c r="W22" s="704"/>
      <c r="X22" s="1353"/>
      <c r="Y22" s="3703"/>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0"/>
      <c r="Q23" s="1350" t="str">
        <f>B23</f>
        <v>自然及人文环境</v>
      </c>
      <c r="R23" s="703" t="s">
        <v>14</v>
      </c>
      <c r="S23" s="704">
        <f>F23</f>
        <v>100</v>
      </c>
      <c r="T23" s="703" t="s">
        <v>14</v>
      </c>
      <c r="U23" s="704">
        <f>H23</f>
        <v>100</v>
      </c>
      <c r="V23" s="703" t="s">
        <v>14</v>
      </c>
      <c r="W23" s="704">
        <f>J23</f>
        <v>100</v>
      </c>
      <c r="X23" s="1353"/>
      <c r="Y23" s="3703"/>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10"/>
      <c r="Q24" s="1350"/>
      <c r="R24" s="703"/>
      <c r="S24" s="704"/>
      <c r="T24" s="703"/>
      <c r="U24" s="704"/>
      <c r="V24" s="703"/>
      <c r="W24" s="704"/>
      <c r="X24" s="1353"/>
      <c r="Y24" s="3703"/>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0"/>
      <c r="Q25" s="1350" t="str">
        <f t="shared" ref="Q25:Q46" si="11">B25</f>
        <v>临街状况</v>
      </c>
      <c r="R25" s="703" t="s">
        <v>14</v>
      </c>
      <c r="S25" s="704">
        <f>F25</f>
        <v>100</v>
      </c>
      <c r="T25" s="703" t="s">
        <v>14</v>
      </c>
      <c r="U25" s="704">
        <f>H25</f>
        <v>100</v>
      </c>
      <c r="V25" s="703" t="s">
        <v>14</v>
      </c>
      <c r="W25" s="704">
        <f>J25</f>
        <v>100</v>
      </c>
      <c r="X25" s="1353"/>
      <c r="Y25" s="3703"/>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0"/>
      <c r="Q26" s="1350" t="str">
        <f t="shared" si="11"/>
        <v>平面位置/可视性</v>
      </c>
      <c r="R26" s="703" t="s">
        <v>14</v>
      </c>
      <c r="S26" s="704">
        <f>F26</f>
        <v>100</v>
      </c>
      <c r="T26" s="703" t="s">
        <v>14</v>
      </c>
      <c r="U26" s="704">
        <f>H26</f>
        <v>100</v>
      </c>
      <c r="V26" s="703" t="s">
        <v>14</v>
      </c>
      <c r="W26" s="704">
        <f>J26</f>
        <v>100</v>
      </c>
      <c r="X26" s="1353"/>
      <c r="Y26" s="3703"/>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0"/>
      <c r="Q27" s="1341" t="str">
        <f t="shared" si="11"/>
        <v>人流量</v>
      </c>
      <c r="R27" s="699" t="s">
        <v>14</v>
      </c>
      <c r="S27" s="700">
        <f>F27</f>
        <v>100</v>
      </c>
      <c r="T27" s="699" t="s">
        <v>14</v>
      </c>
      <c r="U27" s="700">
        <f>H27</f>
        <v>100</v>
      </c>
      <c r="V27" s="699" t="s">
        <v>14</v>
      </c>
      <c r="W27" s="700">
        <f>J27</f>
        <v>100</v>
      </c>
      <c r="X27" s="701"/>
      <c r="Y27" s="3703"/>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3"/>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0"/>
      <c r="Q29" s="1350">
        <f t="shared" si="11"/>
        <v>111</v>
      </c>
      <c r="R29" s="703" t="s">
        <v>14</v>
      </c>
      <c r="S29" s="704">
        <f t="shared" si="12"/>
        <v>100</v>
      </c>
      <c r="T29" s="703" t="s">
        <v>14</v>
      </c>
      <c r="U29" s="704">
        <f t="shared" si="13"/>
        <v>100</v>
      </c>
      <c r="V29" s="703" t="s">
        <v>14</v>
      </c>
      <c r="W29" s="704">
        <f t="shared" si="14"/>
        <v>100</v>
      </c>
      <c r="X29" s="1353"/>
      <c r="Y29" s="3703"/>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0"/>
      <c r="Q30" s="1350">
        <f t="shared" si="11"/>
        <v>111</v>
      </c>
      <c r="R30" s="703" t="s">
        <v>14</v>
      </c>
      <c r="S30" s="704">
        <f t="shared" si="12"/>
        <v>100</v>
      </c>
      <c r="T30" s="703" t="s">
        <v>14</v>
      </c>
      <c r="U30" s="704">
        <f t="shared" si="13"/>
        <v>100</v>
      </c>
      <c r="V30" s="703" t="s">
        <v>14</v>
      </c>
      <c r="W30" s="704">
        <f t="shared" si="14"/>
        <v>100</v>
      </c>
      <c r="X30" s="1353"/>
      <c r="Y30" s="3703"/>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0"/>
      <c r="Q31" s="1350">
        <f t="shared" si="11"/>
        <v>111</v>
      </c>
      <c r="R31" s="703" t="s">
        <v>14</v>
      </c>
      <c r="S31" s="704">
        <f t="shared" si="12"/>
        <v>100</v>
      </c>
      <c r="T31" s="703" t="s">
        <v>14</v>
      </c>
      <c r="U31" s="704">
        <f t="shared" si="13"/>
        <v>100</v>
      </c>
      <c r="V31" s="703" t="s">
        <v>14</v>
      </c>
      <c r="W31" s="704">
        <f t="shared" si="14"/>
        <v>100</v>
      </c>
      <c r="X31" s="1353"/>
      <c r="Y31" s="3703"/>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4" t="s">
        <v>1696</v>
      </c>
      <c r="Q32" s="1350" t="str">
        <f t="shared" si="11"/>
        <v>商业类型</v>
      </c>
      <c r="R32" s="703" t="s">
        <v>14</v>
      </c>
      <c r="S32" s="704">
        <f t="shared" si="12"/>
        <v>100</v>
      </c>
      <c r="T32" s="703" t="s">
        <v>14</v>
      </c>
      <c r="U32" s="704">
        <f t="shared" si="13"/>
        <v>100</v>
      </c>
      <c r="V32" s="703" t="s">
        <v>14</v>
      </c>
      <c r="W32" s="704">
        <f t="shared" si="14"/>
        <v>100</v>
      </c>
      <c r="X32" s="1353"/>
      <c r="Y32" s="3707"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5"/>
      <c r="Q33" s="705" t="str">
        <f t="shared" si="11"/>
        <v>项目建筑规模</v>
      </c>
      <c r="R33" s="706" t="s">
        <v>14</v>
      </c>
      <c r="S33" s="707" t="e">
        <f t="shared" si="12"/>
        <v>#N/A</v>
      </c>
      <c r="T33" s="706" t="s">
        <v>14</v>
      </c>
      <c r="U33" s="707" t="e">
        <f t="shared" si="13"/>
        <v>#N/A</v>
      </c>
      <c r="V33" s="706" t="s">
        <v>14</v>
      </c>
      <c r="W33" s="707" t="e">
        <f t="shared" si="14"/>
        <v>#N/A</v>
      </c>
      <c r="X33" s="708"/>
      <c r="Y33" s="3707"/>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5"/>
      <c r="Q34" s="1350" t="str">
        <f t="shared" si="11"/>
        <v>建筑结构</v>
      </c>
      <c r="R34" s="703" t="s">
        <v>14</v>
      </c>
      <c r="S34" s="704">
        <f t="shared" si="12"/>
        <v>100</v>
      </c>
      <c r="T34" s="703" t="s">
        <v>14</v>
      </c>
      <c r="U34" s="704">
        <f t="shared" si="13"/>
        <v>100</v>
      </c>
      <c r="V34" s="703" t="s">
        <v>14</v>
      </c>
      <c r="W34" s="704">
        <f t="shared" si="14"/>
        <v>100</v>
      </c>
      <c r="X34" s="1353"/>
      <c r="Y34" s="3707"/>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5"/>
      <c r="Q35" s="1350" t="str">
        <f t="shared" si="11"/>
        <v>公共部分装修</v>
      </c>
      <c r="R35" s="703" t="s">
        <v>14</v>
      </c>
      <c r="S35" s="704">
        <f t="shared" si="12"/>
        <v>100</v>
      </c>
      <c r="T35" s="703" t="s">
        <v>14</v>
      </c>
      <c r="U35" s="704">
        <f t="shared" si="13"/>
        <v>100</v>
      </c>
      <c r="V35" s="703" t="s">
        <v>14</v>
      </c>
      <c r="W35" s="704">
        <f t="shared" si="14"/>
        <v>100</v>
      </c>
      <c r="X35" s="1353"/>
      <c r="Y35" s="3707"/>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5"/>
      <c r="Q36" s="1350" t="str">
        <f t="shared" si="11"/>
        <v>成新度</v>
      </c>
      <c r="R36" s="703" t="s">
        <v>14</v>
      </c>
      <c r="S36" s="704" t="e">
        <f t="shared" si="12"/>
        <v>#N/A</v>
      </c>
      <c r="T36" s="703" t="s">
        <v>14</v>
      </c>
      <c r="U36" s="704" t="e">
        <f t="shared" si="13"/>
        <v>#N/A</v>
      </c>
      <c r="V36" s="703" t="s">
        <v>14</v>
      </c>
      <c r="W36" s="704" t="e">
        <f t="shared" si="14"/>
        <v>#N/A</v>
      </c>
      <c r="X36" s="1353"/>
      <c r="Y36" s="3707"/>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5"/>
      <c r="Q37" s="1341" t="str">
        <f t="shared" si="11"/>
        <v>市政基础设施</v>
      </c>
      <c r="R37" s="699" t="s">
        <v>14</v>
      </c>
      <c r="S37" s="700">
        <f t="shared" si="12"/>
        <v>100</v>
      </c>
      <c r="T37" s="699" t="s">
        <v>14</v>
      </c>
      <c r="U37" s="700">
        <f t="shared" si="13"/>
        <v>100</v>
      </c>
      <c r="V37" s="699" t="s">
        <v>14</v>
      </c>
      <c r="W37" s="700">
        <f t="shared" si="14"/>
        <v>100</v>
      </c>
      <c r="X37" s="701"/>
      <c r="Y37" s="3707"/>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5" t="s">
        <v>1696</v>
      </c>
      <c r="Q38" s="1350" t="str">
        <f t="shared" si="11"/>
        <v>业态</v>
      </c>
      <c r="R38" s="703" t="s">
        <v>14</v>
      </c>
      <c r="S38" s="704">
        <f t="shared" si="12"/>
        <v>100</v>
      </c>
      <c r="T38" s="703" t="s">
        <v>14</v>
      </c>
      <c r="U38" s="704">
        <f t="shared" si="13"/>
        <v>100</v>
      </c>
      <c r="V38" s="703" t="s">
        <v>14</v>
      </c>
      <c r="W38" s="704">
        <f t="shared" si="14"/>
        <v>100</v>
      </c>
      <c r="X38" s="1353"/>
      <c r="Y38" s="3707"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5"/>
      <c r="Q39" s="1350" t="str">
        <f t="shared" si="11"/>
        <v>层高</v>
      </c>
      <c r="R39" s="703" t="s">
        <v>14</v>
      </c>
      <c r="S39" s="704">
        <f t="shared" si="12"/>
        <v>100</v>
      </c>
      <c r="T39" s="703" t="s">
        <v>14</v>
      </c>
      <c r="U39" s="704">
        <f t="shared" si="13"/>
        <v>100</v>
      </c>
      <c r="V39" s="703" t="s">
        <v>14</v>
      </c>
      <c r="W39" s="704">
        <f t="shared" si="14"/>
        <v>100</v>
      </c>
      <c r="X39" s="1353"/>
      <c r="Y39" s="3707"/>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5"/>
      <c r="Q40" s="1350" t="str">
        <f t="shared" si="11"/>
        <v>单套建筑面积</v>
      </c>
      <c r="R40" s="703" t="s">
        <v>14</v>
      </c>
      <c r="S40" s="704">
        <f t="shared" si="12"/>
        <v>100</v>
      </c>
      <c r="T40" s="703" t="s">
        <v>14</v>
      </c>
      <c r="U40" s="704">
        <f t="shared" si="13"/>
        <v>100</v>
      </c>
      <c r="V40" s="703" t="s">
        <v>14</v>
      </c>
      <c r="W40" s="704">
        <f t="shared" si="14"/>
        <v>100</v>
      </c>
      <c r="X40" s="1353"/>
      <c r="Y40" s="3707"/>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5"/>
      <c r="Q41" s="705" t="str">
        <f t="shared" si="11"/>
        <v>进深比</v>
      </c>
      <c r="R41" s="706" t="s">
        <v>14</v>
      </c>
      <c r="S41" s="707">
        <f t="shared" si="12"/>
        <v>100</v>
      </c>
      <c r="T41" s="706" t="s">
        <v>14</v>
      </c>
      <c r="U41" s="707">
        <f t="shared" si="13"/>
        <v>100</v>
      </c>
      <c r="V41" s="706" t="s">
        <v>14</v>
      </c>
      <c r="W41" s="707">
        <f t="shared" si="14"/>
        <v>100</v>
      </c>
      <c r="X41" s="708"/>
      <c r="Y41" s="3707"/>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5"/>
      <c r="Q42" s="1350" t="str">
        <f t="shared" si="11"/>
        <v>内部装修</v>
      </c>
      <c r="R42" s="703" t="s">
        <v>14</v>
      </c>
      <c r="S42" s="704">
        <f t="shared" si="12"/>
        <v>100</v>
      </c>
      <c r="T42" s="703" t="s">
        <v>14</v>
      </c>
      <c r="U42" s="704">
        <f t="shared" si="13"/>
        <v>100</v>
      </c>
      <c r="V42" s="703" t="s">
        <v>14</v>
      </c>
      <c r="W42" s="704">
        <f t="shared" si="14"/>
        <v>100</v>
      </c>
      <c r="X42" s="1353"/>
      <c r="Y42" s="3707"/>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5"/>
      <c r="Q43" s="1350" t="str">
        <f t="shared" si="11"/>
        <v>内部装修维护情况</v>
      </c>
      <c r="R43" s="703" t="s">
        <v>14</v>
      </c>
      <c r="S43" s="704">
        <f t="shared" si="12"/>
        <v>100</v>
      </c>
      <c r="T43" s="703" t="s">
        <v>14</v>
      </c>
      <c r="U43" s="704">
        <f t="shared" si="13"/>
        <v>100</v>
      </c>
      <c r="V43" s="703" t="s">
        <v>14</v>
      </c>
      <c r="W43" s="704">
        <f t="shared" si="14"/>
        <v>100</v>
      </c>
      <c r="X43" s="1353"/>
      <c r="Y43" s="3707"/>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5"/>
      <c r="Q44" s="1341">
        <f t="shared" si="11"/>
        <v>111</v>
      </c>
      <c r="R44" s="699" t="s">
        <v>14</v>
      </c>
      <c r="S44" s="700">
        <f t="shared" si="12"/>
        <v>100</v>
      </c>
      <c r="T44" s="699" t="s">
        <v>14</v>
      </c>
      <c r="U44" s="700">
        <f t="shared" si="13"/>
        <v>100</v>
      </c>
      <c r="V44" s="699" t="s">
        <v>14</v>
      </c>
      <c r="W44" s="700">
        <f t="shared" si="14"/>
        <v>100</v>
      </c>
      <c r="X44" s="701"/>
      <c r="Y44" s="3707"/>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5"/>
      <c r="Q45" s="1350">
        <f t="shared" si="11"/>
        <v>111</v>
      </c>
      <c r="R45" s="703" t="s">
        <v>14</v>
      </c>
      <c r="S45" s="704">
        <f t="shared" si="12"/>
        <v>100</v>
      </c>
      <c r="T45" s="703" t="s">
        <v>14</v>
      </c>
      <c r="U45" s="704">
        <f t="shared" si="13"/>
        <v>100</v>
      </c>
      <c r="V45" s="703" t="s">
        <v>14</v>
      </c>
      <c r="W45" s="704">
        <f t="shared" si="14"/>
        <v>100</v>
      </c>
      <c r="X45" s="1353"/>
      <c r="Y45" s="3707"/>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6"/>
      <c r="Q46" s="1350">
        <f t="shared" si="11"/>
        <v>111</v>
      </c>
      <c r="R46" s="703" t="s">
        <v>14</v>
      </c>
      <c r="S46" s="704">
        <f t="shared" si="12"/>
        <v>100</v>
      </c>
      <c r="T46" s="703" t="s">
        <v>14</v>
      </c>
      <c r="U46" s="704">
        <f t="shared" si="13"/>
        <v>100</v>
      </c>
      <c r="V46" s="703" t="s">
        <v>14</v>
      </c>
      <c r="W46" s="704">
        <f t="shared" si="14"/>
        <v>100</v>
      </c>
      <c r="X46" s="1353"/>
      <c r="Y46" s="3708"/>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700" t="str">
        <f>A47</f>
        <v>成交单价（元/平方米）</v>
      </c>
      <c r="Q47" s="3700"/>
      <c r="R47" s="3695">
        <f>E47</f>
        <v>0</v>
      </c>
      <c r="S47" s="3695"/>
      <c r="T47" s="3695">
        <f>G47</f>
        <v>0</v>
      </c>
      <c r="U47" s="3695"/>
      <c r="V47" s="3695">
        <f>I47</f>
        <v>0</v>
      </c>
      <c r="W47" s="3695"/>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70" zoomScaleNormal="70" zoomScaleSheetLayoutView="7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160.55000000000001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718" t="s">
        <v>1775</v>
      </c>
      <c r="Q4" s="3719"/>
      <c r="R4" s="3712" t="s">
        <v>1771</v>
      </c>
      <c r="S4" s="3713"/>
      <c r="T4" s="3712" t="s">
        <v>1772</v>
      </c>
      <c r="U4" s="3713"/>
      <c r="V4" s="3722" t="s">
        <v>1773</v>
      </c>
      <c r="W4" s="3722"/>
      <c r="X4" s="1956"/>
      <c r="Y4" s="3712" t="s">
        <v>1775</v>
      </c>
      <c r="Z4" s="3713"/>
      <c r="AA4" s="3711" t="s">
        <v>1771</v>
      </c>
      <c r="AB4" s="3711" t="s">
        <v>1772</v>
      </c>
      <c r="AC4" s="3715" t="s">
        <v>1773</v>
      </c>
    </row>
    <row r="5" spans="1:29" ht="15">
      <c r="A5" s="358"/>
      <c r="B5" s="359"/>
      <c r="C5" s="3676" t="s">
        <v>1673</v>
      </c>
      <c r="D5" s="3677"/>
      <c r="E5" s="3714" t="s">
        <v>3447</v>
      </c>
      <c r="F5" s="3675"/>
      <c r="G5" s="3714" t="s">
        <v>3447</v>
      </c>
      <c r="H5" s="3675"/>
      <c r="I5" s="3714" t="s">
        <v>3447</v>
      </c>
      <c r="J5" s="3675"/>
      <c r="K5" s="559"/>
      <c r="L5" s="2713"/>
      <c r="M5" s="2714"/>
      <c r="N5" s="2714"/>
      <c r="O5" s="2714"/>
      <c r="P5" s="3720"/>
      <c r="Q5" s="3690"/>
      <c r="R5" s="3672"/>
      <c r="S5" s="3673"/>
      <c r="T5" s="3672"/>
      <c r="U5" s="3673"/>
      <c r="V5" s="3695"/>
      <c r="W5" s="3695"/>
      <c r="X5" s="1353"/>
      <c r="Y5" s="3672"/>
      <c r="Z5" s="3673"/>
      <c r="AA5" s="3666"/>
      <c r="AB5" s="3666"/>
      <c r="AC5" s="3716"/>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721"/>
      <c r="Q6" s="3692"/>
      <c r="R6" s="3672"/>
      <c r="S6" s="3673"/>
      <c r="T6" s="3693"/>
      <c r="U6" s="3694"/>
      <c r="V6" s="3695"/>
      <c r="W6" s="3695"/>
      <c r="X6" s="1353"/>
      <c r="Y6" s="3693"/>
      <c r="Z6" s="3694"/>
      <c r="AA6" s="3667"/>
      <c r="AB6" s="3667"/>
      <c r="AC6" s="3717"/>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23" t="s">
        <v>1680</v>
      </c>
      <c r="Q7" s="3696"/>
      <c r="R7" s="699" t="s">
        <v>14</v>
      </c>
      <c r="S7" s="700">
        <f t="shared" ref="S7:S15" si="0">F7</f>
        <v>100</v>
      </c>
      <c r="T7" s="699" t="s">
        <v>14</v>
      </c>
      <c r="U7" s="700">
        <f t="shared" ref="U7:U15" si="1">H7</f>
        <v>100</v>
      </c>
      <c r="V7" s="699" t="s">
        <v>14</v>
      </c>
      <c r="W7" s="700">
        <f t="shared" ref="W7:W15" si="2">J7</f>
        <v>100</v>
      </c>
      <c r="X7" s="701"/>
      <c r="Y7" s="3668" t="s">
        <v>1680</v>
      </c>
      <c r="Z7" s="3669"/>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102</v>
      </c>
      <c r="G8" s="368" t="s">
        <v>3405</v>
      </c>
      <c r="H8" s="365">
        <f>SUMIF(62:62,G8,63:63)-SUMIF(62:62,C8,63:63)+100</f>
        <v>102</v>
      </c>
      <c r="I8" s="368" t="s">
        <v>3405</v>
      </c>
      <c r="J8" s="365">
        <f>SUMIF(62:62,I8,63:63)-SUMIF(62:62,C8,63:63)+100</f>
        <v>102</v>
      </c>
      <c r="K8" s="560"/>
      <c r="L8" s="2715"/>
      <c r="M8" s="2716"/>
      <c r="N8" s="2716"/>
      <c r="O8" s="2716"/>
      <c r="P8" s="3723" t="s">
        <v>1683</v>
      </c>
      <c r="Q8" s="3669"/>
      <c r="R8" s="699" t="s">
        <v>14</v>
      </c>
      <c r="S8" s="700">
        <f t="shared" si="0"/>
        <v>102</v>
      </c>
      <c r="T8" s="699" t="s">
        <v>14</v>
      </c>
      <c r="U8" s="700">
        <f t="shared" si="1"/>
        <v>102</v>
      </c>
      <c r="V8" s="699" t="s">
        <v>14</v>
      </c>
      <c r="W8" s="700">
        <f t="shared" si="2"/>
        <v>102</v>
      </c>
      <c r="X8" s="701"/>
      <c r="Y8" s="3668" t="s">
        <v>1683</v>
      </c>
      <c r="Z8" s="3669"/>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2"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2"/>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2"/>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2"/>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2"/>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2"/>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9" t="s">
        <v>1691</v>
      </c>
      <c r="Q15" s="1350" t="str">
        <f t="shared" si="6"/>
        <v>办公集聚程度</v>
      </c>
      <c r="R15" s="703" t="s">
        <v>14</v>
      </c>
      <c r="S15" s="704">
        <f t="shared" si="0"/>
        <v>100</v>
      </c>
      <c r="T15" s="703" t="s">
        <v>14</v>
      </c>
      <c r="U15" s="704">
        <f t="shared" si="1"/>
        <v>100</v>
      </c>
      <c r="V15" s="703" t="s">
        <v>14</v>
      </c>
      <c r="W15" s="704">
        <f t="shared" si="2"/>
        <v>100</v>
      </c>
      <c r="X15" s="1353"/>
      <c r="Y15" s="3702"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710"/>
      <c r="Q16" s="1350"/>
      <c r="R16" s="703"/>
      <c r="S16" s="704"/>
      <c r="T16" s="703"/>
      <c r="U16" s="704"/>
      <c r="V16" s="703"/>
      <c r="W16" s="704"/>
      <c r="X16" s="1353"/>
      <c r="Y16" s="3703"/>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10"/>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710"/>
      <c r="Q18" s="1350"/>
      <c r="R18" s="703"/>
      <c r="S18" s="704"/>
      <c r="T18" s="703"/>
      <c r="U18" s="704"/>
      <c r="V18" s="703"/>
      <c r="W18" s="704"/>
      <c r="X18" s="1353"/>
      <c r="Y18" s="3703"/>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10"/>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710"/>
      <c r="Q20" s="1350"/>
      <c r="R20" s="703"/>
      <c r="S20" s="704"/>
      <c r="T20" s="703"/>
      <c r="U20" s="704"/>
      <c r="V20" s="703"/>
      <c r="W20" s="704"/>
      <c r="X20" s="1353"/>
      <c r="Y20" s="3703"/>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10"/>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710"/>
      <c r="Q22" s="1350"/>
      <c r="R22" s="703"/>
      <c r="S22" s="704"/>
      <c r="T22" s="703"/>
      <c r="U22" s="704"/>
      <c r="V22" s="703"/>
      <c r="W22" s="704"/>
      <c r="X22" s="1353"/>
      <c r="Y22" s="3703"/>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0"/>
      <c r="Q23" s="1350" t="str">
        <f>B23</f>
        <v>环境质量</v>
      </c>
      <c r="R23" s="703" t="s">
        <v>14</v>
      </c>
      <c r="S23" s="704">
        <f>F23</f>
        <v>100</v>
      </c>
      <c r="T23" s="703" t="s">
        <v>14</v>
      </c>
      <c r="U23" s="704">
        <f>H23</f>
        <v>100</v>
      </c>
      <c r="V23" s="703" t="s">
        <v>14</v>
      </c>
      <c r="W23" s="704">
        <f>J23</f>
        <v>100</v>
      </c>
      <c r="X23" s="1353"/>
      <c r="Y23" s="3703"/>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710"/>
      <c r="Q24" s="1350"/>
      <c r="R24" s="703"/>
      <c r="S24" s="704"/>
      <c r="T24" s="703"/>
      <c r="U24" s="704"/>
      <c r="V24" s="703"/>
      <c r="W24" s="704"/>
      <c r="X24" s="1353"/>
      <c r="Y24" s="3703"/>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10"/>
      <c r="Q25" s="1350" t="str">
        <f>B25</f>
        <v>毗邻道路的类型与等级</v>
      </c>
      <c r="R25" s="703" t="s">
        <v>14</v>
      </c>
      <c r="S25" s="704">
        <f>F25</f>
        <v>100</v>
      </c>
      <c r="T25" s="703" t="s">
        <v>14</v>
      </c>
      <c r="U25" s="704">
        <f>H25</f>
        <v>100</v>
      </c>
      <c r="V25" s="703" t="s">
        <v>14</v>
      </c>
      <c r="W25" s="704">
        <f>J25</f>
        <v>100</v>
      </c>
      <c r="X25" s="1353"/>
      <c r="Y25" s="3703"/>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710"/>
      <c r="Q26" s="1350"/>
      <c r="R26" s="703"/>
      <c r="S26" s="704"/>
      <c r="T26" s="703"/>
      <c r="U26" s="704"/>
      <c r="V26" s="703"/>
      <c r="W26" s="704"/>
      <c r="X26" s="1353"/>
      <c r="Y26" s="3703"/>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3415</v>
      </c>
      <c r="J27" s="386">
        <f>SUMIF(89:89,I27,90:90)-SUMIF(89:89,C27,90:90)+100</f>
        <v>100</v>
      </c>
      <c r="K27" s="561">
        <v>1</v>
      </c>
      <c r="L27" s="2720"/>
      <c r="M27" s="2714"/>
      <c r="N27" s="2714"/>
      <c r="O27" s="2714"/>
      <c r="P27" s="3710"/>
      <c r="Q27" s="1350" t="str">
        <f t="shared" ref="Q27:Q47" si="11">B27</f>
        <v>楼层</v>
      </c>
      <c r="R27" s="703" t="s">
        <v>14</v>
      </c>
      <c r="S27" s="704">
        <f>F27</f>
        <v>101</v>
      </c>
      <c r="T27" s="703" t="s">
        <v>14</v>
      </c>
      <c r="U27" s="704">
        <f>H27</f>
        <v>100</v>
      </c>
      <c r="V27" s="703" t="s">
        <v>14</v>
      </c>
      <c r="W27" s="704">
        <f>J27</f>
        <v>100</v>
      </c>
      <c r="X27" s="1353"/>
      <c r="Y27" s="3703"/>
      <c r="Z27" s="1354" t="str">
        <f>Q27</f>
        <v>楼层</v>
      </c>
      <c r="AA27" s="1351">
        <f t="shared" si="3"/>
        <v>0.99009900990099009</v>
      </c>
      <c r="AB27" s="1351">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0"/>
      <c r="Q28" s="1341" t="str">
        <f t="shared" si="11"/>
        <v>朝向</v>
      </c>
      <c r="R28" s="699" t="s">
        <v>14</v>
      </c>
      <c r="S28" s="700">
        <f>F28</f>
        <v>100</v>
      </c>
      <c r="T28" s="699" t="s">
        <v>14</v>
      </c>
      <c r="U28" s="700">
        <f>H28</f>
        <v>100</v>
      </c>
      <c r="V28" s="699" t="s">
        <v>14</v>
      </c>
      <c r="W28" s="700">
        <f>J28</f>
        <v>100</v>
      </c>
      <c r="X28" s="701"/>
      <c r="Y28" s="3703"/>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0"/>
      <c r="Q29" s="1350">
        <f t="shared" si="11"/>
        <v>111</v>
      </c>
      <c r="R29" s="703" t="s">
        <v>14</v>
      </c>
      <c r="S29" s="704">
        <f t="shared" ref="S29:S47" si="12">F29</f>
        <v>100</v>
      </c>
      <c r="T29" s="703" t="s">
        <v>14</v>
      </c>
      <c r="U29" s="704">
        <f t="shared" ref="U29:U47" si="13">H29</f>
        <v>100</v>
      </c>
      <c r="V29" s="703" t="s">
        <v>14</v>
      </c>
      <c r="W29" s="704">
        <f t="shared" ref="W29:W47" si="14">J29</f>
        <v>100</v>
      </c>
      <c r="X29" s="1353"/>
      <c r="Y29" s="3703"/>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0"/>
      <c r="Q30" s="1350">
        <f t="shared" si="11"/>
        <v>111</v>
      </c>
      <c r="R30" s="703" t="s">
        <v>14</v>
      </c>
      <c r="S30" s="704">
        <f t="shared" si="12"/>
        <v>100</v>
      </c>
      <c r="T30" s="703" t="s">
        <v>14</v>
      </c>
      <c r="U30" s="704">
        <f t="shared" si="13"/>
        <v>100</v>
      </c>
      <c r="V30" s="703" t="s">
        <v>14</v>
      </c>
      <c r="W30" s="704">
        <f t="shared" si="14"/>
        <v>100</v>
      </c>
      <c r="X30" s="1353"/>
      <c r="Y30" s="3703"/>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0"/>
      <c r="Q31" s="1350">
        <f t="shared" si="11"/>
        <v>111</v>
      </c>
      <c r="R31" s="703" t="s">
        <v>14</v>
      </c>
      <c r="S31" s="704">
        <f t="shared" si="12"/>
        <v>100</v>
      </c>
      <c r="T31" s="703" t="s">
        <v>14</v>
      </c>
      <c r="U31" s="704">
        <f t="shared" si="13"/>
        <v>100</v>
      </c>
      <c r="V31" s="703" t="s">
        <v>14</v>
      </c>
      <c r="W31" s="704">
        <f t="shared" si="14"/>
        <v>100</v>
      </c>
      <c r="X31" s="1353"/>
      <c r="Y31" s="3703"/>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0"/>
      <c r="Q32" s="1350">
        <f t="shared" si="11"/>
        <v>111</v>
      </c>
      <c r="R32" s="703" t="s">
        <v>14</v>
      </c>
      <c r="S32" s="704">
        <f t="shared" si="12"/>
        <v>100</v>
      </c>
      <c r="T32" s="703" t="s">
        <v>14</v>
      </c>
      <c r="U32" s="704">
        <f t="shared" si="13"/>
        <v>100</v>
      </c>
      <c r="V32" s="703" t="s">
        <v>14</v>
      </c>
      <c r="W32" s="704">
        <f t="shared" si="14"/>
        <v>100</v>
      </c>
      <c r="X32" s="1353"/>
      <c r="Y32" s="3703"/>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704" t="s">
        <v>1696</v>
      </c>
      <c r="Q33" s="1350" t="str">
        <f t="shared" si="11"/>
        <v>建筑类型</v>
      </c>
      <c r="R33" s="703" t="s">
        <v>14</v>
      </c>
      <c r="S33" s="704">
        <f t="shared" si="12"/>
        <v>100</v>
      </c>
      <c r="T33" s="703" t="s">
        <v>14</v>
      </c>
      <c r="U33" s="704">
        <f t="shared" si="13"/>
        <v>100</v>
      </c>
      <c r="V33" s="703" t="s">
        <v>14</v>
      </c>
      <c r="W33" s="704">
        <f t="shared" si="14"/>
        <v>100</v>
      </c>
      <c r="X33" s="1353"/>
      <c r="Y33" s="3707"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160.55000000000001</v>
      </c>
      <c r="D34" s="127">
        <v>100</v>
      </c>
      <c r="E34" s="420">
        <v>157.35</v>
      </c>
      <c r="F34" s="376">
        <f>LOOKUP(E34,104:104,105:105)-LOOKUP(C34,104:104,105:105)+100</f>
        <v>100</v>
      </c>
      <c r="G34" s="420">
        <v>150.26</v>
      </c>
      <c r="H34" s="127">
        <f>LOOKUP(G34,104:104,105:105)-LOOKUP(C34,104:104,105:105)+100</f>
        <v>100</v>
      </c>
      <c r="I34" s="420">
        <v>168.84</v>
      </c>
      <c r="J34" s="127">
        <f>LOOKUP(I34,104:104,105:105)-LOOKUP(C34,104:104,105:105)+100</f>
        <v>100</v>
      </c>
      <c r="K34" s="562"/>
      <c r="L34" s="2719"/>
      <c r="M34" s="2721"/>
      <c r="N34" s="2721"/>
      <c r="O34" s="2721"/>
      <c r="P34" s="3705"/>
      <c r="Q34" s="705" t="str">
        <f t="shared" si="11"/>
        <v>项目建筑规模</v>
      </c>
      <c r="R34" s="706" t="s">
        <v>14</v>
      </c>
      <c r="S34" s="707">
        <f t="shared" si="12"/>
        <v>100</v>
      </c>
      <c r="T34" s="706" t="s">
        <v>14</v>
      </c>
      <c r="U34" s="707">
        <f t="shared" si="13"/>
        <v>100</v>
      </c>
      <c r="V34" s="706" t="s">
        <v>14</v>
      </c>
      <c r="W34" s="707">
        <f t="shared" si="14"/>
        <v>100</v>
      </c>
      <c r="X34" s="708"/>
      <c r="Y34" s="3707"/>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705"/>
      <c r="Q35" s="1350" t="str">
        <f t="shared" si="11"/>
        <v>建筑结构</v>
      </c>
      <c r="R35" s="703" t="s">
        <v>14</v>
      </c>
      <c r="S35" s="704">
        <f t="shared" si="12"/>
        <v>100</v>
      </c>
      <c r="T35" s="703" t="s">
        <v>14</v>
      </c>
      <c r="U35" s="704">
        <f t="shared" si="13"/>
        <v>100</v>
      </c>
      <c r="V35" s="703" t="s">
        <v>14</v>
      </c>
      <c r="W35" s="704">
        <f t="shared" si="14"/>
        <v>100</v>
      </c>
      <c r="X35" s="1353"/>
      <c r="Y35" s="3707"/>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705"/>
      <c r="Q36" s="1350" t="str">
        <f t="shared" si="11"/>
        <v>公共部分装修</v>
      </c>
      <c r="R36" s="703" t="s">
        <v>14</v>
      </c>
      <c r="S36" s="704">
        <f t="shared" si="12"/>
        <v>100</v>
      </c>
      <c r="T36" s="703" t="s">
        <v>14</v>
      </c>
      <c r="U36" s="704">
        <f t="shared" si="13"/>
        <v>100</v>
      </c>
      <c r="V36" s="703" t="s">
        <v>14</v>
      </c>
      <c r="W36" s="704">
        <f t="shared" si="14"/>
        <v>100</v>
      </c>
      <c r="X36" s="1353"/>
      <c r="Y36" s="3707"/>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705"/>
      <c r="Q37" s="1350" t="str">
        <f t="shared" si="11"/>
        <v>成新度</v>
      </c>
      <c r="R37" s="703" t="s">
        <v>14</v>
      </c>
      <c r="S37" s="704">
        <f t="shared" si="12"/>
        <v>100</v>
      </c>
      <c r="T37" s="703" t="s">
        <v>14</v>
      </c>
      <c r="U37" s="704">
        <f t="shared" si="13"/>
        <v>100</v>
      </c>
      <c r="V37" s="703" t="s">
        <v>14</v>
      </c>
      <c r="W37" s="704">
        <f t="shared" si="14"/>
        <v>100</v>
      </c>
      <c r="X37" s="1353"/>
      <c r="Y37" s="3707"/>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705"/>
      <c r="Q38" s="1341" t="str">
        <f t="shared" si="11"/>
        <v>写字楼等级</v>
      </c>
      <c r="R38" s="699" t="s">
        <v>14</v>
      </c>
      <c r="S38" s="700">
        <f t="shared" si="12"/>
        <v>100</v>
      </c>
      <c r="T38" s="699" t="s">
        <v>14</v>
      </c>
      <c r="U38" s="700">
        <f t="shared" si="13"/>
        <v>100</v>
      </c>
      <c r="V38" s="699" t="s">
        <v>14</v>
      </c>
      <c r="W38" s="700">
        <f t="shared" si="14"/>
        <v>100</v>
      </c>
      <c r="X38" s="701"/>
      <c r="Y38" s="3707"/>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705" t="s">
        <v>1696</v>
      </c>
      <c r="Q39" s="1350" t="str">
        <f t="shared" si="11"/>
        <v>物业管理</v>
      </c>
      <c r="R39" s="703" t="s">
        <v>14</v>
      </c>
      <c r="S39" s="704">
        <f t="shared" si="12"/>
        <v>100</v>
      </c>
      <c r="T39" s="703" t="s">
        <v>14</v>
      </c>
      <c r="U39" s="704">
        <f t="shared" si="13"/>
        <v>100</v>
      </c>
      <c r="V39" s="703" t="s">
        <v>14</v>
      </c>
      <c r="W39" s="704">
        <f t="shared" si="14"/>
        <v>100</v>
      </c>
      <c r="X39" s="1353"/>
      <c r="Y39" s="3707"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705"/>
      <c r="Q40" s="1350" t="str">
        <f t="shared" si="11"/>
        <v>市政基础设施</v>
      </c>
      <c r="R40" s="703" t="s">
        <v>14</v>
      </c>
      <c r="S40" s="704">
        <f t="shared" si="12"/>
        <v>100</v>
      </c>
      <c r="T40" s="703" t="s">
        <v>14</v>
      </c>
      <c r="U40" s="704">
        <f t="shared" si="13"/>
        <v>100</v>
      </c>
      <c r="V40" s="703" t="s">
        <v>14</v>
      </c>
      <c r="W40" s="704">
        <f t="shared" si="14"/>
        <v>100</v>
      </c>
      <c r="X40" s="1353"/>
      <c r="Y40" s="3707"/>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5"/>
      <c r="Q41" s="1350" t="str">
        <f t="shared" si="11"/>
        <v>层高</v>
      </c>
      <c r="R41" s="703" t="s">
        <v>14</v>
      </c>
      <c r="S41" s="704">
        <f t="shared" si="12"/>
        <v>100</v>
      </c>
      <c r="T41" s="703" t="s">
        <v>14</v>
      </c>
      <c r="U41" s="704">
        <f t="shared" si="13"/>
        <v>100</v>
      </c>
      <c r="V41" s="703" t="s">
        <v>14</v>
      </c>
      <c r="W41" s="704">
        <f t="shared" si="14"/>
        <v>100</v>
      </c>
      <c r="X41" s="1353"/>
      <c r="Y41" s="3707"/>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5"/>
      <c r="Q42" s="705" t="str">
        <f t="shared" si="11"/>
        <v>单套建筑面积</v>
      </c>
      <c r="R42" s="706" t="s">
        <v>14</v>
      </c>
      <c r="S42" s="707">
        <f t="shared" si="12"/>
        <v>100</v>
      </c>
      <c r="T42" s="706" t="s">
        <v>14</v>
      </c>
      <c r="U42" s="707">
        <f t="shared" si="13"/>
        <v>100</v>
      </c>
      <c r="V42" s="706" t="s">
        <v>14</v>
      </c>
      <c r="W42" s="707">
        <f t="shared" si="14"/>
        <v>100</v>
      </c>
      <c r="X42" s="708"/>
      <c r="Y42" s="3707"/>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1</v>
      </c>
      <c r="L43" s="2720"/>
      <c r="M43" s="2714"/>
      <c r="N43" s="2714"/>
      <c r="O43" s="2714"/>
      <c r="P43" s="3705"/>
      <c r="Q43" s="1350" t="str">
        <f t="shared" si="11"/>
        <v>内部装修</v>
      </c>
      <c r="R43" s="703" t="s">
        <v>14</v>
      </c>
      <c r="S43" s="704">
        <f t="shared" si="12"/>
        <v>100</v>
      </c>
      <c r="T43" s="703" t="s">
        <v>14</v>
      </c>
      <c r="U43" s="704">
        <f t="shared" si="13"/>
        <v>100</v>
      </c>
      <c r="V43" s="703" t="s">
        <v>14</v>
      </c>
      <c r="W43" s="704">
        <f t="shared" si="14"/>
        <v>100</v>
      </c>
      <c r="X43" s="1353"/>
      <c r="Y43" s="3707"/>
      <c r="Z43" s="1354" t="str">
        <f t="shared" si="15"/>
        <v>内部装修</v>
      </c>
      <c r="AA43" s="1351">
        <f t="shared" si="3"/>
        <v>1</v>
      </c>
      <c r="AB43" s="1351">
        <f t="shared" si="4"/>
        <v>1</v>
      </c>
      <c r="AC43" s="1960">
        <f t="shared" si="5"/>
        <v>1</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705"/>
      <c r="Q44" s="1350" t="str">
        <f t="shared" si="11"/>
        <v>内部装修维护情况</v>
      </c>
      <c r="R44" s="703" t="s">
        <v>14</v>
      </c>
      <c r="S44" s="704">
        <f t="shared" si="12"/>
        <v>100</v>
      </c>
      <c r="T44" s="703" t="s">
        <v>14</v>
      </c>
      <c r="U44" s="704">
        <f t="shared" si="13"/>
        <v>100</v>
      </c>
      <c r="V44" s="703" t="s">
        <v>14</v>
      </c>
      <c r="W44" s="704">
        <f t="shared" si="14"/>
        <v>100</v>
      </c>
      <c r="X44" s="1353"/>
      <c r="Y44" s="3707"/>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5"/>
      <c r="Q45" s="1341">
        <f t="shared" si="11"/>
        <v>111</v>
      </c>
      <c r="R45" s="699" t="s">
        <v>14</v>
      </c>
      <c r="S45" s="700">
        <f t="shared" si="12"/>
        <v>100</v>
      </c>
      <c r="T45" s="699" t="s">
        <v>14</v>
      </c>
      <c r="U45" s="700">
        <f t="shared" si="13"/>
        <v>100</v>
      </c>
      <c r="V45" s="699" t="s">
        <v>14</v>
      </c>
      <c r="W45" s="700">
        <f t="shared" si="14"/>
        <v>100</v>
      </c>
      <c r="X45" s="701"/>
      <c r="Y45" s="3707"/>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5"/>
      <c r="Q46" s="1350">
        <f t="shared" si="11"/>
        <v>111</v>
      </c>
      <c r="R46" s="703" t="s">
        <v>14</v>
      </c>
      <c r="S46" s="704">
        <f t="shared" si="12"/>
        <v>100</v>
      </c>
      <c r="T46" s="703" t="s">
        <v>14</v>
      </c>
      <c r="U46" s="704">
        <f t="shared" si="13"/>
        <v>100</v>
      </c>
      <c r="V46" s="703" t="s">
        <v>14</v>
      </c>
      <c r="W46" s="704">
        <f t="shared" si="14"/>
        <v>100</v>
      </c>
      <c r="X46" s="1353"/>
      <c r="Y46" s="3707"/>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6"/>
      <c r="Q47" s="1350">
        <f t="shared" si="11"/>
        <v>111</v>
      </c>
      <c r="R47" s="703" t="s">
        <v>14</v>
      </c>
      <c r="S47" s="704">
        <f t="shared" si="12"/>
        <v>100</v>
      </c>
      <c r="T47" s="703" t="s">
        <v>14</v>
      </c>
      <c r="U47" s="704">
        <f t="shared" si="13"/>
        <v>100</v>
      </c>
      <c r="V47" s="703" t="s">
        <v>14</v>
      </c>
      <c r="W47" s="704">
        <f t="shared" si="14"/>
        <v>100</v>
      </c>
      <c r="X47" s="1353"/>
      <c r="Y47" s="3708"/>
      <c r="Z47" s="1354">
        <f t="shared" si="15"/>
        <v>111</v>
      </c>
      <c r="AA47" s="1351">
        <f t="shared" si="3"/>
        <v>1</v>
      </c>
      <c r="AB47" s="1351">
        <f t="shared" si="4"/>
        <v>1</v>
      </c>
      <c r="AC47" s="1960">
        <f t="shared" si="5"/>
        <v>1</v>
      </c>
    </row>
    <row r="48" spans="1:29" ht="15">
      <c r="A48" s="430" t="s">
        <v>1708</v>
      </c>
      <c r="B48" s="431"/>
      <c r="C48" s="1152" t="s">
        <v>0</v>
      </c>
      <c r="D48" s="1153"/>
      <c r="E48" s="1154">
        <v>5.5</v>
      </c>
      <c r="F48" s="1155"/>
      <c r="G48" s="1156">
        <v>5.8</v>
      </c>
      <c r="H48" s="1157"/>
      <c r="I48" s="1154">
        <v>5.5</v>
      </c>
      <c r="J48" s="436"/>
      <c r="K48" s="712"/>
      <c r="L48" s="2722"/>
      <c r="M48" s="2714"/>
      <c r="N48" s="2714"/>
      <c r="O48" s="2714"/>
      <c r="P48" s="3682" t="str">
        <f>A48</f>
        <v>成交单价（元/平方米）</v>
      </c>
      <c r="Q48" s="3700"/>
      <c r="R48" s="3701">
        <f>E48</f>
        <v>5.5</v>
      </c>
      <c r="S48" s="3701"/>
      <c r="T48" s="3701">
        <f>G48</f>
        <v>5.8</v>
      </c>
      <c r="U48" s="3701"/>
      <c r="V48" s="3701">
        <f>I48</f>
        <v>5.5</v>
      </c>
      <c r="W48" s="3701"/>
      <c r="X48" s="397"/>
      <c r="Y48" s="710"/>
      <c r="Z48" s="397"/>
      <c r="AA48" s="397"/>
      <c r="AB48" s="397"/>
      <c r="AC48" s="578"/>
    </row>
    <row r="49" spans="1:29" ht="15.75" thickBot="1">
      <c r="A49" s="437" t="s">
        <v>1793</v>
      </c>
      <c r="B49" s="438"/>
      <c r="C49" s="1158">
        <f>R50</f>
        <v>5.5</v>
      </c>
      <c r="D49" s="2315" t="s">
        <v>2137</v>
      </c>
      <c r="E49" s="1159">
        <f>R49</f>
        <v>5.3</v>
      </c>
      <c r="F49" s="2316">
        <v>0.4</v>
      </c>
      <c r="G49" s="1158">
        <f>T49</f>
        <v>5.7</v>
      </c>
      <c r="H49" s="2316">
        <v>0.4</v>
      </c>
      <c r="I49" s="1159">
        <f>V49</f>
        <v>5.4</v>
      </c>
      <c r="J49" s="2316">
        <v>0.2</v>
      </c>
      <c r="K49" s="2318">
        <f>F49+H49+J49</f>
        <v>1</v>
      </c>
      <c r="L49" s="2722"/>
      <c r="M49" s="2714"/>
      <c r="N49" s="2714"/>
      <c r="O49" s="2714"/>
      <c r="P49" s="3682" t="str">
        <f>A49</f>
        <v>比较价值（元/平方米）</v>
      </c>
      <c r="Q49" s="3700"/>
      <c r="R49" s="3701">
        <f>IF(F1="售价",ROUND(PRODUCT(R48,AA7:AA47),0),ROUND(PRODUCT(R48,AA7:AA47),1))</f>
        <v>5.3</v>
      </c>
      <c r="S49" s="3701"/>
      <c r="T49" s="3701">
        <f>IF(F1="售价",ROUND(PRODUCT(T48,AB7:AB47),0),ROUND(PRODUCT(T48,AB7:AB47),1))</f>
        <v>5.7</v>
      </c>
      <c r="U49" s="3701"/>
      <c r="V49" s="3701">
        <f>IF(F1="售价",ROUND(PRODUCT(V48,AC7:AC47),0),ROUND(PRODUCT(V48,AC7:AC47),1))</f>
        <v>5.4</v>
      </c>
      <c r="W49" s="3701"/>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24" t="str">
        <f>A50</f>
        <v>估价对象XX用房的比较价值（楼面单价，元/平方米）</v>
      </c>
      <c r="Q50" s="3725"/>
      <c r="R50" s="3726">
        <f>IF(F1="售价",ROUND(IF(D49="简单平均",AVERAGE(R49:V49),R49*F49+T49*H49+V49*J49),0),ROUND(IF(D49="简单平均",AVERAGE(R49:V49),R49*F49+T49*H49+V49*J49),1))</f>
        <v>5.5</v>
      </c>
      <c r="S50" s="3726"/>
      <c r="T50" s="3726"/>
      <c r="U50" s="3726"/>
      <c r="V50" s="3726"/>
      <c r="W50" s="372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3.7735849056603765E-2</v>
      </c>
      <c r="F53" s="449" t="str">
        <f>IF(OR(E53&gt;=0.3,E53&lt;=-0.3),"超过30%","")</f>
        <v/>
      </c>
      <c r="G53" s="448">
        <f>IF(G48&lt;G49,G49/G48-1,G48/G49-1)</f>
        <v>1.754385964912264E-2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7.547169811320753E-2</v>
      </c>
      <c r="F54" s="449" t="str">
        <f>IF(OR(E54&gt;=0.2,E54&lt;=-0.2),"超过20%","")</f>
        <v/>
      </c>
      <c r="G54" s="448">
        <f>IF(G49&lt;I49,I49/G49-1,G49/I49-1)</f>
        <v>5.555555555555558E-2</v>
      </c>
      <c r="H54" s="449" t="str">
        <f>IF(OR(G54&gt;=0.2,G54&lt;=-0.2),"超过20%","")</f>
        <v/>
      </c>
      <c r="I54" s="448">
        <f>IF(I49&lt;E49,E49/I49-1,I49/E49-1)</f>
        <v>1.8867924528301883E-2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5.4545454545454453E-2</v>
      </c>
      <c r="F55" s="449" t="str">
        <f>IF(OR(E55&gt;=0.3,E55&lt;=-0.3),"超过30%","")</f>
        <v/>
      </c>
      <c r="G55" s="448">
        <f>IF(G48&lt;I48,I48/G48-1,G48/I48-1)</f>
        <v>5.4545454545454453E-2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160.55000000000001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911"/>
      <c r="M4" s="912"/>
      <c r="N4" s="912"/>
      <c r="O4" s="912"/>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1"/>
      <c r="M5" s="912"/>
      <c r="N5" s="912"/>
      <c r="O5" s="912"/>
      <c r="P5" s="3689"/>
      <c r="Q5" s="3690"/>
      <c r="R5" s="3672"/>
      <c r="S5" s="3673"/>
      <c r="T5" s="3672"/>
      <c r="U5" s="3673"/>
      <c r="V5" s="3695"/>
      <c r="W5" s="3695"/>
      <c r="X5" s="1353"/>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1"/>
      <c r="M6" s="912"/>
      <c r="N6" s="912"/>
      <c r="O6" s="912"/>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668" t="s">
        <v>1680</v>
      </c>
      <c r="Q7" s="3696"/>
      <c r="R7" s="699" t="s">
        <v>14</v>
      </c>
      <c r="S7" s="700">
        <f t="shared" ref="S7:S15" si="0">F7</f>
        <v>0</v>
      </c>
      <c r="T7" s="699" t="s">
        <v>14</v>
      </c>
      <c r="U7" s="700">
        <f t="shared" ref="U7:U15" si="1">H7</f>
        <v>0</v>
      </c>
      <c r="V7" s="699" t="s">
        <v>14</v>
      </c>
      <c r="W7" s="700">
        <f t="shared" ref="W7:W15"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8" t="s">
        <v>1683</v>
      </c>
      <c r="Q8" s="3669"/>
      <c r="R8" s="699" t="s">
        <v>14</v>
      </c>
      <c r="S8" s="700">
        <f t="shared" si="0"/>
        <v>100</v>
      </c>
      <c r="T8" s="699" t="s">
        <v>14</v>
      </c>
      <c r="U8" s="700">
        <f t="shared" si="1"/>
        <v>100</v>
      </c>
      <c r="V8" s="699" t="s">
        <v>14</v>
      </c>
      <c r="W8" s="700">
        <f t="shared" si="2"/>
        <v>100</v>
      </c>
      <c r="X8" s="701"/>
      <c r="Y8" s="3668" t="s">
        <v>1683</v>
      </c>
      <c r="Z8" s="3669"/>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0"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00"/>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0"/>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0"/>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0"/>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2" t="s">
        <v>1691</v>
      </c>
      <c r="Q15" s="1350" t="str">
        <f t="shared" si="6"/>
        <v>产业集聚程度</v>
      </c>
      <c r="R15" s="703" t="s">
        <v>14</v>
      </c>
      <c r="S15" s="704">
        <f t="shared" si="0"/>
        <v>100</v>
      </c>
      <c r="T15" s="703" t="s">
        <v>14</v>
      </c>
      <c r="U15" s="704">
        <f t="shared" si="1"/>
        <v>100</v>
      </c>
      <c r="V15" s="703" t="s">
        <v>14</v>
      </c>
      <c r="W15" s="704">
        <f t="shared" si="2"/>
        <v>100</v>
      </c>
      <c r="X15" s="1353"/>
      <c r="Y15" s="3702"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3"/>
      <c r="Q16" s="1350"/>
      <c r="R16" s="703"/>
      <c r="S16" s="704"/>
      <c r="T16" s="703"/>
      <c r="U16" s="704"/>
      <c r="V16" s="703"/>
      <c r="W16" s="704"/>
      <c r="X16" s="1353"/>
      <c r="Y16" s="3703"/>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3"/>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3"/>
      <c r="Q18" s="1350"/>
      <c r="R18" s="703"/>
      <c r="S18" s="704"/>
      <c r="T18" s="703"/>
      <c r="U18" s="704"/>
      <c r="V18" s="703"/>
      <c r="W18" s="704"/>
      <c r="X18" s="1353"/>
      <c r="Y18" s="3703"/>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3"/>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3"/>
      <c r="Q20" s="1350"/>
      <c r="R20" s="703"/>
      <c r="S20" s="704"/>
      <c r="T20" s="703"/>
      <c r="U20" s="704"/>
      <c r="V20" s="703"/>
      <c r="W20" s="704"/>
      <c r="X20" s="1353"/>
      <c r="Y20" s="3703"/>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3"/>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3"/>
      <c r="Q22" s="1350"/>
      <c r="R22" s="703"/>
      <c r="S22" s="704"/>
      <c r="T22" s="703"/>
      <c r="U22" s="704"/>
      <c r="V22" s="703"/>
      <c r="W22" s="704"/>
      <c r="X22" s="1353"/>
      <c r="Y22" s="3703"/>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3"/>
      <c r="Q23" s="1350" t="str">
        <f>B23</f>
        <v>环境质量</v>
      </c>
      <c r="R23" s="703" t="s">
        <v>14</v>
      </c>
      <c r="S23" s="704">
        <f>F23</f>
        <v>100</v>
      </c>
      <c r="T23" s="703" t="s">
        <v>14</v>
      </c>
      <c r="U23" s="704">
        <f>H23</f>
        <v>100</v>
      </c>
      <c r="V23" s="703" t="s">
        <v>14</v>
      </c>
      <c r="W23" s="704">
        <f>J23</f>
        <v>100</v>
      </c>
      <c r="X23" s="1353"/>
      <c r="Y23" s="3703"/>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3"/>
      <c r="Q24" s="1350"/>
      <c r="R24" s="703"/>
      <c r="S24" s="704"/>
      <c r="T24" s="703"/>
      <c r="U24" s="704"/>
      <c r="V24" s="703"/>
      <c r="W24" s="704"/>
      <c r="X24" s="1353"/>
      <c r="Y24" s="3703"/>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3"/>
      <c r="Q25" s="1350">
        <f>B25</f>
        <v>111</v>
      </c>
      <c r="R25" s="703" t="s">
        <v>14</v>
      </c>
      <c r="S25" s="704">
        <f>F25</f>
        <v>100</v>
      </c>
      <c r="T25" s="703" t="s">
        <v>14</v>
      </c>
      <c r="U25" s="704">
        <f>H25</f>
        <v>100</v>
      </c>
      <c r="V25" s="703" t="s">
        <v>14</v>
      </c>
      <c r="W25" s="704">
        <f>J25</f>
        <v>100</v>
      </c>
      <c r="X25" s="1353"/>
      <c r="Y25" s="3703"/>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3"/>
      <c r="Q26" s="1350">
        <f t="shared" ref="Q26:Q40" si="11">B26</f>
        <v>111</v>
      </c>
      <c r="R26" s="703" t="s">
        <v>14</v>
      </c>
      <c r="S26" s="704">
        <f>F26</f>
        <v>100</v>
      </c>
      <c r="T26" s="703" t="s">
        <v>14</v>
      </c>
      <c r="U26" s="704">
        <f>H26</f>
        <v>100</v>
      </c>
      <c r="V26" s="703" t="s">
        <v>14</v>
      </c>
      <c r="W26" s="704">
        <f>J26</f>
        <v>100</v>
      </c>
      <c r="X26" s="1353"/>
      <c r="Y26" s="3703"/>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3"/>
      <c r="Q27" s="1341">
        <f t="shared" si="11"/>
        <v>111</v>
      </c>
      <c r="R27" s="699" t="s">
        <v>14</v>
      </c>
      <c r="S27" s="700">
        <f>F27</f>
        <v>100</v>
      </c>
      <c r="T27" s="699" t="s">
        <v>14</v>
      </c>
      <c r="U27" s="700">
        <f>H27</f>
        <v>100</v>
      </c>
      <c r="V27" s="699" t="s">
        <v>14</v>
      </c>
      <c r="W27" s="700">
        <f>J27</f>
        <v>100</v>
      </c>
      <c r="X27" s="701"/>
      <c r="Y27" s="3703"/>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3"/>
      <c r="Q28" s="1350">
        <f t="shared" si="11"/>
        <v>111</v>
      </c>
      <c r="R28" s="703" t="s">
        <v>14</v>
      </c>
      <c r="S28" s="704">
        <f t="shared" ref="S28:S40" si="12">F28</f>
        <v>100</v>
      </c>
      <c r="T28" s="703" t="s">
        <v>14</v>
      </c>
      <c r="U28" s="704">
        <f t="shared" ref="U28:U40" si="13">H28</f>
        <v>100</v>
      </c>
      <c r="V28" s="703" t="s">
        <v>14</v>
      </c>
      <c r="W28" s="704">
        <f t="shared" ref="W28:W40" si="14">J28</f>
        <v>100</v>
      </c>
      <c r="X28" s="1353"/>
      <c r="Y28" s="3703"/>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70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7"/>
      <c r="Q30" s="705" t="str">
        <f t="shared" si="11"/>
        <v>项目建筑规模</v>
      </c>
      <c r="R30" s="706" t="s">
        <v>14</v>
      </c>
      <c r="S30" s="707" t="e">
        <f t="shared" si="12"/>
        <v>#N/A</v>
      </c>
      <c r="T30" s="706" t="s">
        <v>14</v>
      </c>
      <c r="U30" s="707" t="e">
        <f t="shared" si="13"/>
        <v>#N/A</v>
      </c>
      <c r="V30" s="706" t="s">
        <v>14</v>
      </c>
      <c r="W30" s="707" t="e">
        <f t="shared" si="14"/>
        <v>#N/A</v>
      </c>
      <c r="X30" s="708"/>
      <c r="Y30" s="3707"/>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7"/>
      <c r="Q31" s="1350" t="str">
        <f t="shared" si="11"/>
        <v>建筑结构</v>
      </c>
      <c r="R31" s="703" t="s">
        <v>14</v>
      </c>
      <c r="S31" s="704">
        <f t="shared" si="12"/>
        <v>100</v>
      </c>
      <c r="T31" s="703" t="s">
        <v>14</v>
      </c>
      <c r="U31" s="704">
        <f t="shared" si="13"/>
        <v>100</v>
      </c>
      <c r="V31" s="703" t="s">
        <v>14</v>
      </c>
      <c r="W31" s="704">
        <f t="shared" si="14"/>
        <v>100</v>
      </c>
      <c r="X31" s="1353"/>
      <c r="Y31" s="370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7"/>
      <c r="Q32" s="1350" t="str">
        <f t="shared" si="11"/>
        <v>公共部分装修</v>
      </c>
      <c r="R32" s="703" t="s">
        <v>14</v>
      </c>
      <c r="S32" s="704">
        <f t="shared" si="12"/>
        <v>100</v>
      </c>
      <c r="T32" s="703" t="s">
        <v>14</v>
      </c>
      <c r="U32" s="704">
        <f t="shared" si="13"/>
        <v>100</v>
      </c>
      <c r="V32" s="703" t="s">
        <v>14</v>
      </c>
      <c r="W32" s="704">
        <f t="shared" si="14"/>
        <v>100</v>
      </c>
      <c r="X32" s="1353"/>
      <c r="Y32" s="370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7"/>
      <c r="Q33" s="1350" t="str">
        <f t="shared" si="11"/>
        <v>成新度</v>
      </c>
      <c r="R33" s="703" t="s">
        <v>14</v>
      </c>
      <c r="S33" s="704" t="e">
        <f t="shared" si="12"/>
        <v>#N/A</v>
      </c>
      <c r="T33" s="703" t="s">
        <v>14</v>
      </c>
      <c r="U33" s="704" t="e">
        <f t="shared" si="13"/>
        <v>#N/A</v>
      </c>
      <c r="V33" s="703" t="s">
        <v>14</v>
      </c>
      <c r="W33" s="704" t="e">
        <f t="shared" si="14"/>
        <v>#N/A</v>
      </c>
      <c r="X33" s="1353"/>
      <c r="Y33" s="370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7"/>
      <c r="Q34" s="1341" t="str">
        <f t="shared" si="11"/>
        <v>物业管理</v>
      </c>
      <c r="R34" s="699" t="s">
        <v>14</v>
      </c>
      <c r="S34" s="700">
        <f t="shared" si="12"/>
        <v>100</v>
      </c>
      <c r="T34" s="699" t="s">
        <v>14</v>
      </c>
      <c r="U34" s="700">
        <f t="shared" si="13"/>
        <v>100</v>
      </c>
      <c r="V34" s="699" t="s">
        <v>14</v>
      </c>
      <c r="W34" s="700">
        <f t="shared" si="14"/>
        <v>100</v>
      </c>
      <c r="X34" s="701"/>
      <c r="Y34" s="3707"/>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7" t="s">
        <v>1696</v>
      </c>
      <c r="Q35" s="1350" t="str">
        <f t="shared" si="11"/>
        <v>市政基础设施</v>
      </c>
      <c r="R35" s="703" t="s">
        <v>14</v>
      </c>
      <c r="S35" s="704">
        <f t="shared" si="12"/>
        <v>100</v>
      </c>
      <c r="T35" s="703" t="s">
        <v>14</v>
      </c>
      <c r="U35" s="704">
        <f t="shared" si="13"/>
        <v>100</v>
      </c>
      <c r="V35" s="703" t="s">
        <v>14</v>
      </c>
      <c r="W35" s="704">
        <f t="shared" si="14"/>
        <v>100</v>
      </c>
      <c r="X35" s="1353"/>
      <c r="Y35" s="370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7"/>
      <c r="Q36" s="1350" t="str">
        <f t="shared" si="11"/>
        <v>内部装修</v>
      </c>
      <c r="R36" s="703" t="s">
        <v>14</v>
      </c>
      <c r="S36" s="704">
        <f t="shared" si="12"/>
        <v>100</v>
      </c>
      <c r="T36" s="703" t="s">
        <v>14</v>
      </c>
      <c r="U36" s="704">
        <f t="shared" si="13"/>
        <v>100</v>
      </c>
      <c r="V36" s="703" t="s">
        <v>14</v>
      </c>
      <c r="W36" s="704">
        <f t="shared" si="14"/>
        <v>100</v>
      </c>
      <c r="X36" s="1353"/>
      <c r="Y36" s="370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7"/>
      <c r="Q37" s="1350" t="str">
        <f t="shared" si="11"/>
        <v>内部装修状况</v>
      </c>
      <c r="R37" s="703" t="s">
        <v>14</v>
      </c>
      <c r="S37" s="704">
        <f t="shared" si="12"/>
        <v>100</v>
      </c>
      <c r="T37" s="703" t="s">
        <v>14</v>
      </c>
      <c r="U37" s="704">
        <f t="shared" si="13"/>
        <v>100</v>
      </c>
      <c r="V37" s="703" t="s">
        <v>14</v>
      </c>
      <c r="W37" s="704">
        <f t="shared" si="14"/>
        <v>100</v>
      </c>
      <c r="X37" s="1353"/>
      <c r="Y37" s="3707"/>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7"/>
      <c r="Q38" s="705">
        <f t="shared" si="11"/>
        <v>111</v>
      </c>
      <c r="R38" s="706" t="s">
        <v>14</v>
      </c>
      <c r="S38" s="707">
        <f t="shared" si="12"/>
        <v>100</v>
      </c>
      <c r="T38" s="706" t="s">
        <v>14</v>
      </c>
      <c r="U38" s="707">
        <f t="shared" si="13"/>
        <v>100</v>
      </c>
      <c r="V38" s="706" t="s">
        <v>14</v>
      </c>
      <c r="W38" s="707">
        <f t="shared" si="14"/>
        <v>100</v>
      </c>
      <c r="X38" s="708"/>
      <c r="Y38" s="3707"/>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7"/>
      <c r="Q39" s="1350">
        <f t="shared" si="11"/>
        <v>111</v>
      </c>
      <c r="R39" s="703" t="s">
        <v>14</v>
      </c>
      <c r="S39" s="704">
        <f t="shared" si="12"/>
        <v>100</v>
      </c>
      <c r="T39" s="703" t="s">
        <v>14</v>
      </c>
      <c r="U39" s="704">
        <f t="shared" si="13"/>
        <v>100</v>
      </c>
      <c r="V39" s="703" t="s">
        <v>14</v>
      </c>
      <c r="W39" s="704">
        <f t="shared" si="14"/>
        <v>100</v>
      </c>
      <c r="X39" s="1353"/>
      <c r="Y39" s="3707"/>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8"/>
      <c r="Q40" s="1350">
        <f t="shared" si="11"/>
        <v>111</v>
      </c>
      <c r="R40" s="703" t="s">
        <v>14</v>
      </c>
      <c r="S40" s="704">
        <f t="shared" si="12"/>
        <v>100</v>
      </c>
      <c r="T40" s="703" t="s">
        <v>14</v>
      </c>
      <c r="U40" s="704">
        <f t="shared" si="13"/>
        <v>100</v>
      </c>
      <c r="V40" s="703" t="s">
        <v>14</v>
      </c>
      <c r="W40" s="704">
        <f t="shared" si="14"/>
        <v>100</v>
      </c>
      <c r="X40" s="1353"/>
      <c r="Y40" s="3708"/>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0" t="str">
        <f>A41</f>
        <v>成交单价（元/平方米）</v>
      </c>
      <c r="Q41" s="3700"/>
      <c r="R41" s="3701">
        <f>E41</f>
        <v>0</v>
      </c>
      <c r="S41" s="3701"/>
      <c r="T41" s="3701">
        <f>G41</f>
        <v>0</v>
      </c>
      <c r="U41" s="3701"/>
      <c r="V41" s="3701">
        <f>I41</f>
        <v>0</v>
      </c>
      <c r="W41" s="3701"/>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估价对象为北京市房地产,属开发建设的办公项目，该项目尚在开发建设中。根据《国有土地使用证》[]，估价对象（分摊）出让国有建设用地使用权面积为0平方米，规划建筑面积为160.55平方米。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8" t="s">
        <v>1680</v>
      </c>
      <c r="Q7" s="3696"/>
      <c r="R7" s="699" t="s">
        <v>14</v>
      </c>
      <c r="S7" s="700">
        <f t="shared" ref="S7:S14" si="0">F7</f>
        <v>0</v>
      </c>
      <c r="T7" s="699" t="s">
        <v>14</v>
      </c>
      <c r="U7" s="700">
        <f t="shared" ref="U7:U14" si="1">H7</f>
        <v>0</v>
      </c>
      <c r="V7" s="699" t="s">
        <v>14</v>
      </c>
      <c r="W7" s="700">
        <f t="shared" ref="W7:W14"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8" t="s">
        <v>1683</v>
      </c>
      <c r="Q8" s="3669"/>
      <c r="R8" s="699" t="s">
        <v>14</v>
      </c>
      <c r="S8" s="700">
        <f t="shared" si="0"/>
        <v>100</v>
      </c>
      <c r="T8" s="699" t="s">
        <v>14</v>
      </c>
      <c r="U8" s="700">
        <f t="shared" si="1"/>
        <v>100</v>
      </c>
      <c r="V8" s="699" t="s">
        <v>14</v>
      </c>
      <c r="W8" s="700">
        <f t="shared" si="2"/>
        <v>100</v>
      </c>
      <c r="X8" s="701"/>
      <c r="Y8" s="3668" t="s">
        <v>1683</v>
      </c>
      <c r="Z8" s="3669"/>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0"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0"/>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0"/>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0"/>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2" t="s">
        <v>1691</v>
      </c>
      <c r="Q14" s="1350" t="str">
        <f t="shared" si="6"/>
        <v>交通便捷度</v>
      </c>
      <c r="R14" s="703" t="s">
        <v>14</v>
      </c>
      <c r="S14" s="704">
        <f t="shared" si="0"/>
        <v>100</v>
      </c>
      <c r="T14" s="703" t="s">
        <v>14</v>
      </c>
      <c r="U14" s="704">
        <f t="shared" si="1"/>
        <v>100</v>
      </c>
      <c r="V14" s="703" t="s">
        <v>14</v>
      </c>
      <c r="W14" s="704">
        <f t="shared" si="2"/>
        <v>100</v>
      </c>
      <c r="X14" s="1353"/>
      <c r="Y14" s="3702"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3"/>
      <c r="Q15" s="1350"/>
      <c r="R15" s="703"/>
      <c r="S15" s="704"/>
      <c r="T15" s="703"/>
      <c r="U15" s="704"/>
      <c r="V15" s="703"/>
      <c r="W15" s="704"/>
      <c r="X15" s="1353"/>
      <c r="Y15" s="3703"/>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3"/>
      <c r="Q16" s="1350" t="str">
        <f>B16</f>
        <v>公共配套设施</v>
      </c>
      <c r="R16" s="703" t="s">
        <v>14</v>
      </c>
      <c r="S16" s="704">
        <f>F16</f>
        <v>100</v>
      </c>
      <c r="T16" s="703" t="s">
        <v>14</v>
      </c>
      <c r="U16" s="704">
        <f>H16</f>
        <v>100</v>
      </c>
      <c r="V16" s="703" t="s">
        <v>14</v>
      </c>
      <c r="W16" s="704">
        <f>J16</f>
        <v>100</v>
      </c>
      <c r="X16" s="1353"/>
      <c r="Y16" s="3703"/>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3"/>
      <c r="Q17" s="1350"/>
      <c r="R17" s="703"/>
      <c r="S17" s="704"/>
      <c r="T17" s="703"/>
      <c r="U17" s="704"/>
      <c r="V17" s="703"/>
      <c r="W17" s="704"/>
      <c r="X17" s="1353"/>
      <c r="Y17" s="3703"/>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3"/>
      <c r="Q18" s="1350" t="str">
        <f>B18</f>
        <v>基础设施水平</v>
      </c>
      <c r="R18" s="703" t="s">
        <v>14</v>
      </c>
      <c r="S18" s="704">
        <f>F18</f>
        <v>100</v>
      </c>
      <c r="T18" s="703" t="s">
        <v>14</v>
      </c>
      <c r="U18" s="704">
        <f>H18</f>
        <v>100</v>
      </c>
      <c r="V18" s="703" t="s">
        <v>14</v>
      </c>
      <c r="W18" s="704">
        <f>J18</f>
        <v>100</v>
      </c>
      <c r="X18" s="1353"/>
      <c r="Y18" s="3703"/>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3"/>
      <c r="Q19" s="1350"/>
      <c r="R19" s="703"/>
      <c r="S19" s="704"/>
      <c r="T19" s="703"/>
      <c r="U19" s="704"/>
      <c r="V19" s="703"/>
      <c r="W19" s="704"/>
      <c r="X19" s="1353"/>
      <c r="Y19" s="3703"/>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3"/>
      <c r="Q20" s="1350" t="str">
        <f>B20</f>
        <v>自然及人文环境</v>
      </c>
      <c r="R20" s="703" t="s">
        <v>14</v>
      </c>
      <c r="S20" s="704">
        <f>F20</f>
        <v>100</v>
      </c>
      <c r="T20" s="703" t="s">
        <v>14</v>
      </c>
      <c r="U20" s="704">
        <f>H20</f>
        <v>100</v>
      </c>
      <c r="V20" s="703" t="s">
        <v>14</v>
      </c>
      <c r="W20" s="704">
        <f>J20</f>
        <v>100</v>
      </c>
      <c r="X20" s="1353"/>
      <c r="Y20" s="3703"/>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3"/>
      <c r="Q21" s="1350"/>
      <c r="R21" s="703"/>
      <c r="S21" s="704"/>
      <c r="T21" s="703"/>
      <c r="U21" s="704"/>
      <c r="V21" s="703"/>
      <c r="W21" s="704"/>
      <c r="X21" s="1353"/>
      <c r="Y21" s="3703"/>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3"/>
      <c r="Q22" s="1350" t="str">
        <f>B22</f>
        <v>楼层</v>
      </c>
      <c r="R22" s="703" t="s">
        <v>14</v>
      </c>
      <c r="S22" s="704">
        <f>F22</f>
        <v>100</v>
      </c>
      <c r="T22" s="703" t="s">
        <v>14</v>
      </c>
      <c r="U22" s="704">
        <f>H22</f>
        <v>100</v>
      </c>
      <c r="V22" s="703" t="s">
        <v>14</v>
      </c>
      <c r="W22" s="704">
        <f>J22</f>
        <v>100</v>
      </c>
      <c r="X22" s="1353"/>
      <c r="Y22" s="3703"/>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3"/>
      <c r="Q23" s="1350">
        <f>B23</f>
        <v>111</v>
      </c>
      <c r="R23" s="703" t="s">
        <v>14</v>
      </c>
      <c r="S23" s="704">
        <f>F23</f>
        <v>100</v>
      </c>
      <c r="T23" s="703" t="s">
        <v>14</v>
      </c>
      <c r="U23" s="704">
        <f>H23</f>
        <v>100</v>
      </c>
      <c r="V23" s="703" t="s">
        <v>14</v>
      </c>
      <c r="W23" s="704">
        <f>J23</f>
        <v>100</v>
      </c>
      <c r="X23" s="1353"/>
      <c r="Y23" s="3703"/>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3"/>
      <c r="Q24" s="1350">
        <f t="shared" ref="Q24:Q36" si="11">B24</f>
        <v>111</v>
      </c>
      <c r="R24" s="703" t="s">
        <v>14</v>
      </c>
      <c r="S24" s="704">
        <f>F24</f>
        <v>100</v>
      </c>
      <c r="T24" s="703" t="s">
        <v>14</v>
      </c>
      <c r="U24" s="704">
        <f>H24</f>
        <v>100</v>
      </c>
      <c r="V24" s="703" t="s">
        <v>14</v>
      </c>
      <c r="W24" s="704">
        <f>J24</f>
        <v>100</v>
      </c>
      <c r="X24" s="1353"/>
      <c r="Y24" s="3703"/>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3"/>
      <c r="Q25" s="1341">
        <f t="shared" si="11"/>
        <v>111</v>
      </c>
      <c r="R25" s="699" t="s">
        <v>14</v>
      </c>
      <c r="S25" s="700">
        <f>F25</f>
        <v>100</v>
      </c>
      <c r="T25" s="699" t="s">
        <v>14</v>
      </c>
      <c r="U25" s="700">
        <f>H25</f>
        <v>100</v>
      </c>
      <c r="V25" s="699" t="s">
        <v>14</v>
      </c>
      <c r="W25" s="700">
        <f>J25</f>
        <v>100</v>
      </c>
      <c r="X25" s="701"/>
      <c r="Y25" s="3703"/>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7"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7"/>
      <c r="Q27" s="705" t="str">
        <f t="shared" si="11"/>
        <v>项目停车位配比</v>
      </c>
      <c r="R27" s="706" t="s">
        <v>14</v>
      </c>
      <c r="S27" s="707">
        <f t="shared" si="12"/>
        <v>100</v>
      </c>
      <c r="T27" s="706" t="s">
        <v>14</v>
      </c>
      <c r="U27" s="707">
        <f t="shared" si="13"/>
        <v>100</v>
      </c>
      <c r="V27" s="706" t="s">
        <v>14</v>
      </c>
      <c r="W27" s="707">
        <f t="shared" si="14"/>
        <v>100</v>
      </c>
      <c r="X27" s="708"/>
      <c r="Y27" s="3707"/>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7"/>
      <c r="Q28" s="1350" t="str">
        <f t="shared" si="11"/>
        <v>公共部分装修</v>
      </c>
      <c r="R28" s="703" t="s">
        <v>14</v>
      </c>
      <c r="S28" s="704">
        <f t="shared" si="12"/>
        <v>100</v>
      </c>
      <c r="T28" s="703" t="s">
        <v>14</v>
      </c>
      <c r="U28" s="704">
        <f t="shared" si="13"/>
        <v>100</v>
      </c>
      <c r="V28" s="703" t="s">
        <v>14</v>
      </c>
      <c r="W28" s="704">
        <f t="shared" si="14"/>
        <v>100</v>
      </c>
      <c r="X28" s="1353"/>
      <c r="Y28" s="3707"/>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7"/>
      <c r="Q29" s="1350" t="str">
        <f t="shared" si="11"/>
        <v>成新率</v>
      </c>
      <c r="R29" s="703" t="s">
        <v>14</v>
      </c>
      <c r="S29" s="704" t="e">
        <f t="shared" si="12"/>
        <v>#N/A</v>
      </c>
      <c r="T29" s="703" t="s">
        <v>14</v>
      </c>
      <c r="U29" s="704" t="e">
        <f t="shared" si="13"/>
        <v>#N/A</v>
      </c>
      <c r="V29" s="703" t="s">
        <v>14</v>
      </c>
      <c r="W29" s="704" t="e">
        <f t="shared" si="14"/>
        <v>#N/A</v>
      </c>
      <c r="X29" s="1353"/>
      <c r="Y29" s="3707"/>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7"/>
      <c r="Q30" s="1350" t="str">
        <f t="shared" si="11"/>
        <v>物业等级</v>
      </c>
      <c r="R30" s="703" t="s">
        <v>14</v>
      </c>
      <c r="S30" s="704">
        <f t="shared" si="12"/>
        <v>100</v>
      </c>
      <c r="T30" s="703" t="s">
        <v>14</v>
      </c>
      <c r="U30" s="704">
        <f t="shared" si="13"/>
        <v>100</v>
      </c>
      <c r="V30" s="703" t="s">
        <v>14</v>
      </c>
      <c r="W30" s="704">
        <f t="shared" si="14"/>
        <v>100</v>
      </c>
      <c r="X30" s="1353"/>
      <c r="Y30" s="3707"/>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7"/>
      <c r="Q31" s="1341" t="str">
        <f t="shared" si="11"/>
        <v>停车位面积</v>
      </c>
      <c r="R31" s="699" t="s">
        <v>14</v>
      </c>
      <c r="S31" s="700" t="e">
        <f t="shared" si="12"/>
        <v>#N/A</v>
      </c>
      <c r="T31" s="699" t="s">
        <v>14</v>
      </c>
      <c r="U31" s="700" t="e">
        <f t="shared" si="13"/>
        <v>#N/A</v>
      </c>
      <c r="V31" s="699" t="s">
        <v>14</v>
      </c>
      <c r="W31" s="700" t="e">
        <f t="shared" si="14"/>
        <v>#N/A</v>
      </c>
      <c r="X31" s="701"/>
      <c r="Y31" s="3707"/>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7" t="s">
        <v>1696</v>
      </c>
      <c r="Q32" s="1350" t="str">
        <f t="shared" si="11"/>
        <v>车位类型</v>
      </c>
      <c r="R32" s="703" t="s">
        <v>14</v>
      </c>
      <c r="S32" s="704">
        <f t="shared" si="12"/>
        <v>100</v>
      </c>
      <c r="T32" s="703" t="s">
        <v>14</v>
      </c>
      <c r="U32" s="704">
        <f t="shared" si="13"/>
        <v>100</v>
      </c>
      <c r="V32" s="703" t="s">
        <v>14</v>
      </c>
      <c r="W32" s="704">
        <f t="shared" si="14"/>
        <v>100</v>
      </c>
      <c r="X32" s="1353"/>
      <c r="Y32" s="3707"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7"/>
      <c r="Q33" s="1350" t="str">
        <f t="shared" si="11"/>
        <v>是否直接入户</v>
      </c>
      <c r="R33" s="703" t="s">
        <v>14</v>
      </c>
      <c r="S33" s="704">
        <f t="shared" si="12"/>
        <v>100</v>
      </c>
      <c r="T33" s="703" t="s">
        <v>14</v>
      </c>
      <c r="U33" s="704">
        <f t="shared" si="13"/>
        <v>100</v>
      </c>
      <c r="V33" s="703" t="s">
        <v>14</v>
      </c>
      <c r="W33" s="704">
        <f t="shared" si="14"/>
        <v>100</v>
      </c>
      <c r="X33" s="1353"/>
      <c r="Y33" s="3707"/>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7"/>
      <c r="Q34" s="1350">
        <f t="shared" si="11"/>
        <v>111</v>
      </c>
      <c r="R34" s="703" t="s">
        <v>14</v>
      </c>
      <c r="S34" s="704">
        <f t="shared" si="12"/>
        <v>100</v>
      </c>
      <c r="T34" s="703" t="s">
        <v>14</v>
      </c>
      <c r="U34" s="704">
        <f t="shared" si="13"/>
        <v>100</v>
      </c>
      <c r="V34" s="703" t="s">
        <v>14</v>
      </c>
      <c r="W34" s="704">
        <f t="shared" si="14"/>
        <v>100</v>
      </c>
      <c r="X34" s="1353"/>
      <c r="Y34" s="3707"/>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7"/>
      <c r="Q35" s="705">
        <f t="shared" si="11"/>
        <v>111</v>
      </c>
      <c r="R35" s="706" t="s">
        <v>14</v>
      </c>
      <c r="S35" s="707">
        <f t="shared" si="12"/>
        <v>100</v>
      </c>
      <c r="T35" s="706" t="s">
        <v>14</v>
      </c>
      <c r="U35" s="707">
        <f t="shared" si="13"/>
        <v>100</v>
      </c>
      <c r="V35" s="706" t="s">
        <v>14</v>
      </c>
      <c r="W35" s="707">
        <f t="shared" si="14"/>
        <v>100</v>
      </c>
      <c r="X35" s="708"/>
      <c r="Y35" s="3707"/>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7"/>
      <c r="Q36" s="1350">
        <f t="shared" si="11"/>
        <v>111</v>
      </c>
      <c r="R36" s="703" t="s">
        <v>14</v>
      </c>
      <c r="S36" s="704">
        <f t="shared" si="12"/>
        <v>100</v>
      </c>
      <c r="T36" s="703" t="s">
        <v>14</v>
      </c>
      <c r="U36" s="704">
        <f t="shared" si="13"/>
        <v>100</v>
      </c>
      <c r="V36" s="703" t="s">
        <v>14</v>
      </c>
      <c r="W36" s="704">
        <f t="shared" si="14"/>
        <v>100</v>
      </c>
      <c r="X36" s="1353"/>
      <c r="Y36" s="3707"/>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700" t="str">
        <f>A37</f>
        <v>成交单价</v>
      </c>
      <c r="Q37" s="3700"/>
      <c r="R37" s="3701">
        <f>E37</f>
        <v>0</v>
      </c>
      <c r="S37" s="3701"/>
      <c r="T37" s="3701">
        <f>G37</f>
        <v>0</v>
      </c>
      <c r="U37" s="3701"/>
      <c r="V37" s="3701">
        <f>I37</f>
        <v>0</v>
      </c>
      <c r="W37" s="3701"/>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7" t="str">
        <f>A39</f>
        <v>估价对象XX用房的比较价值（楼面单价，元/平方米）</v>
      </c>
      <c r="Q39" s="3698"/>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8" t="s">
        <v>1680</v>
      </c>
      <c r="Q7" s="3696"/>
      <c r="R7" s="699" t="s">
        <v>14</v>
      </c>
      <c r="S7" s="700">
        <f t="shared" ref="S7:S14" si="0">F7</f>
        <v>0</v>
      </c>
      <c r="T7" s="699" t="s">
        <v>14</v>
      </c>
      <c r="U7" s="700">
        <f t="shared" ref="U7:U14" si="1">H7</f>
        <v>0</v>
      </c>
      <c r="V7" s="699" t="s">
        <v>14</v>
      </c>
      <c r="W7" s="700">
        <f t="shared" ref="W7:W14"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8" t="s">
        <v>1683</v>
      </c>
      <c r="Q8" s="3669"/>
      <c r="R8" s="699" t="s">
        <v>14</v>
      </c>
      <c r="S8" s="700">
        <f t="shared" si="0"/>
        <v>100</v>
      </c>
      <c r="T8" s="699" t="s">
        <v>14</v>
      </c>
      <c r="U8" s="700">
        <f t="shared" si="1"/>
        <v>100</v>
      </c>
      <c r="V8" s="699" t="s">
        <v>14</v>
      </c>
      <c r="W8" s="700">
        <f t="shared" si="2"/>
        <v>100</v>
      </c>
      <c r="X8" s="701"/>
      <c r="Y8" s="3668" t="s">
        <v>1683</v>
      </c>
      <c r="Z8" s="3669"/>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0"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0"/>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0"/>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0"/>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2" t="s">
        <v>1691</v>
      </c>
      <c r="Q14" s="1350" t="str">
        <f t="shared" si="6"/>
        <v>交通便捷度</v>
      </c>
      <c r="R14" s="703" t="s">
        <v>14</v>
      </c>
      <c r="S14" s="704">
        <f t="shared" si="0"/>
        <v>100</v>
      </c>
      <c r="T14" s="703" t="s">
        <v>14</v>
      </c>
      <c r="U14" s="704">
        <f t="shared" si="1"/>
        <v>100</v>
      </c>
      <c r="V14" s="703" t="s">
        <v>14</v>
      </c>
      <c r="W14" s="704">
        <f t="shared" si="2"/>
        <v>100</v>
      </c>
      <c r="X14" s="1353"/>
      <c r="Y14" s="3702"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3"/>
      <c r="Q15" s="1350"/>
      <c r="R15" s="703"/>
      <c r="S15" s="704"/>
      <c r="T15" s="703"/>
      <c r="U15" s="704"/>
      <c r="V15" s="703"/>
      <c r="W15" s="704"/>
      <c r="X15" s="1353"/>
      <c r="Y15" s="3703"/>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3"/>
      <c r="Q16" s="1350" t="str">
        <f>B16</f>
        <v>公共配套设施</v>
      </c>
      <c r="R16" s="703" t="s">
        <v>14</v>
      </c>
      <c r="S16" s="704">
        <f>F16</f>
        <v>100</v>
      </c>
      <c r="T16" s="703" t="s">
        <v>14</v>
      </c>
      <c r="U16" s="704">
        <f>H16</f>
        <v>100</v>
      </c>
      <c r="V16" s="703" t="s">
        <v>14</v>
      </c>
      <c r="W16" s="704">
        <f>J16</f>
        <v>100</v>
      </c>
      <c r="X16" s="1353"/>
      <c r="Y16" s="3703"/>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3"/>
      <c r="Q17" s="1350"/>
      <c r="R17" s="703"/>
      <c r="S17" s="704"/>
      <c r="T17" s="703"/>
      <c r="U17" s="704"/>
      <c r="V17" s="703"/>
      <c r="W17" s="704"/>
      <c r="X17" s="1353"/>
      <c r="Y17" s="3703"/>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3"/>
      <c r="Q18" s="1350" t="str">
        <f>B18</f>
        <v>基础设施水平</v>
      </c>
      <c r="R18" s="703" t="s">
        <v>14</v>
      </c>
      <c r="S18" s="704">
        <f>F18</f>
        <v>100</v>
      </c>
      <c r="T18" s="703" t="s">
        <v>14</v>
      </c>
      <c r="U18" s="704">
        <f>H18</f>
        <v>100</v>
      </c>
      <c r="V18" s="703" t="s">
        <v>14</v>
      </c>
      <c r="W18" s="704">
        <f>J18</f>
        <v>100</v>
      </c>
      <c r="X18" s="1353"/>
      <c r="Y18" s="3703"/>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3"/>
      <c r="Q19" s="1350"/>
      <c r="R19" s="703"/>
      <c r="S19" s="704"/>
      <c r="T19" s="703"/>
      <c r="U19" s="704"/>
      <c r="V19" s="703"/>
      <c r="W19" s="704"/>
      <c r="X19" s="1353"/>
      <c r="Y19" s="3703"/>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3"/>
      <c r="Q20" s="1350" t="str">
        <f>B20</f>
        <v>自然及人文环境</v>
      </c>
      <c r="R20" s="703" t="s">
        <v>14</v>
      </c>
      <c r="S20" s="704">
        <f>F20</f>
        <v>100</v>
      </c>
      <c r="T20" s="703" t="s">
        <v>14</v>
      </c>
      <c r="U20" s="704">
        <f>H20</f>
        <v>100</v>
      </c>
      <c r="V20" s="703" t="s">
        <v>14</v>
      </c>
      <c r="W20" s="704">
        <f>J20</f>
        <v>100</v>
      </c>
      <c r="X20" s="1353"/>
      <c r="Y20" s="370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3"/>
      <c r="Q21" s="1350"/>
      <c r="R21" s="703"/>
      <c r="S21" s="704"/>
      <c r="T21" s="703"/>
      <c r="U21" s="704"/>
      <c r="V21" s="703"/>
      <c r="W21" s="704"/>
      <c r="X21" s="1353"/>
      <c r="Y21" s="3703"/>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3"/>
      <c r="Q22" s="1350" t="str">
        <f>B22</f>
        <v>楼层</v>
      </c>
      <c r="R22" s="703" t="s">
        <v>14</v>
      </c>
      <c r="S22" s="704">
        <f>F22</f>
        <v>100</v>
      </c>
      <c r="T22" s="703" t="s">
        <v>14</v>
      </c>
      <c r="U22" s="704">
        <f>H22</f>
        <v>100</v>
      </c>
      <c r="V22" s="703" t="s">
        <v>14</v>
      </c>
      <c r="W22" s="704">
        <f>J22</f>
        <v>100</v>
      </c>
      <c r="X22" s="1353"/>
      <c r="Y22" s="3703"/>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3"/>
      <c r="Q23" s="1350">
        <f>B23</f>
        <v>111</v>
      </c>
      <c r="R23" s="703" t="s">
        <v>14</v>
      </c>
      <c r="S23" s="704">
        <f>F23</f>
        <v>100</v>
      </c>
      <c r="T23" s="703" t="s">
        <v>14</v>
      </c>
      <c r="U23" s="704">
        <f>H23</f>
        <v>100</v>
      </c>
      <c r="V23" s="703" t="s">
        <v>14</v>
      </c>
      <c r="W23" s="704">
        <f>J23</f>
        <v>100</v>
      </c>
      <c r="X23" s="1353"/>
      <c r="Y23" s="3703"/>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3"/>
      <c r="Q24" s="1350">
        <f t="shared" ref="Q24:Q34" si="11">B24</f>
        <v>111</v>
      </c>
      <c r="R24" s="703" t="s">
        <v>14</v>
      </c>
      <c r="S24" s="704">
        <f>F24</f>
        <v>100</v>
      </c>
      <c r="T24" s="703" t="s">
        <v>14</v>
      </c>
      <c r="U24" s="704">
        <f>H24</f>
        <v>100</v>
      </c>
      <c r="V24" s="703" t="s">
        <v>14</v>
      </c>
      <c r="W24" s="704">
        <f>J24</f>
        <v>100</v>
      </c>
      <c r="X24" s="1353"/>
      <c r="Y24" s="3703"/>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3"/>
      <c r="Q25" s="1341">
        <f t="shared" si="11"/>
        <v>111</v>
      </c>
      <c r="R25" s="699" t="s">
        <v>14</v>
      </c>
      <c r="S25" s="700">
        <f>F25</f>
        <v>100</v>
      </c>
      <c r="T25" s="699" t="s">
        <v>14</v>
      </c>
      <c r="U25" s="700">
        <f>H25</f>
        <v>100</v>
      </c>
      <c r="V25" s="699" t="s">
        <v>14</v>
      </c>
      <c r="W25" s="700">
        <f>J25</f>
        <v>100</v>
      </c>
      <c r="X25" s="701"/>
      <c r="Y25" s="3703"/>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7"/>
      <c r="Q27" s="705" t="str">
        <f t="shared" si="11"/>
        <v>成新率</v>
      </c>
      <c r="R27" s="706" t="s">
        <v>14</v>
      </c>
      <c r="S27" s="707" t="e">
        <f t="shared" si="12"/>
        <v>#N/A</v>
      </c>
      <c r="T27" s="706" t="s">
        <v>14</v>
      </c>
      <c r="U27" s="707" t="e">
        <f t="shared" si="13"/>
        <v>#N/A</v>
      </c>
      <c r="V27" s="706" t="s">
        <v>14</v>
      </c>
      <c r="W27" s="707" t="e">
        <f t="shared" si="14"/>
        <v>#N/A</v>
      </c>
      <c r="X27" s="708"/>
      <c r="Y27" s="3707"/>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7"/>
      <c r="Q28" s="1350" t="str">
        <f t="shared" si="11"/>
        <v>物业等级</v>
      </c>
      <c r="R28" s="703" t="s">
        <v>14</v>
      </c>
      <c r="S28" s="704">
        <f t="shared" si="12"/>
        <v>100</v>
      </c>
      <c r="T28" s="703" t="s">
        <v>14</v>
      </c>
      <c r="U28" s="704">
        <f t="shared" si="13"/>
        <v>100</v>
      </c>
      <c r="V28" s="703" t="s">
        <v>14</v>
      </c>
      <c r="W28" s="704">
        <f t="shared" si="14"/>
        <v>100</v>
      </c>
      <c r="X28" s="1353"/>
      <c r="Y28" s="3707"/>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7"/>
      <c r="Q29" s="1350" t="str">
        <f t="shared" si="11"/>
        <v>有无电梯</v>
      </c>
      <c r="R29" s="703" t="s">
        <v>14</v>
      </c>
      <c r="S29" s="704">
        <f t="shared" si="12"/>
        <v>100</v>
      </c>
      <c r="T29" s="703" t="s">
        <v>14</v>
      </c>
      <c r="U29" s="704">
        <f t="shared" si="13"/>
        <v>100</v>
      </c>
      <c r="V29" s="703" t="s">
        <v>14</v>
      </c>
      <c r="W29" s="704">
        <f t="shared" si="14"/>
        <v>100</v>
      </c>
      <c r="X29" s="1353"/>
      <c r="Y29" s="370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7"/>
      <c r="Q30" s="1350" t="str">
        <f t="shared" si="11"/>
        <v>建筑面积</v>
      </c>
      <c r="R30" s="703" t="s">
        <v>14</v>
      </c>
      <c r="S30" s="704" t="e">
        <f t="shared" si="12"/>
        <v>#N/A</v>
      </c>
      <c r="T30" s="703" t="s">
        <v>14</v>
      </c>
      <c r="U30" s="704" t="e">
        <f t="shared" si="13"/>
        <v>#N/A</v>
      </c>
      <c r="V30" s="703" t="s">
        <v>14</v>
      </c>
      <c r="W30" s="704" t="e">
        <f t="shared" si="14"/>
        <v>#N/A</v>
      </c>
      <c r="X30" s="1353"/>
      <c r="Y30" s="3707"/>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7"/>
      <c r="Q31" s="1341" t="str">
        <f t="shared" si="11"/>
        <v>是否封闭</v>
      </c>
      <c r="R31" s="699" t="s">
        <v>14</v>
      </c>
      <c r="S31" s="700">
        <f t="shared" si="12"/>
        <v>100</v>
      </c>
      <c r="T31" s="699" t="s">
        <v>14</v>
      </c>
      <c r="U31" s="700">
        <f t="shared" si="13"/>
        <v>100</v>
      </c>
      <c r="V31" s="699" t="s">
        <v>14</v>
      </c>
      <c r="W31" s="700">
        <f t="shared" si="14"/>
        <v>100</v>
      </c>
      <c r="X31" s="701"/>
      <c r="Y31" s="3707"/>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7" t="s">
        <v>1696</v>
      </c>
      <c r="Q32" s="1350">
        <f t="shared" si="11"/>
        <v>111</v>
      </c>
      <c r="R32" s="703" t="s">
        <v>14</v>
      </c>
      <c r="S32" s="704">
        <f t="shared" si="12"/>
        <v>100</v>
      </c>
      <c r="T32" s="703" t="s">
        <v>14</v>
      </c>
      <c r="U32" s="704">
        <f t="shared" si="13"/>
        <v>100</v>
      </c>
      <c r="V32" s="703" t="s">
        <v>14</v>
      </c>
      <c r="W32" s="704">
        <f t="shared" si="14"/>
        <v>100</v>
      </c>
      <c r="X32" s="1353"/>
      <c r="Y32" s="3707"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7"/>
      <c r="Q33" s="1350">
        <f t="shared" si="11"/>
        <v>111</v>
      </c>
      <c r="R33" s="703" t="s">
        <v>14</v>
      </c>
      <c r="S33" s="704">
        <f t="shared" si="12"/>
        <v>100</v>
      </c>
      <c r="T33" s="703" t="s">
        <v>14</v>
      </c>
      <c r="U33" s="704">
        <f t="shared" si="13"/>
        <v>100</v>
      </c>
      <c r="V33" s="703" t="s">
        <v>14</v>
      </c>
      <c r="W33" s="704">
        <f t="shared" si="14"/>
        <v>100</v>
      </c>
      <c r="X33" s="1353"/>
      <c r="Y33" s="3707"/>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7"/>
      <c r="Q34" s="1350">
        <f t="shared" si="11"/>
        <v>111</v>
      </c>
      <c r="R34" s="703" t="s">
        <v>14</v>
      </c>
      <c r="S34" s="704">
        <f t="shared" si="12"/>
        <v>100</v>
      </c>
      <c r="T34" s="703" t="s">
        <v>14</v>
      </c>
      <c r="U34" s="704">
        <f t="shared" si="13"/>
        <v>100</v>
      </c>
      <c r="V34" s="703" t="s">
        <v>14</v>
      </c>
      <c r="W34" s="704">
        <f t="shared" si="14"/>
        <v>100</v>
      </c>
      <c r="X34" s="1353"/>
      <c r="Y34" s="3707"/>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00" t="str">
        <f>A35</f>
        <v>成交单价（元/平方米）</v>
      </c>
      <c r="Q35" s="3700"/>
      <c r="R35" s="3701">
        <f>E35</f>
        <v>0</v>
      </c>
      <c r="S35" s="3701"/>
      <c r="T35" s="3701">
        <f>G35</f>
        <v>0</v>
      </c>
      <c r="U35" s="3701"/>
      <c r="V35" s="3701">
        <f>I35</f>
        <v>0</v>
      </c>
      <c r="W35" s="3701"/>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7" t="str">
        <f>A37</f>
        <v>估价对象XX用房的比较价值（楼面单价，元/平方米）</v>
      </c>
      <c r="Q37" s="3698"/>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3"/>
      <c r="M6" s="2714"/>
      <c r="N6" s="2714"/>
      <c r="O6" s="2714"/>
      <c r="P6" s="3691"/>
      <c r="Q6" s="3692"/>
      <c r="R6" s="3672"/>
      <c r="S6" s="3673"/>
      <c r="T6" s="3693"/>
      <c r="U6" s="3694"/>
      <c r="V6" s="3695"/>
      <c r="W6" s="3695"/>
      <c r="X6" s="1353"/>
      <c r="Y6" s="3693"/>
      <c r="Z6" s="3694"/>
      <c r="AA6" s="3667"/>
      <c r="AB6" s="3667"/>
      <c r="AC6" s="3667"/>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8" t="s">
        <v>1680</v>
      </c>
      <c r="Q7" s="3696"/>
      <c r="R7" s="699" t="s">
        <v>14</v>
      </c>
      <c r="S7" s="700">
        <f t="shared" ref="S7:S15" si="0">F7</f>
        <v>0</v>
      </c>
      <c r="T7" s="699" t="s">
        <v>14</v>
      </c>
      <c r="U7" s="700">
        <f t="shared" ref="U7:U15" si="1">H7</f>
        <v>0</v>
      </c>
      <c r="V7" s="699" t="s">
        <v>14</v>
      </c>
      <c r="W7" s="700">
        <f t="shared" ref="W7:W15" si="2">J7</f>
        <v>0</v>
      </c>
      <c r="X7" s="701"/>
      <c r="Y7" s="3668" t="s">
        <v>1680</v>
      </c>
      <c r="Z7" s="3669"/>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8" t="s">
        <v>1683</v>
      </c>
      <c r="Q8" s="3669"/>
      <c r="R8" s="699" t="s">
        <v>14</v>
      </c>
      <c r="S8" s="700">
        <f t="shared" si="0"/>
        <v>0</v>
      </c>
      <c r="T8" s="699" t="s">
        <v>14</v>
      </c>
      <c r="U8" s="700">
        <f t="shared" si="1"/>
        <v>0</v>
      </c>
      <c r="V8" s="699" t="s">
        <v>14</v>
      </c>
      <c r="W8" s="700">
        <f t="shared" si="2"/>
        <v>0</v>
      </c>
      <c r="X8" s="701"/>
      <c r="Y8" s="3668" t="s">
        <v>1683</v>
      </c>
      <c r="Z8" s="3669"/>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0"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700"/>
      <c r="Q10" s="1341" t="str">
        <f t="shared" si="6"/>
        <v>土地使用年限（年）</v>
      </c>
      <c r="R10" s="699" t="s">
        <v>14</v>
      </c>
      <c r="S10" s="700">
        <f t="shared" si="0"/>
        <v>119</v>
      </c>
      <c r="T10" s="699" t="s">
        <v>14</v>
      </c>
      <c r="U10" s="700">
        <f t="shared" si="1"/>
        <v>119</v>
      </c>
      <c r="V10" s="699" t="s">
        <v>14</v>
      </c>
      <c r="W10" s="700">
        <f t="shared" si="2"/>
        <v>119</v>
      </c>
      <c r="X10" s="701"/>
      <c r="Y10" s="3612"/>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0"/>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0"/>
      <c r="Q12" s="1341" t="str">
        <f t="shared" si="6"/>
        <v>配建</v>
      </c>
      <c r="R12" s="699" t="s">
        <v>14</v>
      </c>
      <c r="S12" s="700">
        <f t="shared" si="0"/>
        <v>100</v>
      </c>
      <c r="T12" s="699" t="s">
        <v>14</v>
      </c>
      <c r="U12" s="700">
        <f t="shared" si="1"/>
        <v>100</v>
      </c>
      <c r="V12" s="699" t="s">
        <v>14</v>
      </c>
      <c r="W12" s="700">
        <f t="shared" si="2"/>
        <v>100</v>
      </c>
      <c r="X12" s="701"/>
      <c r="Y12" s="361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0"/>
      <c r="Q14" s="1341">
        <f t="shared" si="6"/>
        <v>111</v>
      </c>
      <c r="R14" s="699" t="s">
        <v>14</v>
      </c>
      <c r="S14" s="700">
        <f t="shared" si="0"/>
        <v>100</v>
      </c>
      <c r="T14" s="699" t="s">
        <v>14</v>
      </c>
      <c r="U14" s="700">
        <f t="shared" si="1"/>
        <v>100</v>
      </c>
      <c r="V14" s="699" t="s">
        <v>14</v>
      </c>
      <c r="W14" s="700">
        <f t="shared" si="2"/>
        <v>100</v>
      </c>
      <c r="X14" s="701"/>
      <c r="Y14" s="361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2" t="s">
        <v>1691</v>
      </c>
      <c r="Q15" s="1350" t="str">
        <f t="shared" si="6"/>
        <v>居住社区成熟度</v>
      </c>
      <c r="R15" s="703" t="s">
        <v>14</v>
      </c>
      <c r="S15" s="704">
        <f t="shared" si="0"/>
        <v>100</v>
      </c>
      <c r="T15" s="703" t="s">
        <v>14</v>
      </c>
      <c r="U15" s="704">
        <f t="shared" si="1"/>
        <v>100</v>
      </c>
      <c r="V15" s="703" t="s">
        <v>14</v>
      </c>
      <c r="W15" s="704">
        <f t="shared" si="2"/>
        <v>100</v>
      </c>
      <c r="X15" s="1353"/>
      <c r="Y15" s="3702"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3"/>
      <c r="Q16" s="1350"/>
      <c r="R16" s="703"/>
      <c r="S16" s="704"/>
      <c r="T16" s="703"/>
      <c r="U16" s="704"/>
      <c r="V16" s="703"/>
      <c r="W16" s="704"/>
      <c r="X16" s="1353"/>
      <c r="Y16" s="3703"/>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3"/>
      <c r="Q17" s="1350" t="str">
        <f>B17</f>
        <v>商业繁华度</v>
      </c>
      <c r="R17" s="703" t="s">
        <v>14</v>
      </c>
      <c r="S17" s="704">
        <f>F17</f>
        <v>100</v>
      </c>
      <c r="T17" s="703" t="s">
        <v>14</v>
      </c>
      <c r="U17" s="704">
        <f>H17</f>
        <v>100</v>
      </c>
      <c r="V17" s="703" t="s">
        <v>14</v>
      </c>
      <c r="W17" s="704">
        <f>J17</f>
        <v>100</v>
      </c>
      <c r="X17" s="1353"/>
      <c r="Y17" s="3703"/>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3"/>
      <c r="Q18" s="1350"/>
      <c r="R18" s="703"/>
      <c r="S18" s="704"/>
      <c r="T18" s="703"/>
      <c r="U18" s="704"/>
      <c r="V18" s="703"/>
      <c r="W18" s="704"/>
      <c r="X18" s="1353"/>
      <c r="Y18" s="3703"/>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3"/>
      <c r="Q19" s="1350" t="str">
        <f>B19</f>
        <v>办公集聚程度</v>
      </c>
      <c r="R19" s="703" t="s">
        <v>14</v>
      </c>
      <c r="S19" s="704">
        <f>F19</f>
        <v>100</v>
      </c>
      <c r="T19" s="703" t="s">
        <v>14</v>
      </c>
      <c r="U19" s="704">
        <f>H19</f>
        <v>100</v>
      </c>
      <c r="V19" s="703" t="s">
        <v>14</v>
      </c>
      <c r="W19" s="704">
        <f>J19</f>
        <v>100</v>
      </c>
      <c r="X19" s="1353"/>
      <c r="Y19" s="3703"/>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3"/>
      <c r="Q20" s="1350"/>
      <c r="R20" s="703"/>
      <c r="S20" s="704"/>
      <c r="T20" s="703"/>
      <c r="U20" s="704"/>
      <c r="V20" s="703"/>
      <c r="W20" s="704"/>
      <c r="X20" s="1353"/>
      <c r="Y20" s="3703"/>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3"/>
      <c r="Q21" s="1350" t="str">
        <f>B21</f>
        <v>交通便捷度</v>
      </c>
      <c r="R21" s="703" t="s">
        <v>14</v>
      </c>
      <c r="S21" s="704">
        <f>F21</f>
        <v>100</v>
      </c>
      <c r="T21" s="703" t="s">
        <v>14</v>
      </c>
      <c r="U21" s="704">
        <f>H21</f>
        <v>100</v>
      </c>
      <c r="V21" s="703" t="s">
        <v>14</v>
      </c>
      <c r="W21" s="704">
        <f>J21</f>
        <v>100</v>
      </c>
      <c r="X21" s="1353"/>
      <c r="Y21" s="3703"/>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3"/>
      <c r="Q22" s="1350"/>
      <c r="R22" s="703"/>
      <c r="S22" s="704"/>
      <c r="T22" s="703"/>
      <c r="U22" s="704"/>
      <c r="V22" s="703"/>
      <c r="W22" s="704"/>
      <c r="X22" s="1353"/>
      <c r="Y22" s="3703"/>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3"/>
      <c r="Q23" s="1350" t="str">
        <f t="shared" ref="Q23:Q37" si="8">B23</f>
        <v>区域土地利用方向</v>
      </c>
      <c r="R23" s="703" t="s">
        <v>14</v>
      </c>
      <c r="S23" s="704">
        <f>F23</f>
        <v>100</v>
      </c>
      <c r="T23" s="703" t="s">
        <v>14</v>
      </c>
      <c r="U23" s="704">
        <f>H23</f>
        <v>100</v>
      </c>
      <c r="V23" s="703" t="s">
        <v>14</v>
      </c>
      <c r="W23" s="704">
        <f>J23</f>
        <v>100</v>
      </c>
      <c r="X23" s="1353"/>
      <c r="Y23" s="3703"/>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3"/>
      <c r="Q24" s="1350"/>
      <c r="R24" s="703"/>
      <c r="S24" s="704"/>
      <c r="T24" s="703"/>
      <c r="U24" s="704"/>
      <c r="V24" s="703"/>
      <c r="W24" s="704"/>
      <c r="X24" s="1353"/>
      <c r="Y24" s="3703"/>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3"/>
      <c r="Q25" s="1350" t="str">
        <f t="shared" si="8"/>
        <v>自然及人文环境状况</v>
      </c>
      <c r="R25" s="703" t="s">
        <v>14</v>
      </c>
      <c r="S25" s="704">
        <f>F25</f>
        <v>100</v>
      </c>
      <c r="T25" s="703" t="s">
        <v>14</v>
      </c>
      <c r="U25" s="704">
        <f>H25</f>
        <v>100</v>
      </c>
      <c r="V25" s="703" t="s">
        <v>14</v>
      </c>
      <c r="W25" s="704">
        <f>J25</f>
        <v>100</v>
      </c>
      <c r="X25" s="1353"/>
      <c r="Y25" s="3703"/>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3"/>
      <c r="Q26" s="1350"/>
      <c r="R26" s="703"/>
      <c r="S26" s="704"/>
      <c r="T26" s="703"/>
      <c r="U26" s="704"/>
      <c r="V26" s="703"/>
      <c r="W26" s="704"/>
      <c r="X26" s="1353"/>
      <c r="Y26" s="3703"/>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3"/>
      <c r="Q27" s="1341" t="str">
        <f t="shared" si="8"/>
        <v>公共配套设施</v>
      </c>
      <c r="R27" s="699" t="s">
        <v>14</v>
      </c>
      <c r="S27" s="700">
        <f>F27</f>
        <v>100</v>
      </c>
      <c r="T27" s="699" t="s">
        <v>14</v>
      </c>
      <c r="U27" s="700">
        <f>H27</f>
        <v>100</v>
      </c>
      <c r="V27" s="699" t="s">
        <v>14</v>
      </c>
      <c r="W27" s="700">
        <f>J27</f>
        <v>100</v>
      </c>
      <c r="X27" s="701"/>
      <c r="Y27" s="3703"/>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3"/>
      <c r="Q28" s="1341"/>
      <c r="R28" s="699"/>
      <c r="S28" s="700"/>
      <c r="T28" s="699"/>
      <c r="U28" s="700"/>
      <c r="V28" s="699"/>
      <c r="W28" s="700"/>
      <c r="X28" s="701"/>
      <c r="Y28" s="3703"/>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3"/>
      <c r="Q29" s="1341" t="str">
        <f t="shared" ref="Q29" si="9">B29</f>
        <v>基础设施水平</v>
      </c>
      <c r="R29" s="699" t="s">
        <v>14</v>
      </c>
      <c r="S29" s="700">
        <f>F29</f>
        <v>100</v>
      </c>
      <c r="T29" s="699" t="s">
        <v>14</v>
      </c>
      <c r="U29" s="700">
        <f>H29</f>
        <v>100</v>
      </c>
      <c r="V29" s="699" t="s">
        <v>14</v>
      </c>
      <c r="W29" s="700">
        <f>J29</f>
        <v>100</v>
      </c>
      <c r="X29" s="701"/>
      <c r="Y29" s="3703"/>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3"/>
      <c r="Q30" s="1341"/>
      <c r="R30" s="699"/>
      <c r="S30" s="700"/>
      <c r="T30" s="699"/>
      <c r="U30" s="700"/>
      <c r="V30" s="699"/>
      <c r="W30" s="700"/>
      <c r="X30" s="701"/>
      <c r="Y30" s="3703"/>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3"/>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3"/>
      <c r="Q32" s="1350" t="str">
        <f t="shared" si="8"/>
        <v>毗邻道路的类型与等级</v>
      </c>
      <c r="R32" s="703" t="s">
        <v>14</v>
      </c>
      <c r="S32" s="704">
        <f t="shared" si="10"/>
        <v>100</v>
      </c>
      <c r="T32" s="703" t="s">
        <v>14</v>
      </c>
      <c r="U32" s="704">
        <f t="shared" si="11"/>
        <v>100</v>
      </c>
      <c r="V32" s="703" t="s">
        <v>14</v>
      </c>
      <c r="W32" s="704">
        <f t="shared" si="12"/>
        <v>100</v>
      </c>
      <c r="X32" s="1353"/>
      <c r="Y32" s="3703"/>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3"/>
      <c r="Q33" s="1350"/>
      <c r="R33" s="703"/>
      <c r="S33" s="704"/>
      <c r="T33" s="703"/>
      <c r="U33" s="704"/>
      <c r="V33" s="703"/>
      <c r="W33" s="704"/>
      <c r="X33" s="1353"/>
      <c r="Y33" s="3703"/>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3"/>
      <c r="Q34" s="1350" t="str">
        <f t="shared" si="8"/>
        <v>土地级别</v>
      </c>
      <c r="R34" s="703" t="s">
        <v>14</v>
      </c>
      <c r="S34" s="704">
        <f t="shared" si="10"/>
        <v>100</v>
      </c>
      <c r="T34" s="703" t="s">
        <v>14</v>
      </c>
      <c r="U34" s="704">
        <f t="shared" si="11"/>
        <v>100</v>
      </c>
      <c r="V34" s="703" t="s">
        <v>14</v>
      </c>
      <c r="W34" s="704">
        <f t="shared" si="12"/>
        <v>100</v>
      </c>
      <c r="X34" s="1353"/>
      <c r="Y34" s="3703"/>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3"/>
      <c r="Q35" s="1350">
        <f t="shared" si="8"/>
        <v>111</v>
      </c>
      <c r="R35" s="703" t="s">
        <v>14</v>
      </c>
      <c r="S35" s="704">
        <f t="shared" si="10"/>
        <v>100</v>
      </c>
      <c r="T35" s="703" t="s">
        <v>14</v>
      </c>
      <c r="U35" s="704">
        <f t="shared" si="11"/>
        <v>100</v>
      </c>
      <c r="V35" s="703" t="s">
        <v>14</v>
      </c>
      <c r="W35" s="704">
        <f t="shared" si="12"/>
        <v>100</v>
      </c>
      <c r="X35" s="1353"/>
      <c r="Y35" s="3703"/>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707"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7"/>
      <c r="Q37" s="1350">
        <f t="shared" si="8"/>
        <v>111</v>
      </c>
      <c r="R37" s="706" t="s">
        <v>14</v>
      </c>
      <c r="S37" s="707">
        <f t="shared" si="10"/>
        <v>100</v>
      </c>
      <c r="T37" s="706" t="s">
        <v>14</v>
      </c>
      <c r="U37" s="707">
        <f t="shared" si="11"/>
        <v>100</v>
      </c>
      <c r="V37" s="706" t="s">
        <v>14</v>
      </c>
      <c r="W37" s="707">
        <f t="shared" si="12"/>
        <v>100</v>
      </c>
      <c r="X37" s="708"/>
      <c r="Y37" s="3707"/>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7"/>
      <c r="Q38" s="1350" t="str">
        <f>B38</f>
        <v>宗地面积</v>
      </c>
      <c r="R38" s="703" t="s">
        <v>14</v>
      </c>
      <c r="S38" s="704" t="e">
        <f t="shared" si="10"/>
        <v>#N/A</v>
      </c>
      <c r="T38" s="703" t="s">
        <v>14</v>
      </c>
      <c r="U38" s="704" t="e">
        <f t="shared" si="11"/>
        <v>#N/A</v>
      </c>
      <c r="V38" s="703" t="s">
        <v>14</v>
      </c>
      <c r="W38" s="704" t="e">
        <f t="shared" si="12"/>
        <v>#N/A</v>
      </c>
      <c r="X38" s="1353"/>
      <c r="Y38" s="3707"/>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7"/>
      <c r="Q39" s="1350" t="str">
        <f t="shared" ref="Q39:Q45" si="14">B39</f>
        <v>宗地形状</v>
      </c>
      <c r="R39" s="703" t="s">
        <v>14</v>
      </c>
      <c r="S39" s="704">
        <f t="shared" si="10"/>
        <v>100</v>
      </c>
      <c r="T39" s="703" t="s">
        <v>14</v>
      </c>
      <c r="U39" s="704">
        <f t="shared" si="11"/>
        <v>100</v>
      </c>
      <c r="V39" s="703" t="s">
        <v>14</v>
      </c>
      <c r="W39" s="704">
        <f t="shared" si="12"/>
        <v>100</v>
      </c>
      <c r="X39" s="1353"/>
      <c r="Y39" s="3707"/>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7"/>
      <c r="Q40" s="1350" t="str">
        <f t="shared" si="14"/>
        <v>临街宽度及深度</v>
      </c>
      <c r="R40" s="703" t="s">
        <v>14</v>
      </c>
      <c r="S40" s="704">
        <f t="shared" si="10"/>
        <v>100</v>
      </c>
      <c r="T40" s="703" t="s">
        <v>14</v>
      </c>
      <c r="U40" s="704">
        <f t="shared" si="11"/>
        <v>100</v>
      </c>
      <c r="V40" s="703" t="s">
        <v>14</v>
      </c>
      <c r="W40" s="704">
        <f t="shared" si="12"/>
        <v>100</v>
      </c>
      <c r="X40" s="1353"/>
      <c r="Y40" s="3707"/>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7"/>
      <c r="Q41" s="1350" t="str">
        <f t="shared" si="14"/>
        <v>宗地开发程度</v>
      </c>
      <c r="R41" s="699" t="s">
        <v>14</v>
      </c>
      <c r="S41" s="700">
        <f t="shared" si="10"/>
        <v>100</v>
      </c>
      <c r="T41" s="699" t="s">
        <v>14</v>
      </c>
      <c r="U41" s="700">
        <f t="shared" si="11"/>
        <v>100</v>
      </c>
      <c r="V41" s="699" t="s">
        <v>14</v>
      </c>
      <c r="W41" s="700">
        <f t="shared" si="12"/>
        <v>100</v>
      </c>
      <c r="X41" s="701"/>
      <c r="Y41" s="3707"/>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7" t="s">
        <v>1696</v>
      </c>
      <c r="Q42" s="1350" t="str">
        <f t="shared" si="14"/>
        <v>工程地质条件</v>
      </c>
      <c r="R42" s="703" t="s">
        <v>14</v>
      </c>
      <c r="S42" s="704">
        <f t="shared" si="10"/>
        <v>100</v>
      </c>
      <c r="T42" s="703" t="s">
        <v>14</v>
      </c>
      <c r="U42" s="704">
        <f t="shared" si="11"/>
        <v>100</v>
      </c>
      <c r="V42" s="703" t="s">
        <v>14</v>
      </c>
      <c r="W42" s="704">
        <f t="shared" si="12"/>
        <v>100</v>
      </c>
      <c r="X42" s="1353"/>
      <c r="Y42" s="3707"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7"/>
      <c r="Q43" s="1350">
        <f t="shared" si="14"/>
        <v>111</v>
      </c>
      <c r="R43" s="703" t="s">
        <v>14</v>
      </c>
      <c r="S43" s="704">
        <f t="shared" si="10"/>
        <v>100</v>
      </c>
      <c r="T43" s="703" t="s">
        <v>14</v>
      </c>
      <c r="U43" s="704">
        <f t="shared" si="11"/>
        <v>100</v>
      </c>
      <c r="V43" s="703" t="s">
        <v>14</v>
      </c>
      <c r="W43" s="704">
        <f t="shared" si="12"/>
        <v>100</v>
      </c>
      <c r="X43" s="1353"/>
      <c r="Y43" s="3707"/>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7"/>
      <c r="Q44" s="1350">
        <f t="shared" si="14"/>
        <v>111</v>
      </c>
      <c r="R44" s="703" t="s">
        <v>14</v>
      </c>
      <c r="S44" s="704">
        <f t="shared" si="10"/>
        <v>100</v>
      </c>
      <c r="T44" s="703" t="s">
        <v>14</v>
      </c>
      <c r="U44" s="704">
        <f t="shared" si="11"/>
        <v>100</v>
      </c>
      <c r="V44" s="703" t="s">
        <v>14</v>
      </c>
      <c r="W44" s="704">
        <f t="shared" si="12"/>
        <v>100</v>
      </c>
      <c r="X44" s="1353"/>
      <c r="Y44" s="3707"/>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7"/>
      <c r="Q45" s="1350">
        <f t="shared" si="14"/>
        <v>111</v>
      </c>
      <c r="R45" s="706" t="s">
        <v>14</v>
      </c>
      <c r="S45" s="707">
        <f t="shared" si="10"/>
        <v>100</v>
      </c>
      <c r="T45" s="706" t="s">
        <v>14</v>
      </c>
      <c r="U45" s="707">
        <f t="shared" si="11"/>
        <v>100</v>
      </c>
      <c r="V45" s="706" t="s">
        <v>14</v>
      </c>
      <c r="W45" s="707">
        <f t="shared" si="12"/>
        <v>100</v>
      </c>
      <c r="X45" s="708"/>
      <c r="Y45" s="3707"/>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700" t="str">
        <f>A46</f>
        <v>成交单价</v>
      </c>
      <c r="Q46" s="3700"/>
      <c r="R46" s="3695">
        <f>E46</f>
        <v>0</v>
      </c>
      <c r="S46" s="3695"/>
      <c r="T46" s="3695">
        <f>G46</f>
        <v>0</v>
      </c>
      <c r="U46" s="3695"/>
      <c r="V46" s="3695">
        <f>I46</f>
        <v>0</v>
      </c>
      <c r="W46" s="369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0" t="str">
        <f>A47</f>
        <v>比较价值（元/平方米）</v>
      </c>
      <c r="Q47" s="3700"/>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7" t="str">
        <f>A48</f>
        <v>估价对象XX用房的比较价值（楼面单价，元/平方米）</v>
      </c>
      <c r="Q48" s="3698"/>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3"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160.55000000000001</v>
      </c>
      <c r="F56" s="884" t="e">
        <f t="shared" ref="F56:F64" si="15">ROUND(B56*E56/10000,0)</f>
        <v>#DIV/0!</v>
      </c>
      <c r="G56" s="3682"/>
      <c r="H56" s="3700"/>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160.55000000000001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66"/>
      <c r="AC5" s="3666"/>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8" t="s">
        <v>1680</v>
      </c>
      <c r="Q7" s="3696"/>
      <c r="R7" s="699" t="s">
        <v>14</v>
      </c>
      <c r="S7" s="700">
        <f t="shared" ref="S7:S15" si="0">F7</f>
        <v>0</v>
      </c>
      <c r="T7" s="699" t="s">
        <v>14</v>
      </c>
      <c r="U7" s="700">
        <f t="shared" ref="U7:U15" si="1">H7</f>
        <v>0</v>
      </c>
      <c r="V7" s="699" t="s">
        <v>14</v>
      </c>
      <c r="W7" s="700">
        <f t="shared" ref="W7:W15" si="2">J7</f>
        <v>0</v>
      </c>
      <c r="X7" s="701"/>
      <c r="Y7" s="3668" t="s">
        <v>1680</v>
      </c>
      <c r="Z7" s="3669"/>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8" t="s">
        <v>1683</v>
      </c>
      <c r="Q8" s="3669"/>
      <c r="R8" s="699" t="s">
        <v>14</v>
      </c>
      <c r="S8" s="700">
        <f t="shared" si="0"/>
        <v>0</v>
      </c>
      <c r="T8" s="699" t="s">
        <v>14</v>
      </c>
      <c r="U8" s="700">
        <f t="shared" si="1"/>
        <v>0</v>
      </c>
      <c r="V8" s="699" t="s">
        <v>14</v>
      </c>
      <c r="W8" s="700">
        <f t="shared" si="2"/>
        <v>0</v>
      </c>
      <c r="X8" s="701"/>
      <c r="Y8" s="3668" t="s">
        <v>1683</v>
      </c>
      <c r="Z8" s="3669"/>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0"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700"/>
      <c r="Q10" s="1341" t="str">
        <f t="shared" si="6"/>
        <v>土地使用年限（年）</v>
      </c>
      <c r="R10" s="699" t="s">
        <v>14</v>
      </c>
      <c r="S10" s="700">
        <f t="shared" si="0"/>
        <v>119</v>
      </c>
      <c r="T10" s="699" t="s">
        <v>14</v>
      </c>
      <c r="U10" s="700">
        <f t="shared" si="1"/>
        <v>119</v>
      </c>
      <c r="V10" s="699" t="s">
        <v>14</v>
      </c>
      <c r="W10" s="700">
        <f t="shared" si="2"/>
        <v>119</v>
      </c>
      <c r="X10" s="701"/>
      <c r="Y10" s="3612"/>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0"/>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0"/>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0"/>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2" t="s">
        <v>1691</v>
      </c>
      <c r="Q15" s="1350" t="str">
        <f t="shared" si="6"/>
        <v>产业集聚程度</v>
      </c>
      <c r="R15" s="703" t="s">
        <v>14</v>
      </c>
      <c r="S15" s="704">
        <f t="shared" si="0"/>
        <v>100</v>
      </c>
      <c r="T15" s="703" t="s">
        <v>14</v>
      </c>
      <c r="U15" s="704">
        <f t="shared" si="1"/>
        <v>100</v>
      </c>
      <c r="V15" s="703" t="s">
        <v>14</v>
      </c>
      <c r="W15" s="704">
        <f t="shared" si="2"/>
        <v>100</v>
      </c>
      <c r="X15" s="1353"/>
      <c r="Y15" s="3702"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3"/>
      <c r="Q16" s="1350"/>
      <c r="R16" s="703"/>
      <c r="S16" s="704"/>
      <c r="T16" s="703"/>
      <c r="U16" s="704"/>
      <c r="V16" s="703"/>
      <c r="W16" s="704"/>
      <c r="X16" s="1353"/>
      <c r="Y16" s="3703"/>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3"/>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3"/>
      <c r="Q18" s="1350"/>
      <c r="R18" s="703"/>
      <c r="S18" s="704"/>
      <c r="T18" s="703"/>
      <c r="U18" s="704"/>
      <c r="V18" s="703"/>
      <c r="W18" s="704"/>
      <c r="X18" s="1353"/>
      <c r="Y18" s="3703"/>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3"/>
      <c r="Q19" s="1350" t="str">
        <f t="shared" ref="Q19:Q33" si="8">B19</f>
        <v>区域土地利用方向</v>
      </c>
      <c r="R19" s="703" t="s">
        <v>14</v>
      </c>
      <c r="S19" s="704">
        <f>F19</f>
        <v>100</v>
      </c>
      <c r="T19" s="703" t="s">
        <v>14</v>
      </c>
      <c r="U19" s="704">
        <f>H19</f>
        <v>100</v>
      </c>
      <c r="V19" s="703" t="s">
        <v>14</v>
      </c>
      <c r="W19" s="704">
        <f>J19</f>
        <v>100</v>
      </c>
      <c r="X19" s="1353"/>
      <c r="Y19" s="3703"/>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3"/>
      <c r="Q20" s="1350"/>
      <c r="R20" s="703"/>
      <c r="S20" s="704"/>
      <c r="T20" s="703"/>
      <c r="U20" s="704"/>
      <c r="V20" s="703"/>
      <c r="W20" s="704"/>
      <c r="X20" s="1353"/>
      <c r="Y20" s="3703"/>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3"/>
      <c r="Q21" s="1350" t="str">
        <f t="shared" si="8"/>
        <v>环境状况</v>
      </c>
      <c r="R21" s="703" t="s">
        <v>14</v>
      </c>
      <c r="S21" s="704">
        <f>F21</f>
        <v>100</v>
      </c>
      <c r="T21" s="703" t="s">
        <v>14</v>
      </c>
      <c r="U21" s="704">
        <f>H21</f>
        <v>100</v>
      </c>
      <c r="V21" s="703" t="s">
        <v>14</v>
      </c>
      <c r="W21" s="704">
        <f>J21</f>
        <v>100</v>
      </c>
      <c r="X21" s="1353"/>
      <c r="Y21" s="3703"/>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3"/>
      <c r="Q22" s="1350"/>
      <c r="R22" s="703"/>
      <c r="S22" s="704"/>
      <c r="T22" s="703"/>
      <c r="U22" s="704"/>
      <c r="V22" s="703"/>
      <c r="W22" s="704"/>
      <c r="X22" s="1353"/>
      <c r="Y22" s="3703"/>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3"/>
      <c r="Q23" s="1341" t="str">
        <f t="shared" si="8"/>
        <v>公共配套设施</v>
      </c>
      <c r="R23" s="699" t="s">
        <v>14</v>
      </c>
      <c r="S23" s="700">
        <f>F23</f>
        <v>100</v>
      </c>
      <c r="T23" s="699" t="s">
        <v>14</v>
      </c>
      <c r="U23" s="700">
        <f>H23</f>
        <v>100</v>
      </c>
      <c r="V23" s="699" t="s">
        <v>14</v>
      </c>
      <c r="W23" s="700">
        <f>J23</f>
        <v>100</v>
      </c>
      <c r="X23" s="701"/>
      <c r="Y23" s="3703"/>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3"/>
      <c r="Q24" s="1341"/>
      <c r="R24" s="699"/>
      <c r="S24" s="700"/>
      <c r="T24" s="699"/>
      <c r="U24" s="700"/>
      <c r="V24" s="699"/>
      <c r="W24" s="700"/>
      <c r="X24" s="701"/>
      <c r="Y24" s="3703"/>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3"/>
      <c r="Q25" s="1341" t="str">
        <f t="shared" ref="Q25" si="9">B25</f>
        <v>基础设施水平</v>
      </c>
      <c r="R25" s="699" t="s">
        <v>14</v>
      </c>
      <c r="S25" s="700">
        <f>F25</f>
        <v>100</v>
      </c>
      <c r="T25" s="699" t="s">
        <v>14</v>
      </c>
      <c r="U25" s="700">
        <f>H25</f>
        <v>100</v>
      </c>
      <c r="V25" s="699" t="s">
        <v>14</v>
      </c>
      <c r="W25" s="700">
        <f>J25</f>
        <v>100</v>
      </c>
      <c r="X25" s="701"/>
      <c r="Y25" s="3703"/>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3"/>
      <c r="Q26" s="1341"/>
      <c r="R26" s="699"/>
      <c r="S26" s="700"/>
      <c r="T26" s="699"/>
      <c r="U26" s="700"/>
      <c r="V26" s="699"/>
      <c r="W26" s="700"/>
      <c r="X26" s="701"/>
      <c r="Y26" s="3703"/>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3"/>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3"/>
      <c r="Q28" s="1350" t="str">
        <f t="shared" si="8"/>
        <v>毗邻道路的类型与等级</v>
      </c>
      <c r="R28" s="703" t="s">
        <v>14</v>
      </c>
      <c r="S28" s="704">
        <f t="shared" si="10"/>
        <v>100</v>
      </c>
      <c r="T28" s="703" t="s">
        <v>14</v>
      </c>
      <c r="U28" s="704">
        <f t="shared" si="11"/>
        <v>100</v>
      </c>
      <c r="V28" s="703" t="s">
        <v>14</v>
      </c>
      <c r="W28" s="704">
        <f t="shared" si="12"/>
        <v>100</v>
      </c>
      <c r="X28" s="1353"/>
      <c r="Y28" s="3703"/>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3"/>
      <c r="Q29" s="1350"/>
      <c r="R29" s="703"/>
      <c r="S29" s="704"/>
      <c r="T29" s="703"/>
      <c r="U29" s="704"/>
      <c r="V29" s="703"/>
      <c r="W29" s="704"/>
      <c r="X29" s="1353"/>
      <c r="Y29" s="3703"/>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3"/>
      <c r="Q30" s="1350" t="str">
        <f t="shared" si="8"/>
        <v>土地级别</v>
      </c>
      <c r="R30" s="703" t="s">
        <v>14</v>
      </c>
      <c r="S30" s="704">
        <f t="shared" si="10"/>
        <v>100</v>
      </c>
      <c r="T30" s="703" t="s">
        <v>14</v>
      </c>
      <c r="U30" s="704">
        <f t="shared" si="11"/>
        <v>100</v>
      </c>
      <c r="V30" s="703" t="s">
        <v>14</v>
      </c>
      <c r="W30" s="704">
        <f t="shared" si="12"/>
        <v>100</v>
      </c>
      <c r="X30" s="1353"/>
      <c r="Y30" s="3703"/>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3"/>
      <c r="Q31" s="1350">
        <f t="shared" si="8"/>
        <v>111</v>
      </c>
      <c r="R31" s="703" t="s">
        <v>14</v>
      </c>
      <c r="S31" s="704">
        <f t="shared" si="10"/>
        <v>100</v>
      </c>
      <c r="T31" s="703" t="s">
        <v>14</v>
      </c>
      <c r="U31" s="704">
        <f t="shared" si="11"/>
        <v>100</v>
      </c>
      <c r="V31" s="703" t="s">
        <v>14</v>
      </c>
      <c r="W31" s="704">
        <f t="shared" si="12"/>
        <v>100</v>
      </c>
      <c r="X31" s="1353"/>
      <c r="Y31" s="3703"/>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707"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7"/>
      <c r="Q33" s="1350">
        <f t="shared" si="8"/>
        <v>111</v>
      </c>
      <c r="R33" s="706" t="s">
        <v>14</v>
      </c>
      <c r="S33" s="707">
        <f t="shared" si="10"/>
        <v>100</v>
      </c>
      <c r="T33" s="706" t="s">
        <v>14</v>
      </c>
      <c r="U33" s="707">
        <f t="shared" si="11"/>
        <v>100</v>
      </c>
      <c r="V33" s="706" t="s">
        <v>14</v>
      </c>
      <c r="W33" s="707">
        <f t="shared" si="12"/>
        <v>100</v>
      </c>
      <c r="X33" s="708"/>
      <c r="Y33" s="3707"/>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7"/>
      <c r="Q34" s="1350" t="str">
        <f>B34</f>
        <v>宗地面积</v>
      </c>
      <c r="R34" s="703" t="s">
        <v>14</v>
      </c>
      <c r="S34" s="704" t="e">
        <f t="shared" si="10"/>
        <v>#N/A</v>
      </c>
      <c r="T34" s="703" t="s">
        <v>14</v>
      </c>
      <c r="U34" s="704" t="e">
        <f t="shared" si="11"/>
        <v>#N/A</v>
      </c>
      <c r="V34" s="703" t="s">
        <v>14</v>
      </c>
      <c r="W34" s="704" t="e">
        <f t="shared" si="12"/>
        <v>#N/A</v>
      </c>
      <c r="X34" s="1353"/>
      <c r="Y34" s="3707"/>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7"/>
      <c r="Q35" s="1350" t="str">
        <f t="shared" ref="Q35:Q40" si="14">B35</f>
        <v>宗地形状</v>
      </c>
      <c r="R35" s="703" t="s">
        <v>14</v>
      </c>
      <c r="S35" s="704">
        <f t="shared" si="10"/>
        <v>100</v>
      </c>
      <c r="T35" s="703" t="s">
        <v>14</v>
      </c>
      <c r="U35" s="704">
        <f t="shared" si="11"/>
        <v>100</v>
      </c>
      <c r="V35" s="703" t="s">
        <v>14</v>
      </c>
      <c r="W35" s="704">
        <f t="shared" si="12"/>
        <v>100</v>
      </c>
      <c r="X35" s="1353"/>
      <c r="Y35" s="3707"/>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7"/>
      <c r="Q36" s="1350" t="str">
        <f t="shared" si="14"/>
        <v>宗地开发程度</v>
      </c>
      <c r="R36" s="699" t="s">
        <v>14</v>
      </c>
      <c r="S36" s="700">
        <f t="shared" si="10"/>
        <v>100</v>
      </c>
      <c r="T36" s="699" t="s">
        <v>14</v>
      </c>
      <c r="U36" s="700">
        <f t="shared" si="11"/>
        <v>100</v>
      </c>
      <c r="V36" s="699" t="s">
        <v>14</v>
      </c>
      <c r="W36" s="700">
        <f t="shared" si="12"/>
        <v>100</v>
      </c>
      <c r="X36" s="701"/>
      <c r="Y36" s="3707"/>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7" t="s">
        <v>1696</v>
      </c>
      <c r="Q37" s="1350" t="str">
        <f t="shared" si="14"/>
        <v>工程地质条件</v>
      </c>
      <c r="R37" s="703" t="s">
        <v>14</v>
      </c>
      <c r="S37" s="704">
        <f t="shared" si="10"/>
        <v>100</v>
      </c>
      <c r="T37" s="703" t="s">
        <v>14</v>
      </c>
      <c r="U37" s="704">
        <f t="shared" si="11"/>
        <v>100</v>
      </c>
      <c r="V37" s="703" t="s">
        <v>14</v>
      </c>
      <c r="W37" s="704">
        <f t="shared" si="12"/>
        <v>100</v>
      </c>
      <c r="X37" s="1353"/>
      <c r="Y37" s="3707"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7"/>
      <c r="Q38" s="1350">
        <f t="shared" si="14"/>
        <v>111</v>
      </c>
      <c r="R38" s="703" t="s">
        <v>14</v>
      </c>
      <c r="S38" s="704">
        <f t="shared" si="10"/>
        <v>100</v>
      </c>
      <c r="T38" s="703" t="s">
        <v>14</v>
      </c>
      <c r="U38" s="704">
        <f t="shared" si="11"/>
        <v>100</v>
      </c>
      <c r="V38" s="703" t="s">
        <v>14</v>
      </c>
      <c r="W38" s="704">
        <f t="shared" si="12"/>
        <v>100</v>
      </c>
      <c r="X38" s="1353"/>
      <c r="Y38" s="3707"/>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7"/>
      <c r="Q39" s="1350">
        <f t="shared" si="14"/>
        <v>111</v>
      </c>
      <c r="R39" s="703" t="s">
        <v>14</v>
      </c>
      <c r="S39" s="704">
        <f t="shared" si="10"/>
        <v>100</v>
      </c>
      <c r="T39" s="703" t="s">
        <v>14</v>
      </c>
      <c r="U39" s="704">
        <f t="shared" si="11"/>
        <v>100</v>
      </c>
      <c r="V39" s="703" t="s">
        <v>14</v>
      </c>
      <c r="W39" s="704">
        <f t="shared" si="12"/>
        <v>100</v>
      </c>
      <c r="X39" s="1353"/>
      <c r="Y39" s="3707"/>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7"/>
      <c r="Q40" s="1350">
        <f t="shared" si="14"/>
        <v>111</v>
      </c>
      <c r="R40" s="706" t="s">
        <v>14</v>
      </c>
      <c r="S40" s="707">
        <f t="shared" si="10"/>
        <v>100</v>
      </c>
      <c r="T40" s="706" t="s">
        <v>14</v>
      </c>
      <c r="U40" s="707">
        <f t="shared" si="11"/>
        <v>100</v>
      </c>
      <c r="V40" s="706" t="s">
        <v>14</v>
      </c>
      <c r="W40" s="707">
        <f t="shared" si="12"/>
        <v>100</v>
      </c>
      <c r="X40" s="708"/>
      <c r="Y40" s="3707"/>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700" t="str">
        <f>A41</f>
        <v>成交单价</v>
      </c>
      <c r="Q41" s="3700"/>
      <c r="R41" s="3695">
        <f>E41</f>
        <v>0</v>
      </c>
      <c r="S41" s="3695"/>
      <c r="T41" s="3695">
        <f>G41</f>
        <v>0</v>
      </c>
      <c r="U41" s="3695"/>
      <c r="V41" s="3695">
        <f>I41</f>
        <v>0</v>
      </c>
      <c r="W41" s="369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0" t="str">
        <f>A42</f>
        <v>比较价值（元/平方米）</v>
      </c>
      <c r="Q42" s="3700"/>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7" t="str">
        <f>A43</f>
        <v>估价对象XX用房的比较价值（楼面单价，元/平方米）</v>
      </c>
      <c r="Q43" s="3698"/>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3"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160.55000000000001</v>
      </c>
      <c r="F51" s="639" t="e">
        <f t="shared" ref="F51:F60" si="15">ROUND(B51*E51/10000,0)</f>
        <v>#DIV/0!</v>
      </c>
      <c r="G51" s="3682"/>
      <c r="H51" s="3700"/>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497.29520000000002</v>
      </c>
      <c r="C2" s="1385" t="s">
        <v>879</v>
      </c>
      <c r="D2" s="1469">
        <f ca="1">C40+J29+L46</f>
        <v>4972952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316840</v>
      </c>
      <c r="D5" s="1362" t="s">
        <v>889</v>
      </c>
      <c r="E5" s="1069"/>
      <c r="F5" s="1070"/>
      <c r="G5" s="1382"/>
      <c r="H5" s="299">
        <v>1</v>
      </c>
      <c r="I5" s="300" t="s">
        <v>888</v>
      </c>
      <c r="J5" s="1068">
        <f ca="1">J6+J10+J12</f>
        <v>0</v>
      </c>
      <c r="K5" s="1362" t="s">
        <v>889</v>
      </c>
      <c r="L5" s="1069"/>
      <c r="M5" s="1070"/>
    </row>
    <row r="6" spans="1:37" ht="18" customHeight="1">
      <c r="A6" s="1067" t="s">
        <v>398</v>
      </c>
      <c r="B6" s="3641" t="s">
        <v>694</v>
      </c>
      <c r="C6" s="1072">
        <f ca="1">ROUND(F6*F8*F7*(1-F9),0)</f>
        <v>316444</v>
      </c>
      <c r="D6" s="155" t="s">
        <v>2105</v>
      </c>
      <c r="E6" s="302" t="s">
        <v>696</v>
      </c>
      <c r="F6" s="303">
        <f ca="1">INDIRECT("'数据-取费表'!u"&amp;$G$1)</f>
        <v>6</v>
      </c>
      <c r="G6" s="1382"/>
      <c r="H6" s="1067" t="s">
        <v>398</v>
      </c>
      <c r="I6" s="3641" t="s">
        <v>694</v>
      </c>
      <c r="J6" s="301">
        <f ca="1">ROUND(M6*M8*M7*(1-M9),0)</f>
        <v>0</v>
      </c>
      <c r="K6" s="1374" t="s">
        <v>2106</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160.55000000000001</v>
      </c>
      <c r="G7" s="1382"/>
      <c r="H7" s="304"/>
      <c r="I7" s="3642"/>
      <c r="J7" s="306"/>
      <c r="K7" s="307"/>
      <c r="L7" s="302" t="s">
        <v>697</v>
      </c>
      <c r="M7" s="303">
        <f ca="1">F7</f>
        <v>160.55000000000001</v>
      </c>
    </row>
    <row r="8" spans="1:37" ht="18" customHeight="1">
      <c r="A8" s="304"/>
      <c r="B8" s="3642"/>
      <c r="C8" s="306"/>
      <c r="D8" s="307"/>
      <c r="E8" s="302" t="s">
        <v>698</v>
      </c>
      <c r="F8" s="303">
        <f ca="1">INDIRECT("'数据-取费表'!ai"&amp;$G$1)</f>
        <v>365</v>
      </c>
      <c r="G8" s="1382"/>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624224</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561925</v>
      </c>
      <c r="D14" s="1343" t="s">
        <v>708</v>
      </c>
      <c r="E14" s="1340"/>
      <c r="F14" s="319"/>
      <c r="G14" s="1382"/>
      <c r="H14" s="980" t="s">
        <v>398</v>
      </c>
      <c r="I14" s="302" t="s">
        <v>709</v>
      </c>
      <c r="J14" s="21">
        <f ca="1">C29</f>
        <v>810680</v>
      </c>
      <c r="K14" s="12"/>
      <c r="L14" s="805"/>
      <c r="M14" s="806"/>
    </row>
    <row r="15" spans="1:37" s="1395" customFormat="1" ht="18" customHeight="1" thickBot="1">
      <c r="A15" s="980" t="s">
        <v>399</v>
      </c>
      <c r="B15" s="302" t="s">
        <v>710</v>
      </c>
      <c r="C15" s="21">
        <f ca="1">ROUND(C14*F15,0)</f>
        <v>16858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4053</v>
      </c>
      <c r="K16" s="1085" t="s">
        <v>715</v>
      </c>
      <c r="L16" s="1086"/>
      <c r="M16" s="1070"/>
    </row>
    <row r="17" spans="1:37" s="1395" customFormat="1" ht="18" customHeight="1">
      <c r="A17" s="980" t="s">
        <v>681</v>
      </c>
      <c r="B17" s="302" t="s">
        <v>716</v>
      </c>
      <c r="C17" s="21">
        <f ca="1">ROUND(F17*(F43+INDIRECT("'数据-取费表'!S"&amp;$G$1)),0)</f>
        <v>32110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619322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12386</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-4053</v>
      </c>
      <c r="K25" s="1093" t="s">
        <v>753</v>
      </c>
      <c r="L25" s="1094"/>
      <c r="M25" s="1095"/>
    </row>
    <row r="26" spans="1:37" ht="18" customHeight="1">
      <c r="A26" s="980" t="s">
        <v>397</v>
      </c>
      <c r="B26" s="302" t="s">
        <v>754</v>
      </c>
      <c r="C26" s="21">
        <f ca="1">ROUND((C19+C20)*F26,0)</f>
        <v>94756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810680</v>
      </c>
      <c r="D29" s="1090"/>
      <c r="E29" s="1088"/>
      <c r="F29" s="1091"/>
      <c r="G29" s="1394"/>
      <c r="H29" s="334" t="s">
        <v>396</v>
      </c>
      <c r="I29" s="335" t="s">
        <v>768</v>
      </c>
      <c r="J29" s="336">
        <f ca="1">ROUND(J26/(1+F40)^F41,0)</f>
        <v>0</v>
      </c>
      <c r="K29" s="337" t="s">
        <v>769</v>
      </c>
      <c r="L29" s="338"/>
      <c r="M29" s="339">
        <f ca="1">INDIRECT("'数据-取费表'!k"&amp;$G$1)</f>
        <v>160.55000000000001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16877</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0.81282981946723898</v>
      </c>
      <c r="J38" s="1397"/>
      <c r="K38" s="2702"/>
      <c r="L38" s="2698"/>
      <c r="M38" s="2698"/>
    </row>
    <row r="39" spans="1:18" ht="24.6" customHeight="1" thickTop="1">
      <c r="A39" s="1077" t="s">
        <v>394</v>
      </c>
      <c r="B39" s="1092" t="s">
        <v>772</v>
      </c>
      <c r="C39" s="310">
        <f ca="1">C5-C30</f>
        <v>257537</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4934964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160.55000000000001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-500.26159999999999</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37988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4934964</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37988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810680</v>
      </c>
      <c r="R49" s="1418" t="s">
        <v>818</v>
      </c>
    </row>
    <row r="50" spans="1:18" s="1382" customFormat="1" ht="13.5" thickBot="1">
      <c r="A50" s="974"/>
      <c r="B50" s="977"/>
      <c r="C50" s="978"/>
      <c r="D50" s="951"/>
      <c r="E50" s="1054" t="s">
        <v>697</v>
      </c>
      <c r="F50" s="1055">
        <f ca="1">F7</f>
        <v>160.55000000000001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3698250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39" t="s">
        <v>837</v>
      </c>
      <c r="L53" s="3640"/>
      <c r="O53" s="1416" t="s">
        <v>409</v>
      </c>
      <c r="P53" s="1417" t="s">
        <v>838</v>
      </c>
      <c r="Q53" s="1418">
        <f ca="1">Q47+Q48</f>
        <v>4972952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624224</v>
      </c>
      <c r="D56" s="1445"/>
      <c r="E56" s="1446"/>
      <c r="F56" s="1438"/>
      <c r="I56" s="1447" t="s">
        <v>842</v>
      </c>
      <c r="J56" s="1448" t="s">
        <v>3386</v>
      </c>
      <c r="K56" s="1419" t="s">
        <v>843</v>
      </c>
      <c r="L56" s="1422" t="str">
        <f ca="1">IF(L48&lt;J51,"——",L48-J51)</f>
        <v>——</v>
      </c>
      <c r="O56" s="1416" t="s">
        <v>403</v>
      </c>
      <c r="P56" s="1417" t="s">
        <v>817</v>
      </c>
      <c r="Q56" s="1418">
        <f ca="1">C40+J29</f>
        <v>4934964</v>
      </c>
      <c r="R56" s="1418" t="s">
        <v>818</v>
      </c>
    </row>
    <row r="57" spans="1:18" s="1382" customFormat="1" ht="24.75" thickBot="1">
      <c r="A57" s="1449"/>
      <c r="B57" s="948" t="s">
        <v>767</v>
      </c>
      <c r="C57" s="238">
        <f ca="1">C29</f>
        <v>810680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324272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37988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4934964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4934964</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-4677</v>
      </c>
      <c r="D67" s="961" t="s">
        <v>753</v>
      </c>
      <c r="E67" s="966"/>
      <c r="F67" s="967"/>
      <c r="O67" s="1426" t="s">
        <v>405</v>
      </c>
      <c r="P67" s="1417" t="s">
        <v>850</v>
      </c>
      <c r="Q67" s="1464">
        <f ca="1">L51</f>
        <v>3698250</v>
      </c>
      <c r="R67" s="1418" t="s">
        <v>870</v>
      </c>
    </row>
    <row r="68" spans="1:18" s="1382" customFormat="1" ht="16.5" thickBot="1">
      <c r="A68" s="945" t="s">
        <v>395</v>
      </c>
      <c r="B68" s="946" t="s">
        <v>774</v>
      </c>
      <c r="C68" s="301">
        <f ca="1">ROUND(C67*(1-((1+F70)/(1+F68))^F69)/(F68-F70),0)</f>
        <v>-67652</v>
      </c>
      <c r="D68" s="963" t="s">
        <v>758</v>
      </c>
      <c r="E68" s="948" t="s">
        <v>759</v>
      </c>
      <c r="F68" s="312">
        <f ca="1">F40</f>
        <v>5.5E-2</v>
      </c>
      <c r="O68" s="1426" t="s">
        <v>406</v>
      </c>
      <c r="P68" s="1465" t="s">
        <v>871</v>
      </c>
      <c r="Q68" s="1418">
        <f ca="1">ROUND(Q69-Q70*Q71,0)</f>
        <v>213841</v>
      </c>
      <c r="R68" s="1418" t="s">
        <v>414</v>
      </c>
    </row>
    <row r="69" spans="1:18" s="1382" customFormat="1" ht="13.5" thickBot="1">
      <c r="A69" s="949"/>
      <c r="B69" s="950"/>
      <c r="C69" s="306"/>
      <c r="D69" s="968" t="s">
        <v>762</v>
      </c>
      <c r="E69" s="948" t="s">
        <v>763</v>
      </c>
      <c r="F69" s="333">
        <f ca="1">F41</f>
        <v>29.65</v>
      </c>
      <c r="O69" s="1426" t="s">
        <v>411</v>
      </c>
      <c r="P69" s="1465" t="s">
        <v>872</v>
      </c>
      <c r="Q69" s="1418">
        <f ca="1">C39</f>
        <v>257537</v>
      </c>
      <c r="R69" s="1418" t="s">
        <v>818</v>
      </c>
    </row>
    <row r="70" spans="1:18" s="1382" customFormat="1" ht="13.5" thickBot="1">
      <c r="A70" s="952"/>
      <c r="B70" s="953"/>
      <c r="C70" s="310"/>
      <c r="D70" s="964"/>
      <c r="E70" s="948" t="s">
        <v>766</v>
      </c>
      <c r="F70" s="1052"/>
      <c r="O70" s="1426" t="s">
        <v>412</v>
      </c>
      <c r="P70" s="1465" t="s">
        <v>873</v>
      </c>
      <c r="Q70" s="1418">
        <f ca="1">C13</f>
        <v>624224</v>
      </c>
      <c r="R70" s="1418" t="s">
        <v>818</v>
      </c>
    </row>
    <row r="71" spans="1:18" s="1382" customFormat="1" ht="13.5" thickBot="1">
      <c r="A71" s="969" t="s">
        <v>396</v>
      </c>
      <c r="B71" s="970" t="s">
        <v>776</v>
      </c>
      <c r="C71" s="336">
        <f ca="1">ROUND(C68/F71,0)</f>
        <v>-421</v>
      </c>
      <c r="D71" s="971" t="s">
        <v>777</v>
      </c>
      <c r="E71" s="972" t="s">
        <v>778</v>
      </c>
      <c r="F71" s="339">
        <f ca="1">F43</f>
        <v>160.55000000000001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43696</v>
      </c>
      <c r="D75" s="1382"/>
      <c r="E75" s="1382"/>
      <c r="F75" s="1382"/>
      <c r="K75" s="1400"/>
      <c r="L75" s="1382"/>
      <c r="O75" s="1416" t="s">
        <v>409</v>
      </c>
      <c r="P75" s="1417" t="s">
        <v>838</v>
      </c>
      <c r="Q75" s="1418">
        <f ca="1">Q65+Q66</f>
        <v>4934964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310.81</v>
      </c>
      <c r="C22" s="3736" t="s">
        <v>27</v>
      </c>
      <c r="D22" s="3737"/>
      <c r="E22" s="3737"/>
      <c r="F22" s="3737"/>
      <c r="G22" s="3737"/>
      <c r="H22" s="3737"/>
      <c r="I22" s="3737"/>
      <c r="J22" s="3737"/>
      <c r="K22" s="3737"/>
      <c r="L22" s="3737"/>
      <c r="M22" s="3737"/>
      <c r="N22" s="3737"/>
      <c r="O22" s="3737"/>
      <c r="P22" s="3737"/>
      <c r="Q22" s="3738"/>
      <c r="R22" s="661">
        <f>ROUND(S22*10000/B22,0)</f>
        <v>0</v>
      </c>
      <c r="S22" s="21">
        <f>SUM(S24:S10000)</f>
        <v>0</v>
      </c>
      <c r="T22" s="723">
        <f>SUM(T24:T32)</f>
        <v>0.17849999999999999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160.55000000000001</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728">
        <f>ROUND(R24*B24/10000,4)</f>
        <v>8.8300000000000003E-2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6</v>
      </c>
      <c r="S25" s="316">
        <f t="shared" si="11"/>
        <v>0</v>
      </c>
      <c r="T25" s="728">
        <f>ROUND(R25*B25/10000,4)</f>
        <v>9.0200000000000002E-2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t="e">
        <f>ROUND(IF(F21="与级别开发程度一致",0,(G21-E21)/C21),0)</f>
        <v>#DIV/0!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4"/>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8" t="s">
        <v>2610</v>
      </c>
      <c r="B20" s="3761" t="s">
        <v>2631</v>
      </c>
      <c r="C20" s="3101" t="s">
        <v>2442</v>
      </c>
      <c r="D20" s="3102"/>
      <c r="E20" s="3103">
        <v>1</v>
      </c>
      <c r="F20" s="3104" t="s">
        <v>2443</v>
      </c>
      <c r="G20" s="3104"/>
    </row>
    <row r="21" spans="1:13" ht="19.5" customHeight="1">
      <c r="A21" s="3769"/>
      <c r="B21" s="3762"/>
      <c r="C21" s="3105" t="s">
        <v>2444</v>
      </c>
      <c r="D21" s="3106"/>
      <c r="E21" s="3107">
        <v>1</v>
      </c>
      <c r="F21" s="3104" t="s">
        <v>2445</v>
      </c>
      <c r="G21" s="3104"/>
    </row>
    <row r="22" spans="1:13" ht="19.5" customHeight="1">
      <c r="A22" s="3769"/>
      <c r="B22" s="3762"/>
      <c r="C22" s="3105" t="s">
        <v>2446</v>
      </c>
      <c r="D22" s="3106"/>
      <c r="E22" s="3107">
        <v>0.9</v>
      </c>
      <c r="F22" s="3104" t="s">
        <v>2447</v>
      </c>
      <c r="G22" s="3104"/>
    </row>
    <row r="23" spans="1:13" ht="19.5" customHeight="1">
      <c r="A23" s="3769"/>
      <c r="B23" s="3762"/>
      <c r="C23" s="3105" t="s">
        <v>2448</v>
      </c>
      <c r="D23" s="3106"/>
      <c r="E23" s="3107">
        <v>0.9</v>
      </c>
      <c r="F23" s="3104" t="s">
        <v>2449</v>
      </c>
      <c r="G23" s="3104"/>
    </row>
    <row r="24" spans="1:13" ht="19.5" customHeight="1">
      <c r="A24" s="3769"/>
      <c r="B24" s="3762"/>
      <c r="C24" s="3105" t="s">
        <v>2450</v>
      </c>
      <c r="D24" s="3106"/>
      <c r="E24" s="3107">
        <v>0.8</v>
      </c>
      <c r="F24" s="3104" t="s">
        <v>2451</v>
      </c>
      <c r="G24" s="3104"/>
    </row>
    <row r="25" spans="1:13" ht="19.5" customHeight="1" thickBot="1">
      <c r="A25" s="3770"/>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1" t="s">
        <v>2615</v>
      </c>
      <c r="C27" s="3101" t="s">
        <v>2455</v>
      </c>
      <c r="D27" s="3102"/>
      <c r="E27" s="3103">
        <v>1</v>
      </c>
      <c r="F27" s="3104" t="s">
        <v>2456</v>
      </c>
      <c r="G27" s="3104"/>
    </row>
    <row r="28" spans="1:13" ht="19.5" customHeight="1">
      <c r="A28" s="3765"/>
      <c r="B28" s="3762"/>
      <c r="C28" s="3105" t="s">
        <v>2457</v>
      </c>
      <c r="D28" s="3106"/>
      <c r="E28" s="3107">
        <v>1</v>
      </c>
      <c r="F28" s="3104" t="s">
        <v>2458</v>
      </c>
      <c r="G28" s="3104"/>
    </row>
    <row r="29" spans="1:13" ht="19.5" customHeight="1">
      <c r="A29" s="3765"/>
      <c r="B29" s="3762"/>
      <c r="C29" s="3105" t="s">
        <v>2459</v>
      </c>
      <c r="D29" s="3106"/>
      <c r="E29" s="3107">
        <v>0.8</v>
      </c>
      <c r="F29" s="3104" t="s">
        <v>2460</v>
      </c>
      <c r="G29" s="3104"/>
    </row>
    <row r="30" spans="1:13" ht="19.5" customHeight="1">
      <c r="A30" s="3765"/>
      <c r="B30" s="3762"/>
      <c r="C30" s="3105" t="s">
        <v>2461</v>
      </c>
      <c r="D30" s="3106"/>
      <c r="E30" s="3107">
        <v>0.8</v>
      </c>
      <c r="F30" s="3104" t="s">
        <v>2462</v>
      </c>
      <c r="G30" s="3104"/>
    </row>
    <row r="31" spans="1:13" ht="19.5" customHeight="1">
      <c r="A31" s="3765"/>
      <c r="B31" s="3762"/>
      <c r="C31" s="3105" t="s">
        <v>2463</v>
      </c>
      <c r="D31" s="3106"/>
      <c r="E31" s="3107">
        <v>0.8</v>
      </c>
      <c r="F31" s="3104" t="s">
        <v>2464</v>
      </c>
      <c r="G31" s="3104"/>
    </row>
    <row r="32" spans="1:13" ht="19.5" customHeight="1">
      <c r="A32" s="3765"/>
      <c r="B32" s="3762"/>
      <c r="C32" s="3105" t="s">
        <v>2465</v>
      </c>
      <c r="D32" s="3106"/>
      <c r="E32" s="3107">
        <v>0.7</v>
      </c>
      <c r="F32" s="3104" t="s">
        <v>2466</v>
      </c>
      <c r="G32" s="3104"/>
    </row>
    <row r="33" spans="1:7" ht="19.5" customHeight="1">
      <c r="A33" s="3765"/>
      <c r="B33" s="3762"/>
      <c r="C33" s="3105" t="s">
        <v>2467</v>
      </c>
      <c r="D33" s="3106"/>
      <c r="E33" s="3107">
        <v>0.8</v>
      </c>
      <c r="F33" s="3104" t="s">
        <v>2468</v>
      </c>
      <c r="G33" s="3104"/>
    </row>
    <row r="34" spans="1:7" ht="19.5" customHeight="1">
      <c r="A34" s="3765"/>
      <c r="B34" s="3762"/>
      <c r="C34" s="3105" t="s">
        <v>2469</v>
      </c>
      <c r="D34" s="3106"/>
      <c r="E34" s="3107">
        <v>0.6</v>
      </c>
      <c r="F34" s="3104" t="s">
        <v>2470</v>
      </c>
      <c r="G34" s="3104"/>
    </row>
    <row r="35" spans="1:7" ht="19.5" customHeight="1">
      <c r="A35" s="3765"/>
      <c r="B35" s="3762"/>
      <c r="C35" s="3105" t="s">
        <v>2471</v>
      </c>
      <c r="D35" s="3106"/>
      <c r="E35" s="3107">
        <v>0.2</v>
      </c>
      <c r="F35" s="3104" t="s">
        <v>2472</v>
      </c>
      <c r="G35" s="3104"/>
    </row>
    <row r="36" spans="1:7" ht="19.5" customHeight="1">
      <c r="A36" s="3765"/>
      <c r="B36" s="3762"/>
      <c r="C36" s="3105" t="s">
        <v>2473</v>
      </c>
      <c r="D36" s="3106"/>
      <c r="E36" s="3107">
        <v>0.2</v>
      </c>
      <c r="F36" s="3104" t="s">
        <v>2474</v>
      </c>
      <c r="G36" s="3104"/>
    </row>
    <row r="37" spans="1:7" ht="19.5" customHeight="1">
      <c r="A37" s="3765"/>
      <c r="B37" s="3767" t="s">
        <v>2635</v>
      </c>
      <c r="C37" s="3105" t="s">
        <v>2475</v>
      </c>
      <c r="D37" s="3106"/>
      <c r="E37" s="3107">
        <v>0.6</v>
      </c>
      <c r="F37" s="3104" t="s">
        <v>2476</v>
      </c>
      <c r="G37" s="3104"/>
    </row>
    <row r="38" spans="1:7" ht="19.5" customHeight="1">
      <c r="A38" s="3765"/>
      <c r="B38" s="3762"/>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8" t="s">
        <v>2613</v>
      </c>
      <c r="B41" s="3761" t="s">
        <v>2637</v>
      </c>
      <c r="C41" s="3101" t="s">
        <v>2482</v>
      </c>
      <c r="D41" s="3102"/>
      <c r="E41" s="3103">
        <v>1</v>
      </c>
      <c r="F41" s="3104" t="s">
        <v>2483</v>
      </c>
      <c r="G41" s="3104"/>
    </row>
    <row r="42" spans="1:7" ht="19.5" customHeight="1">
      <c r="A42" s="3769"/>
      <c r="B42" s="3762"/>
      <c r="C42" s="3105" t="s">
        <v>2484</v>
      </c>
      <c r="D42" s="3106"/>
      <c r="E42" s="3107">
        <v>1</v>
      </c>
      <c r="F42" s="3104" t="s">
        <v>2485</v>
      </c>
      <c r="G42" s="3104"/>
    </row>
    <row r="43" spans="1:7" ht="19.5" customHeight="1">
      <c r="A43" s="3769"/>
      <c r="B43" s="3771"/>
      <c r="C43" s="3105" t="s">
        <v>2486</v>
      </c>
      <c r="D43" s="3106"/>
      <c r="E43" s="3107">
        <v>1.5</v>
      </c>
      <c r="F43" s="3104" t="s">
        <v>2487</v>
      </c>
      <c r="G43" s="3104"/>
    </row>
    <row r="44" spans="1:7" ht="19.5" customHeight="1">
      <c r="A44" s="3769"/>
      <c r="B44" s="3116" t="s">
        <v>2638</v>
      </c>
      <c r="C44" s="3105" t="s">
        <v>2639</v>
      </c>
      <c r="D44" s="3106"/>
      <c r="E44" s="3107">
        <v>2</v>
      </c>
      <c r="F44" s="3104" t="s">
        <v>2488</v>
      </c>
      <c r="G44" s="3104"/>
    </row>
    <row r="45" spans="1:7" ht="19.5" customHeight="1">
      <c r="A45" s="3769"/>
      <c r="B45" s="3767" t="s">
        <v>2640</v>
      </c>
      <c r="C45" s="3105" t="s">
        <v>2489</v>
      </c>
      <c r="D45" s="3106"/>
      <c r="E45" s="3107">
        <v>1</v>
      </c>
      <c r="F45" s="3104" t="s">
        <v>2490</v>
      </c>
      <c r="G45" s="3104"/>
    </row>
    <row r="46" spans="1:7" ht="19.5" customHeight="1">
      <c r="A46" s="3769"/>
      <c r="B46" s="3762"/>
      <c r="C46" s="3105" t="s">
        <v>2491</v>
      </c>
      <c r="D46" s="3106"/>
      <c r="E46" s="3107">
        <v>1</v>
      </c>
      <c r="F46" s="3104" t="s">
        <v>2492</v>
      </c>
      <c r="G46" s="3104"/>
    </row>
    <row r="47" spans="1:7" ht="19.5" customHeight="1">
      <c r="A47" s="3769"/>
      <c r="B47" s="3762"/>
      <c r="C47" s="3105" t="s">
        <v>2493</v>
      </c>
      <c r="D47" s="3106"/>
      <c r="E47" s="3107">
        <v>1</v>
      </c>
      <c r="F47" s="3104" t="s">
        <v>2494</v>
      </c>
      <c r="G47" s="3104"/>
    </row>
    <row r="48" spans="1:7" ht="19.5" customHeight="1">
      <c r="A48" s="3769"/>
      <c r="B48" s="3762"/>
      <c r="C48" s="3105" t="s">
        <v>2495</v>
      </c>
      <c r="D48" s="3106"/>
      <c r="E48" s="3107">
        <v>1</v>
      </c>
      <c r="F48" s="3104" t="s">
        <v>2496</v>
      </c>
      <c r="G48" s="3104"/>
    </row>
    <row r="49" spans="1:7" ht="19.5" customHeight="1">
      <c r="A49" s="3769"/>
      <c r="B49" s="3762"/>
      <c r="C49" s="3105" t="s">
        <v>2497</v>
      </c>
      <c r="D49" s="3106"/>
      <c r="E49" s="3107">
        <v>1</v>
      </c>
      <c r="F49" s="3104" t="s">
        <v>2498</v>
      </c>
      <c r="G49" s="3104"/>
    </row>
    <row r="50" spans="1:7" ht="19.5" customHeight="1">
      <c r="A50" s="3769"/>
      <c r="B50" s="3762"/>
      <c r="C50" s="3105" t="s">
        <v>2499</v>
      </c>
      <c r="D50" s="3106"/>
      <c r="E50" s="3107">
        <v>1</v>
      </c>
      <c r="F50" s="3104" t="s">
        <v>2500</v>
      </c>
      <c r="G50" s="3104"/>
    </row>
    <row r="51" spans="1:7" ht="19.5" customHeight="1" thickBot="1">
      <c r="A51" s="3770"/>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2"/>
      <c r="C74" s="3090" t="s">
        <v>2657</v>
      </c>
      <c r="D74" s="3090" t="s">
        <v>2658</v>
      </c>
      <c r="E74" s="3116">
        <v>0.2</v>
      </c>
      <c r="F74" s="3116">
        <v>25</v>
      </c>
    </row>
    <row r="75" spans="1:7" ht="24">
      <c r="A75" s="3116">
        <v>3</v>
      </c>
      <c r="B75" s="3762"/>
      <c r="C75" s="3090" t="s">
        <v>2659</v>
      </c>
      <c r="D75" s="3090" t="s">
        <v>2660</v>
      </c>
      <c r="E75" s="3116">
        <v>0.2</v>
      </c>
      <c r="F75" s="3116">
        <v>25</v>
      </c>
    </row>
    <row r="76" spans="1:7" ht="13.5">
      <c r="A76" s="3116">
        <v>4</v>
      </c>
      <c r="B76" s="3762"/>
      <c r="C76" s="3090" t="s">
        <v>2661</v>
      </c>
      <c r="D76" s="3090" t="s">
        <v>2662</v>
      </c>
      <c r="E76" s="3116">
        <v>0.15</v>
      </c>
      <c r="F76" s="3116">
        <v>20</v>
      </c>
    </row>
    <row r="77" spans="1:7" ht="24">
      <c r="A77" s="3116">
        <v>5</v>
      </c>
      <c r="B77" s="3762"/>
      <c r="C77" s="3090" t="s">
        <v>2663</v>
      </c>
      <c r="D77" s="3090" t="s">
        <v>2664</v>
      </c>
      <c r="E77" s="3116">
        <v>0.15</v>
      </c>
      <c r="F77" s="3116">
        <v>20</v>
      </c>
    </row>
    <row r="78" spans="1:7" ht="24">
      <c r="A78" s="3116">
        <v>6</v>
      </c>
      <c r="B78" s="3762"/>
      <c r="C78" s="3090" t="s">
        <v>2665</v>
      </c>
      <c r="D78" s="3090" t="s">
        <v>2666</v>
      </c>
      <c r="E78" s="3116">
        <v>0.15</v>
      </c>
      <c r="F78" s="3116">
        <v>20</v>
      </c>
    </row>
    <row r="79" spans="1:7" ht="24">
      <c r="A79" s="3116">
        <v>7</v>
      </c>
      <c r="B79" s="3762"/>
      <c r="C79" s="3090" t="s">
        <v>2667</v>
      </c>
      <c r="D79" s="3090" t="s">
        <v>2668</v>
      </c>
      <c r="E79" s="3116">
        <v>0.15</v>
      </c>
      <c r="F79" s="3116">
        <v>20</v>
      </c>
    </row>
    <row r="80" spans="1:7" ht="24">
      <c r="A80" s="3116">
        <v>8</v>
      </c>
      <c r="B80" s="3762"/>
      <c r="C80" s="3090" t="s">
        <v>2669</v>
      </c>
      <c r="D80" s="3090" t="s">
        <v>2670</v>
      </c>
      <c r="E80" s="3116">
        <v>0.1</v>
      </c>
      <c r="F80" s="3116">
        <v>15</v>
      </c>
    </row>
    <row r="81" spans="1:6" ht="24">
      <c r="A81" s="3116">
        <v>9</v>
      </c>
      <c r="B81" s="3762"/>
      <c r="C81" s="3090" t="s">
        <v>2671</v>
      </c>
      <c r="D81" s="3090" t="s">
        <v>2672</v>
      </c>
      <c r="E81" s="3116">
        <v>0.1</v>
      </c>
      <c r="F81" s="3116">
        <v>15</v>
      </c>
    </row>
    <row r="82" spans="1:6" ht="24">
      <c r="A82" s="3116">
        <v>10</v>
      </c>
      <c r="B82" s="3762"/>
      <c r="C82" s="3090" t="s">
        <v>2673</v>
      </c>
      <c r="D82" s="3090" t="s">
        <v>2674</v>
      </c>
      <c r="E82" s="3116">
        <v>0.1</v>
      </c>
      <c r="F82" s="3116">
        <v>15</v>
      </c>
    </row>
    <row r="83" spans="1:6" ht="24">
      <c r="A83" s="3116">
        <v>11</v>
      </c>
      <c r="B83" s="3762"/>
      <c r="C83" s="3090" t="s">
        <v>2675</v>
      </c>
      <c r="D83" s="3090" t="s">
        <v>2676</v>
      </c>
      <c r="E83" s="3116">
        <v>0.1</v>
      </c>
      <c r="F83" s="3116">
        <v>15</v>
      </c>
    </row>
    <row r="84" spans="1:6" ht="24">
      <c r="A84" s="3116">
        <v>12</v>
      </c>
      <c r="B84" s="3762"/>
      <c r="C84" s="3090" t="s">
        <v>2677</v>
      </c>
      <c r="D84" s="3090" t="s">
        <v>2678</v>
      </c>
      <c r="E84" s="3116">
        <v>0.1</v>
      </c>
      <c r="F84" s="3116">
        <v>15</v>
      </c>
    </row>
    <row r="85" spans="1:6" ht="13.5">
      <c r="A85" s="3116">
        <v>13</v>
      </c>
      <c r="B85" s="3762"/>
      <c r="C85" s="3090" t="s">
        <v>2679</v>
      </c>
      <c r="D85" s="3090" t="s">
        <v>2680</v>
      </c>
      <c r="E85" s="3116">
        <v>0.1</v>
      </c>
      <c r="F85" s="3116">
        <v>15</v>
      </c>
    </row>
    <row r="86" spans="1:6" ht="13.5">
      <c r="A86" s="3116">
        <v>14</v>
      </c>
      <c r="B86" s="3762"/>
      <c r="C86" s="3090" t="s">
        <v>2681</v>
      </c>
      <c r="D86" s="3090" t="s">
        <v>2682</v>
      </c>
      <c r="E86" s="3116">
        <v>0.1</v>
      </c>
      <c r="F86" s="3116">
        <v>15</v>
      </c>
    </row>
    <row r="87" spans="1:6" ht="13.5">
      <c r="A87" s="3116">
        <v>15</v>
      </c>
      <c r="B87" s="3762"/>
      <c r="C87" s="3090" t="s">
        <v>2683</v>
      </c>
      <c r="D87" s="3090" t="s">
        <v>2684</v>
      </c>
      <c r="E87" s="3116">
        <v>0.1</v>
      </c>
      <c r="F87" s="3116">
        <v>15</v>
      </c>
    </row>
    <row r="88" spans="1:6" ht="24">
      <c r="A88" s="3116">
        <v>16</v>
      </c>
      <c r="B88" s="3762"/>
      <c r="C88" s="3090" t="s">
        <v>2685</v>
      </c>
      <c r="D88" s="3090" t="s">
        <v>2686</v>
      </c>
      <c r="E88" s="3116">
        <v>0.1</v>
      </c>
      <c r="F88" s="3116">
        <v>15</v>
      </c>
    </row>
    <row r="89" spans="1:6" ht="24">
      <c r="A89" s="3116">
        <v>17</v>
      </c>
      <c r="B89" s="3771"/>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2"/>
      <c r="C91" s="3090" t="s">
        <v>2692</v>
      </c>
      <c r="D91" s="3090" t="s">
        <v>2693</v>
      </c>
      <c r="E91" s="3116">
        <v>0.2</v>
      </c>
      <c r="F91" s="3116">
        <v>25</v>
      </c>
    </row>
    <row r="92" spans="1:6" ht="13.5">
      <c r="A92" s="3116">
        <v>20</v>
      </c>
      <c r="B92" s="3762"/>
      <c r="C92" s="3090" t="s">
        <v>2694</v>
      </c>
      <c r="D92" s="3090" t="s">
        <v>2695</v>
      </c>
      <c r="E92" s="3116">
        <v>0.15</v>
      </c>
      <c r="F92" s="3116">
        <v>20</v>
      </c>
    </row>
    <row r="93" spans="1:6" ht="13.5">
      <c r="A93" s="3116">
        <v>21</v>
      </c>
      <c r="B93" s="3762"/>
      <c r="C93" s="3090" t="s">
        <v>2696</v>
      </c>
      <c r="D93" s="3090" t="s">
        <v>2697</v>
      </c>
      <c r="E93" s="3116">
        <v>0.15</v>
      </c>
      <c r="F93" s="3116">
        <v>20</v>
      </c>
    </row>
    <row r="94" spans="1:6" ht="13.5">
      <c r="A94" s="3116">
        <v>22</v>
      </c>
      <c r="B94" s="3762"/>
      <c r="C94" s="3090" t="s">
        <v>2698</v>
      </c>
      <c r="D94" s="3090" t="s">
        <v>2699</v>
      </c>
      <c r="E94" s="3116">
        <v>0.15</v>
      </c>
      <c r="F94" s="3116">
        <v>20</v>
      </c>
    </row>
    <row r="95" spans="1:6" ht="36">
      <c r="A95" s="3116">
        <v>23</v>
      </c>
      <c r="B95" s="3762"/>
      <c r="C95" s="3090" t="s">
        <v>2700</v>
      </c>
      <c r="D95" s="3090" t="s">
        <v>2701</v>
      </c>
      <c r="E95" s="3116">
        <v>0.15</v>
      </c>
      <c r="F95" s="3116">
        <v>20</v>
      </c>
    </row>
    <row r="96" spans="1:6" ht="13.5">
      <c r="A96" s="3116">
        <v>24</v>
      </c>
      <c r="B96" s="3762"/>
      <c r="C96" s="3090" t="s">
        <v>2702</v>
      </c>
      <c r="D96" s="3090" t="s">
        <v>2703</v>
      </c>
      <c r="E96" s="3116">
        <v>0.1</v>
      </c>
      <c r="F96" s="3116">
        <v>15</v>
      </c>
    </row>
    <row r="97" spans="1:6" ht="13.5">
      <c r="A97" s="3116">
        <v>25</v>
      </c>
      <c r="B97" s="3762"/>
      <c r="C97" s="3090" t="s">
        <v>2704</v>
      </c>
      <c r="D97" s="3090" t="s">
        <v>2705</v>
      </c>
      <c r="E97" s="3116">
        <v>0.1</v>
      </c>
      <c r="F97" s="3116">
        <v>15</v>
      </c>
    </row>
    <row r="98" spans="1:6" ht="24">
      <c r="A98" s="3116">
        <v>26</v>
      </c>
      <c r="B98" s="3762"/>
      <c r="C98" s="3090" t="s">
        <v>2706</v>
      </c>
      <c r="D98" s="3090" t="s">
        <v>2707</v>
      </c>
      <c r="E98" s="3116">
        <v>0.1</v>
      </c>
      <c r="F98" s="3116">
        <v>15</v>
      </c>
    </row>
    <row r="99" spans="1:6" ht="24">
      <c r="A99" s="3116">
        <v>27</v>
      </c>
      <c r="B99" s="3762"/>
      <c r="C99" s="3090" t="s">
        <v>2708</v>
      </c>
      <c r="D99" s="3090" t="s">
        <v>2709</v>
      </c>
      <c r="E99" s="3116">
        <v>0.1</v>
      </c>
      <c r="F99" s="3116">
        <v>15</v>
      </c>
    </row>
    <row r="100" spans="1:6" ht="13.5">
      <c r="A100" s="3116">
        <v>28</v>
      </c>
      <c r="B100" s="3762"/>
      <c r="C100" s="3090" t="s">
        <v>2710</v>
      </c>
      <c r="D100" s="3090" t="s">
        <v>2711</v>
      </c>
      <c r="E100" s="3116">
        <v>0.1</v>
      </c>
      <c r="F100" s="3116">
        <v>15</v>
      </c>
    </row>
    <row r="101" spans="1:6" ht="13.5">
      <c r="A101" s="3116">
        <v>29</v>
      </c>
      <c r="B101" s="3762"/>
      <c r="C101" s="3090" t="s">
        <v>2712</v>
      </c>
      <c r="D101" s="3090" t="s">
        <v>2713</v>
      </c>
      <c r="E101" s="3116">
        <v>0.1</v>
      </c>
      <c r="F101" s="3116">
        <v>15</v>
      </c>
    </row>
    <row r="102" spans="1:6" ht="13.5">
      <c r="A102" s="3116">
        <v>30</v>
      </c>
      <c r="B102" s="3762"/>
      <c r="C102" s="3090" t="s">
        <v>2714</v>
      </c>
      <c r="D102" s="3090" t="s">
        <v>2715</v>
      </c>
      <c r="E102" s="3116">
        <v>0.1</v>
      </c>
      <c r="F102" s="3116">
        <v>15</v>
      </c>
    </row>
    <row r="103" spans="1:6" ht="24">
      <c r="A103" s="3116">
        <v>31</v>
      </c>
      <c r="B103" s="3762"/>
      <c r="C103" s="3090" t="s">
        <v>2716</v>
      </c>
      <c r="D103" s="3090" t="s">
        <v>2717</v>
      </c>
      <c r="E103" s="3116">
        <v>0.1</v>
      </c>
      <c r="F103" s="3116">
        <v>15</v>
      </c>
    </row>
    <row r="104" spans="1:6" ht="24">
      <c r="A104" s="3116">
        <v>32</v>
      </c>
      <c r="B104" s="3762"/>
      <c r="C104" s="3090" t="s">
        <v>2718</v>
      </c>
      <c r="D104" s="3090" t="s">
        <v>2719</v>
      </c>
      <c r="E104" s="3116">
        <v>0.1</v>
      </c>
      <c r="F104" s="3116">
        <v>15</v>
      </c>
    </row>
    <row r="105" spans="1:6" ht="24">
      <c r="A105" s="3116">
        <v>33</v>
      </c>
      <c r="B105" s="3762"/>
      <c r="C105" s="3090" t="s">
        <v>2720</v>
      </c>
      <c r="D105" s="3090" t="s">
        <v>2721</v>
      </c>
      <c r="E105" s="3116">
        <v>0.1</v>
      </c>
      <c r="F105" s="3116">
        <v>15</v>
      </c>
    </row>
    <row r="106" spans="1:6" ht="24">
      <c r="A106" s="3116">
        <v>34</v>
      </c>
      <c r="B106" s="3771"/>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2"/>
      <c r="C108" s="3116" t="s">
        <v>2727</v>
      </c>
      <c r="D108" s="3090" t="s">
        <v>2728</v>
      </c>
      <c r="E108" s="3116">
        <v>0.15</v>
      </c>
      <c r="F108" s="3116">
        <v>20</v>
      </c>
    </row>
    <row r="109" spans="1:6" ht="13.5">
      <c r="A109" s="3116">
        <v>37</v>
      </c>
      <c r="B109" s="3762"/>
      <c r="C109" s="3116" t="s">
        <v>2729</v>
      </c>
      <c r="D109" s="3090" t="s">
        <v>2730</v>
      </c>
      <c r="E109" s="3116">
        <v>0.15</v>
      </c>
      <c r="F109" s="3116">
        <v>20</v>
      </c>
    </row>
    <row r="110" spans="1:6" ht="13.5">
      <c r="A110" s="3116">
        <v>38</v>
      </c>
      <c r="B110" s="3762"/>
      <c r="C110" s="3116" t="s">
        <v>2731</v>
      </c>
      <c r="D110" s="3090" t="s">
        <v>2732</v>
      </c>
      <c r="E110" s="3116">
        <v>0.1</v>
      </c>
      <c r="F110" s="3116">
        <v>15</v>
      </c>
    </row>
    <row r="111" spans="1:6" ht="24">
      <c r="A111" s="3116">
        <v>39</v>
      </c>
      <c r="B111" s="3762"/>
      <c r="C111" s="3116" t="s">
        <v>2733</v>
      </c>
      <c r="D111" s="3090" t="s">
        <v>2734</v>
      </c>
      <c r="E111" s="3116">
        <v>0.1</v>
      </c>
      <c r="F111" s="3116">
        <v>15</v>
      </c>
    </row>
    <row r="112" spans="1:6" ht="24">
      <c r="A112" s="3116">
        <v>40</v>
      </c>
      <c r="B112" s="3771"/>
      <c r="C112" s="3116" t="s">
        <v>2735</v>
      </c>
      <c r="D112" s="3090" t="s">
        <v>2736</v>
      </c>
      <c r="E112" s="3116">
        <v>0.1</v>
      </c>
      <c r="F112" s="3116">
        <v>15</v>
      </c>
    </row>
    <row r="113" spans="1:6" ht="13.5">
      <c r="A113" s="3116">
        <v>41</v>
      </c>
      <c r="B113" s="3772" t="s">
        <v>2737</v>
      </c>
      <c r="C113" s="3116" t="s">
        <v>2738</v>
      </c>
      <c r="D113" s="3090" t="s">
        <v>2739</v>
      </c>
      <c r="E113" s="3116">
        <v>0.1</v>
      </c>
      <c r="F113" s="3116">
        <v>15</v>
      </c>
    </row>
    <row r="114" spans="1:6" ht="13.5">
      <c r="A114" s="3116">
        <v>42</v>
      </c>
      <c r="B114" s="3772"/>
      <c r="C114" s="3116" t="s">
        <v>2740</v>
      </c>
      <c r="D114" s="3090" t="s">
        <v>2741</v>
      </c>
      <c r="E114" s="3116">
        <v>0.1</v>
      </c>
      <c r="F114" s="3116">
        <v>15</v>
      </c>
    </row>
    <row r="115" spans="1:6" ht="24">
      <c r="A115" s="3116">
        <v>43</v>
      </c>
      <c r="B115" s="3772"/>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71"/>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71"/>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71"/>
      <c r="C121" s="3116" t="s">
        <v>2757</v>
      </c>
      <c r="D121" s="3090" t="s">
        <v>2758</v>
      </c>
      <c r="E121" s="3116">
        <v>0.1</v>
      </c>
      <c r="F121" s="3116">
        <v>15</v>
      </c>
    </row>
    <row r="122" spans="1:6" ht="24">
      <c r="A122" s="3116">
        <v>50</v>
      </c>
      <c r="B122" s="3772" t="s">
        <v>2759</v>
      </c>
      <c r="C122" s="3116" t="s">
        <v>2760</v>
      </c>
      <c r="D122" s="3090" t="s">
        <v>2761</v>
      </c>
      <c r="E122" s="3116">
        <v>0.1</v>
      </c>
      <c r="F122" s="3116">
        <v>15</v>
      </c>
    </row>
    <row r="123" spans="1:6" ht="24">
      <c r="A123" s="3116">
        <v>51</v>
      </c>
      <c r="B123" s="3772"/>
      <c r="C123" s="3116" t="s">
        <v>2762</v>
      </c>
      <c r="D123" s="3090" t="s">
        <v>2763</v>
      </c>
      <c r="E123" s="3116">
        <v>0.1</v>
      </c>
      <c r="F123" s="3116">
        <v>15</v>
      </c>
    </row>
    <row r="124" spans="1:6" ht="24">
      <c r="A124" s="3116">
        <v>52</v>
      </c>
      <c r="B124" s="3772" t="s">
        <v>2764</v>
      </c>
      <c r="C124" s="3116" t="s">
        <v>2765</v>
      </c>
      <c r="D124" s="3090" t="s">
        <v>2766</v>
      </c>
      <c r="E124" s="3116">
        <v>0.1</v>
      </c>
      <c r="F124" s="3116">
        <v>15</v>
      </c>
    </row>
    <row r="125" spans="1:6" ht="24">
      <c r="A125" s="3116">
        <v>53</v>
      </c>
      <c r="B125" s="377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2" t="s">
        <v>2772</v>
      </c>
      <c r="C127" s="3116" t="s">
        <v>2773</v>
      </c>
      <c r="D127" s="3090" t="s">
        <v>2774</v>
      </c>
      <c r="E127" s="3116">
        <v>0.1</v>
      </c>
      <c r="F127" s="3116">
        <v>15</v>
      </c>
    </row>
    <row r="128" spans="1:6" ht="13.5">
      <c r="A128" s="3116">
        <v>56</v>
      </c>
      <c r="B128" s="3772"/>
      <c r="C128" s="3116" t="s">
        <v>2775</v>
      </c>
      <c r="D128" s="3090" t="s">
        <v>2776</v>
      </c>
      <c r="E128" s="3116">
        <v>0.1</v>
      </c>
      <c r="F128" s="3116">
        <v>15</v>
      </c>
    </row>
    <row r="129" spans="1:6" ht="24">
      <c r="A129" s="3116">
        <v>57</v>
      </c>
      <c r="B129" s="3772"/>
      <c r="C129" s="3116" t="s">
        <v>2777</v>
      </c>
      <c r="D129" s="3090" t="s">
        <v>2778</v>
      </c>
      <c r="E129" s="3116">
        <v>0.1</v>
      </c>
      <c r="F129" s="3116">
        <v>15</v>
      </c>
    </row>
    <row r="130" spans="1:6" ht="24">
      <c r="A130" s="3116">
        <v>58</v>
      </c>
      <c r="B130" s="3772" t="s">
        <v>2779</v>
      </c>
      <c r="C130" s="3116" t="s">
        <v>2780</v>
      </c>
      <c r="D130" s="3090" t="s">
        <v>2781</v>
      </c>
      <c r="E130" s="3116">
        <v>0.1</v>
      </c>
      <c r="F130" s="3116">
        <v>15</v>
      </c>
    </row>
    <row r="131" spans="1:6" ht="13.5">
      <c r="A131" s="3116">
        <v>59</v>
      </c>
      <c r="B131" s="3772"/>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71"/>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2" t="s">
        <v>2792</v>
      </c>
      <c r="C135" s="3116" t="s">
        <v>2793</v>
      </c>
      <c r="D135" s="3090" t="s">
        <v>2794</v>
      </c>
      <c r="E135" s="3116">
        <v>0.1</v>
      </c>
      <c r="F135" s="3116">
        <v>15</v>
      </c>
    </row>
    <row r="136" spans="1:6" ht="13.5">
      <c r="A136" s="3116">
        <v>64</v>
      </c>
      <c r="B136" s="377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估价结果一览表（市场价值不需“结果表-1”）</v>
      </c>
      <c r="B3" s="3459"/>
      <c r="C3" s="3459"/>
      <c r="D3" s="3459"/>
      <c r="E3" s="3459"/>
    </row>
    <row r="4" spans="1:5" ht="19.5" thickBot="1">
      <c r="A4" s="1491"/>
      <c r="B4" s="3457" t="s">
        <v>917</v>
      </c>
      <c r="C4" s="3457"/>
      <c r="D4" s="3457"/>
      <c r="E4" s="1491"/>
    </row>
    <row r="5" spans="1:5" ht="16.5" thickTop="1">
      <c r="A5" s="1489"/>
      <c r="B5" s="3455" t="s">
        <v>909</v>
      </c>
      <c r="C5" s="1492" t="s">
        <v>910</v>
      </c>
      <c r="D5" s="848">
        <f ca="1">结果表!H101</f>
        <v>149</v>
      </c>
      <c r="E5" s="1489"/>
    </row>
    <row r="6" spans="1:5" ht="15.75">
      <c r="A6" s="1489"/>
      <c r="B6" s="3455"/>
      <c r="C6" s="1492" t="s">
        <v>911</v>
      </c>
      <c r="D6" s="848" t="str">
        <f ca="1">NUMBERSTRING(INT(D5*10000),2)&amp;"元整"</f>
        <v>壹佰肆拾玖万元整</v>
      </c>
      <c r="E6" s="1489"/>
    </row>
    <row r="7" spans="1:5" ht="15.75">
      <c r="A7" s="1489"/>
      <c r="B7" s="3460"/>
      <c r="C7" s="1493" t="s">
        <v>912</v>
      </c>
      <c r="D7" s="849">
        <f ca="1">结果表!H102</f>
        <v>9296</v>
      </c>
      <c r="E7" s="1489"/>
    </row>
    <row r="8" spans="1:5" ht="15.75">
      <c r="A8" s="1489"/>
      <c r="B8" s="3461" t="str">
        <f>结果表!E103</f>
        <v>2.估价师知悉的法定优先受偿款</v>
      </c>
      <c r="C8" s="1494" t="s">
        <v>913</v>
      </c>
      <c r="D8" s="849">
        <f>结果表!H103</f>
        <v>0</v>
      </c>
      <c r="E8" s="1489"/>
    </row>
    <row r="9" spans="1:5" ht="15.75">
      <c r="A9" s="1489"/>
      <c r="B9" s="346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4" t="str">
        <f>结果表!E107</f>
        <v>3.房地产抵押价值</v>
      </c>
      <c r="C13" s="1497" t="s">
        <v>910</v>
      </c>
      <c r="D13" s="851">
        <f ca="1">结果表!H107</f>
        <v>149</v>
      </c>
      <c r="E13" s="1489"/>
    </row>
    <row r="14" spans="1:5" ht="15.75">
      <c r="A14" s="1489"/>
      <c r="B14" s="3455"/>
      <c r="C14" s="1492" t="s">
        <v>911</v>
      </c>
      <c r="D14" s="848" t="str">
        <f ca="1">NUMBERSTRING(INT(D13*10000),2)&amp;"元整"</f>
        <v>壹佰肆拾玖万元整</v>
      </c>
      <c r="E14" s="1489"/>
    </row>
    <row r="15" spans="1:5" ht="15">
      <c r="A15" s="1489"/>
      <c r="B15" s="3460"/>
      <c r="C15" s="1493" t="s">
        <v>921</v>
      </c>
      <c r="D15" s="857">
        <f ca="1">结果表!H108</f>
        <v>9296</v>
      </c>
      <c r="E15" s="1489"/>
    </row>
    <row r="16" spans="1:5" ht="15">
      <c r="A16" s="1489"/>
      <c r="B16" s="3461" t="str">
        <f>结果表!E109</f>
        <v>——</v>
      </c>
      <c r="C16" s="1497" t="s">
        <v>922</v>
      </c>
      <c r="D16" s="1498" t="str">
        <f>结果表!H109</f>
        <v>——</v>
      </c>
      <c r="E16" s="1489"/>
    </row>
    <row r="17" spans="1:5" ht="15.75">
      <c r="A17" s="1489"/>
      <c r="B17" s="3462"/>
      <c r="C17" s="1492" t="s">
        <v>923</v>
      </c>
      <c r="D17" s="848" t="e">
        <f>NUMBERSTRING(INT(D16*10000),2)&amp;"元整"</f>
        <v>#VALUE!</v>
      </c>
      <c r="E17" s="1489"/>
    </row>
    <row r="18" spans="1:5" ht="15">
      <c r="A18" s="1489"/>
      <c r="B18" s="3463"/>
      <c r="C18" s="1493" t="s">
        <v>912</v>
      </c>
      <c r="D18" s="857" t="str">
        <f>结果表!H110</f>
        <v>——</v>
      </c>
      <c r="E18" s="1489"/>
    </row>
    <row r="19" spans="1:5" ht="15.75">
      <c r="A19" s="1489"/>
      <c r="B19" s="3454" t="str">
        <f>结果表!E111</f>
        <v>——</v>
      </c>
      <c r="C19" s="1497" t="s">
        <v>910</v>
      </c>
      <c r="D19" s="849" t="str">
        <f>结果表!H111</f>
        <v>——</v>
      </c>
      <c r="E19" s="1489"/>
    </row>
    <row r="20" spans="1:5" ht="15.75">
      <c r="A20" s="1489"/>
      <c r="B20" s="3455"/>
      <c r="C20" s="1492" t="s">
        <v>923</v>
      </c>
      <c r="D20" s="848" t="e">
        <f>NUMBERSTRING(INT(D19*10000),2)&amp;"元整"</f>
        <v>#VALUE!</v>
      </c>
      <c r="E20" s="1489"/>
    </row>
    <row r="21" spans="1:5" ht="15.75" thickBot="1">
      <c r="A21" s="1489"/>
      <c r="B21" s="345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1734164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160.55000000000001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160.55000000000001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160.55000000000001</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4" t="str">
        <f>IF(项目基本情况!B9="房地产市场价值","估价结果一览表","结果表-2")</f>
        <v>估价结果一览表</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房地产市场价值</v>
      </c>
      <c r="I2" s="3465"/>
    </row>
    <row r="3" spans="1:9" ht="15">
      <c r="A3" s="3466"/>
      <c r="B3" s="3466"/>
      <c r="C3" s="3466"/>
      <c r="D3" s="852" t="s">
        <v>925</v>
      </c>
      <c r="E3" s="852" t="s">
        <v>931</v>
      </c>
      <c r="F3" s="852" t="s">
        <v>925</v>
      </c>
      <c r="G3" s="852" t="s">
        <v>926</v>
      </c>
      <c r="H3" s="852" t="s">
        <v>925</v>
      </c>
      <c r="I3" s="852" t="s">
        <v>926</v>
      </c>
    </row>
    <row r="4" spans="1:9" ht="15">
      <c r="A4" s="1503" t="str">
        <f>项目基本情况!S2</f>
        <v>北京市房地产</v>
      </c>
      <c r="B4" s="852">
        <f>项目基本情况!C17</f>
        <v>160.55000000000001</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66" t="s">
        <v>927</v>
      </c>
      <c r="B5" s="3466"/>
      <c r="C5" s="3466"/>
      <c r="D5" s="3466" t="e">
        <f ca="1">结果表!D119</f>
        <v>#DIV/0!</v>
      </c>
      <c r="E5" s="3466"/>
      <c r="F5" s="3466" t="e">
        <f ca="1">结果表!F119</f>
        <v>#DIV/0!</v>
      </c>
      <c r="G5" s="3466"/>
      <c r="H5" s="3466" t="str">
        <f ca="1">结果表!H119</f>
        <v>壹佰肆拾玖万元整</v>
      </c>
      <c r="I5" s="3466"/>
    </row>
    <row r="6" spans="1:9" ht="15.75">
      <c r="A6" s="3467" t="str">
        <f>结果表!A120</f>
        <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
      </c>
      <c r="B8" s="3467"/>
      <c r="C8" s="3467"/>
      <c r="D8" s="3467">
        <f ca="1">结果表!D122</f>
        <v>149</v>
      </c>
      <c r="E8" s="3467"/>
      <c r="F8" s="3467"/>
      <c r="G8" s="3467"/>
      <c r="H8" s="3467"/>
      <c r="I8" s="3467"/>
    </row>
    <row r="9" spans="1:9" ht="15">
      <c r="A9" s="3466" t="s">
        <v>927</v>
      </c>
      <c r="B9" s="3466"/>
      <c r="C9" s="3466"/>
      <c r="D9" s="3466" t="str">
        <f ca="1">结果表!D123</f>
        <v>壹佰肆拾玖万元整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3" t="s">
        <v>949</v>
      </c>
      <c r="B1" s="3473"/>
      <c r="C1" s="3473"/>
      <c r="D1" s="3473"/>
    </row>
    <row r="2" spans="1:4" ht="18">
      <c r="A2" s="3474" t="s">
        <v>933</v>
      </c>
      <c r="B2" s="3474"/>
      <c r="C2" s="3474"/>
      <c r="D2" s="347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4" t="s">
        <v>939</v>
      </c>
      <c r="B6" s="3474"/>
      <c r="C6" s="3474"/>
      <c r="D6" s="347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7"/>
      <c r="C12" s="3477"/>
      <c r="D12" s="3477"/>
    </row>
    <row r="13" spans="1:4" ht="30" customHeight="1">
      <c r="A13" s="3476" t="str">
        <f>IF(项目基本情况!B8="抵押","3.抵押双方在办理抵押登记手续时，应使用本公司出具的正式《房地产评估报告》，特提醒报告使用者注意。","——")</f>
        <v>——</v>
      </c>
      <c r="B13" s="3477"/>
      <c r="C13" s="3477"/>
      <c r="D13" s="3477"/>
    </row>
    <row r="14" spans="1:4" ht="15.75" customHeight="1">
      <c r="A14" s="3476" t="str">
        <f>IF(项目基本情况!B8="抵押","4.本次评估估价师所知悉的法定优先受偿款情况说明如下：","——")</f>
        <v>——</v>
      </c>
      <c r="B14" s="3477"/>
      <c r="C14" s="3477"/>
      <c r="D14" s="3477"/>
    </row>
    <row r="15" spans="1:4" ht="42" customHeight="1">
      <c r="A15" s="3476" t="str">
        <f>IF(项目基本情况!B8="抵押","（1）"&amp;CONCATENATE(项目基本情况!L20,项目基本情况!L21,项目基本情况!L22),"——")</f>
        <v>——</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1"/>
      <c r="E18" s="3492" t="s">
        <v>2161</v>
      </c>
      <c r="F18" s="3491"/>
      <c r="G18" s="349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2023-11-22T02:10:10Z</dcterms:modified>
</cp:coreProperties>
</file>