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EE9" lockStructure="1"/>
  <bookViews>
    <workbookView xWindow="-120" yWindow="0" windowWidth="19440" windowHeight="13050" tabRatio="875" firstSheet="15"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结果表-23净值" sheetId="69" state="hidden" r:id="rId18"/>
    <sheet name="结果表-24净值" sheetId="71" r:id="rId19"/>
    <sheet name="结果表-27净值" sheetId="72" r:id="rId20"/>
    <sheet name="比较法-住宅、综合" sheetId="39" r:id="rId21"/>
    <sheet name="土地案例" sheetId="68"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 sheetId="15" state="hidden" r:id="rId34"/>
    <sheet name="酒店收入计算" sheetId="57"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r:id="rId43"/>
    <sheet name="存贷款利率" sheetId="65" state="hidden" r:id="rId44"/>
    <sheet name="Sheet3" sheetId="70" r:id="rId45"/>
  </sheets>
  <externalReferences>
    <externalReference r:id="rId46"/>
    <externalReference r:id="rId47"/>
    <externalReference r:id="rId48"/>
  </externalReferences>
  <definedNames>
    <definedName name="_xlnm._FilterDatabase" localSheetId="24"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4">'比较法-工业'!$A$1:$K$63,'比较法-工业'!$A$66:$N$123</definedName>
    <definedName name="_xlnm.Print_Area" localSheetId="20">'比较法-住宅、综合'!$A$1:$K$67,'比较法-住宅、综合'!$A$71:$N$134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估价师及机构信息!$A$1:$F$22</definedName>
    <definedName name="_xlnm.Print_Area" localSheetId="25">基准地价!$A$1:$J$41,基准地价!$A$44:$N$87,基准地价!$R$1:$V$16</definedName>
    <definedName name="_xlnm.Print_Area" localSheetId="31">'基准地价（汇总）'!$A$1:$F$14</definedName>
    <definedName name="_xlnm.Print_Area" localSheetId="16">结果表!$A$1:$I$46,结果表!$K$25:$O$44,结果表!$A$62:$I$115,结果表!$K$64:$P$81</definedName>
    <definedName name="_xlnm.Print_Area" localSheetId="17">'结果表-23净值'!$A$1:$I$46,'结果表-23净值'!$K$25:$O$44,'结果表-23净值'!$A$62:$I$115,'结果表-23净值'!$K$64:$P$81</definedName>
    <definedName name="_xlnm.Print_Area" localSheetId="18">'结果表-24净值'!$A$1:$I$46,'结果表-24净值'!$K$25:$O$44,'结果表-24净值'!$A$62:$I$115,'结果表-24净值'!$K$64:$P$81</definedName>
    <definedName name="_xlnm.Print_Area" localSheetId="19">'结果表-27净值'!$A$1:$I$46,'结果表-27净值'!$K$25:$O$44,'结果表-27净值'!$A$62:$I$115,'结果表-27净值'!$K$64:$P$81</definedName>
    <definedName name="_xlnm.Print_Area" localSheetId="22">'剩余法-待开发'!$A$1:$K$36</definedName>
    <definedName name="_xlnm.Print_Area" localSheetId="23">'剩余法-现房'!$A$1:$K$32</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40" i="70" l="1"/>
  <c r="C40" i="70" s="1"/>
  <c r="B27" i="70"/>
  <c r="Q42" i="68" l="1"/>
  <c r="Q41" i="68"/>
  <c r="Q40" i="68"/>
  <c r="I18" i="66" l="1"/>
  <c r="D17" i="31" l="1"/>
  <c r="E17" i="31"/>
  <c r="F17" i="31"/>
  <c r="B27" i="31" l="1"/>
  <c r="B17" i="66"/>
  <c r="C112" i="72"/>
  <c r="C109" i="72"/>
  <c r="E108" i="72"/>
  <c r="D107" i="72"/>
  <c r="C107" i="72" s="1"/>
  <c r="C105" i="72" s="1"/>
  <c r="H95" i="72"/>
  <c r="D95" i="72"/>
  <c r="C94" i="72"/>
  <c r="F77" i="72"/>
  <c r="P75" i="72" s="1"/>
  <c r="E77" i="72"/>
  <c r="O75" i="72" s="1"/>
  <c r="D77" i="72"/>
  <c r="N75" i="72"/>
  <c r="L75" i="72"/>
  <c r="K75" i="72"/>
  <c r="O74" i="72"/>
  <c r="F74" i="72"/>
  <c r="P74" i="72" s="1"/>
  <c r="O73" i="72"/>
  <c r="I73" i="72"/>
  <c r="F73" i="72" s="1"/>
  <c r="P73" i="72" s="1"/>
  <c r="E66" i="72"/>
  <c r="O72" i="72" s="1"/>
  <c r="C46" i="72"/>
  <c r="A46" i="72"/>
  <c r="A45" i="72"/>
  <c r="C45" i="72" s="1"/>
  <c r="K44" i="72"/>
  <c r="A44" i="72"/>
  <c r="K39" i="72" s="1"/>
  <c r="K43" i="72"/>
  <c r="C43" i="72"/>
  <c r="K47" i="72" s="1"/>
  <c r="K41" i="72"/>
  <c r="K40" i="72"/>
  <c r="K31" i="72"/>
  <c r="K32" i="72" s="1"/>
  <c r="C25" i="72"/>
  <c r="C24" i="72"/>
  <c r="D17" i="72"/>
  <c r="C17" i="72"/>
  <c r="M4" i="72"/>
  <c r="L4" i="72"/>
  <c r="D19" i="72"/>
  <c r="C19" i="72"/>
  <c r="C21" i="72"/>
  <c r="C20" i="72"/>
  <c r="D20" i="72"/>
  <c r="D21" i="72"/>
  <c r="C18" i="72" l="1"/>
  <c r="G21" i="72" s="1"/>
  <c r="L43" i="72"/>
  <c r="D22" i="72"/>
  <c r="L44" i="72"/>
  <c r="C110" i="72"/>
  <c r="D18" i="72"/>
  <c r="M44" i="72" s="1"/>
  <c r="O40" i="72"/>
  <c r="K33" i="72"/>
  <c r="O41" i="72"/>
  <c r="C112" i="71"/>
  <c r="C109" i="71"/>
  <c r="E108" i="71"/>
  <c r="D107" i="71"/>
  <c r="C107" i="71" s="1"/>
  <c r="C105" i="71" s="1"/>
  <c r="H95" i="71"/>
  <c r="D95" i="71"/>
  <c r="C94" i="71"/>
  <c r="F77" i="71"/>
  <c r="P75" i="71" s="1"/>
  <c r="E77" i="71"/>
  <c r="O75" i="71" s="1"/>
  <c r="D77" i="71"/>
  <c r="N75" i="71" s="1"/>
  <c r="L75" i="71"/>
  <c r="K75" i="71"/>
  <c r="O74" i="71"/>
  <c r="F74" i="71"/>
  <c r="P74" i="71" s="1"/>
  <c r="O73" i="71"/>
  <c r="I73" i="71"/>
  <c r="F73" i="71"/>
  <c r="P73" i="71" s="1"/>
  <c r="E66" i="71"/>
  <c r="O72" i="71" s="1"/>
  <c r="A46" i="71"/>
  <c r="C46" i="71" s="1"/>
  <c r="A45" i="71"/>
  <c r="C45" i="71" s="1"/>
  <c r="K44" i="71"/>
  <c r="A44" i="71"/>
  <c r="K43" i="71"/>
  <c r="C43" i="71"/>
  <c r="K47" i="71" s="1"/>
  <c r="K41" i="71"/>
  <c r="K40" i="71"/>
  <c r="K39" i="71"/>
  <c r="K31" i="71"/>
  <c r="K32" i="71" s="1"/>
  <c r="C25" i="71"/>
  <c r="C24" i="71"/>
  <c r="D17" i="71"/>
  <c r="C17" i="71"/>
  <c r="M4" i="71"/>
  <c r="L4" i="71"/>
  <c r="B16" i="66"/>
  <c r="B26" i="31" s="1"/>
  <c r="I40" i="39"/>
  <c r="G40" i="39"/>
  <c r="E40" i="39"/>
  <c r="C40" i="39"/>
  <c r="I9" i="39"/>
  <c r="G9" i="39"/>
  <c r="E9" i="39"/>
  <c r="I7" i="39"/>
  <c r="G7" i="39"/>
  <c r="E7" i="39"/>
  <c r="Q63" i="68"/>
  <c r="Q62" i="68"/>
  <c r="Q64" i="68" s="1"/>
  <c r="Q46" i="68"/>
  <c r="Q45" i="68"/>
  <c r="Q47" i="68" s="1"/>
  <c r="Q35" i="68"/>
  <c r="Q34" i="68"/>
  <c r="C112" i="69"/>
  <c r="C109" i="69"/>
  <c r="E108" i="69"/>
  <c r="D107" i="69"/>
  <c r="C107" i="69" s="1"/>
  <c r="C105" i="69" s="1"/>
  <c r="H95" i="69"/>
  <c r="D95" i="69"/>
  <c r="C94" i="69"/>
  <c r="F77" i="69"/>
  <c r="P75" i="69" s="1"/>
  <c r="E77" i="69"/>
  <c r="D77" i="69"/>
  <c r="N75" i="69" s="1"/>
  <c r="O75" i="69"/>
  <c r="L75" i="69"/>
  <c r="K75" i="69"/>
  <c r="O74" i="69"/>
  <c r="F74" i="69"/>
  <c r="P74" i="69" s="1"/>
  <c r="O73" i="69"/>
  <c r="I73" i="69"/>
  <c r="F73" i="69" s="1"/>
  <c r="P73" i="69" s="1"/>
  <c r="E66" i="69"/>
  <c r="O72" i="69" s="1"/>
  <c r="A46" i="69"/>
  <c r="C46" i="69" s="1"/>
  <c r="A45" i="69"/>
  <c r="C45" i="69" s="1"/>
  <c r="K44" i="69"/>
  <c r="A44" i="69"/>
  <c r="K39" i="69" s="1"/>
  <c r="K43" i="69"/>
  <c r="C43" i="69"/>
  <c r="K47" i="69" s="1"/>
  <c r="K41" i="69"/>
  <c r="K40" i="69"/>
  <c r="K31" i="69"/>
  <c r="K32" i="69" s="1"/>
  <c r="C25" i="69"/>
  <c r="C24" i="69"/>
  <c r="D17" i="69"/>
  <c r="C17" i="69"/>
  <c r="C18" i="69" s="1"/>
  <c r="M4" i="69"/>
  <c r="L4" i="69"/>
  <c r="D21" i="69"/>
  <c r="D20" i="71"/>
  <c r="C21" i="71"/>
  <c r="C20" i="71"/>
  <c r="D19" i="69"/>
  <c r="C19" i="69"/>
  <c r="D21" i="71"/>
  <c r="D19" i="71"/>
  <c r="C21" i="69"/>
  <c r="C19" i="71"/>
  <c r="C20" i="69"/>
  <c r="D20" i="69"/>
  <c r="Q36" i="68" l="1"/>
  <c r="M43" i="72"/>
  <c r="G20" i="72"/>
  <c r="C18" i="71"/>
  <c r="K34" i="72"/>
  <c r="G19" i="72"/>
  <c r="D22" i="71"/>
  <c r="L43" i="71"/>
  <c r="L44" i="71"/>
  <c r="M43" i="71"/>
  <c r="D18" i="71"/>
  <c r="M44" i="71" s="1"/>
  <c r="O40" i="71"/>
  <c r="C110" i="71"/>
  <c r="K33" i="71"/>
  <c r="O41" i="71"/>
  <c r="L43" i="69"/>
  <c r="D22" i="69"/>
  <c r="L44" i="69"/>
  <c r="M43" i="69"/>
  <c r="D18" i="69"/>
  <c r="M44" i="69" s="1"/>
  <c r="O40" i="69"/>
  <c r="C110" i="69"/>
  <c r="K33" i="69"/>
  <c r="O41" i="69"/>
  <c r="G19" i="69" l="1"/>
  <c r="N43" i="69" s="1"/>
  <c r="G19" i="71"/>
  <c r="C32" i="71" s="1"/>
  <c r="N43" i="72"/>
  <c r="C32" i="72"/>
  <c r="K34" i="71"/>
  <c r="G20" i="71"/>
  <c r="G21" i="71"/>
  <c r="N43" i="71"/>
  <c r="K34" i="69"/>
  <c r="G20" i="69"/>
  <c r="G21" i="69"/>
  <c r="C32" i="69" l="1"/>
  <c r="C42" i="69" s="1"/>
  <c r="O43" i="72"/>
  <c r="O38" i="72"/>
  <c r="C42" i="72"/>
  <c r="C42" i="71"/>
  <c r="O43" i="71"/>
  <c r="O38" i="71"/>
  <c r="O43" i="69" l="1"/>
  <c r="O38" i="69"/>
  <c r="K25" i="69" s="1"/>
  <c r="C44" i="72"/>
  <c r="K26" i="72"/>
  <c r="K25" i="72"/>
  <c r="K25" i="71"/>
  <c r="K26" i="71"/>
  <c r="C44" i="71"/>
  <c r="N68" i="69"/>
  <c r="C44" i="69"/>
  <c r="K26" i="69" l="1"/>
  <c r="O39" i="72"/>
  <c r="K29" i="72" s="1"/>
  <c r="K30" i="72" s="1"/>
  <c r="O39" i="71"/>
  <c r="K29" i="71" s="1"/>
  <c r="K30" i="71" s="1"/>
  <c r="N69" i="69"/>
  <c r="O39" i="69"/>
  <c r="K29" i="69" s="1"/>
  <c r="K30" i="69" s="1"/>
  <c r="M84" i="69" l="1"/>
  <c r="N84" i="69" s="1"/>
  <c r="M83" i="69"/>
  <c r="N83" i="69" s="1"/>
  <c r="N89" i="69" s="1"/>
  <c r="O89" i="69" s="1"/>
  <c r="M88" i="69"/>
  <c r="N88" i="69" s="1"/>
  <c r="M87" i="69"/>
  <c r="N87" i="69" s="1"/>
  <c r="M86" i="69"/>
  <c r="N86" i="69" s="1"/>
  <c r="M85" i="69"/>
  <c r="N85" i="69" s="1"/>
  <c r="C33" i="21" l="1"/>
  <c r="F19" i="6"/>
  <c r="AH5" i="59"/>
  <c r="AG5" i="59"/>
  <c r="AE5" i="59"/>
  <c r="AF5" i="59" s="1"/>
  <c r="AD5" i="59"/>
  <c r="Q5" i="59"/>
  <c r="P5" i="59"/>
  <c r="O5" i="59"/>
  <c r="N5" i="59"/>
  <c r="AH6" i="59" l="1"/>
  <c r="AG6" i="59"/>
  <c r="AE6" i="59"/>
  <c r="AF6" i="59" s="1"/>
  <c r="AD6" i="59"/>
  <c r="Q6" i="59"/>
  <c r="P6" i="59"/>
  <c r="O6" i="59"/>
  <c r="N6" i="59"/>
  <c r="C16" i="11" l="1"/>
  <c r="C15" i="11"/>
  <c r="C14" i="11"/>
  <c r="C9" i="11"/>
  <c r="C8" i="11"/>
  <c r="K36" i="36" l="1"/>
  <c r="K38" i="35"/>
  <c r="K42" i="37"/>
  <c r="K49" i="34"/>
  <c r="K48" i="33" l="1"/>
  <c r="K48" i="21"/>
  <c r="K44" i="40" l="1"/>
  <c r="K49" i="39"/>
  <c r="E77" i="9"/>
  <c r="F77" i="9"/>
  <c r="AH7" i="59" l="1"/>
  <c r="AG7" i="59"/>
  <c r="AE7" i="59"/>
  <c r="AF7" i="59" s="1"/>
  <c r="AD7" i="59"/>
  <c r="Q7" i="59"/>
  <c r="P7" i="59"/>
  <c r="O7" i="59"/>
  <c r="N7" i="59"/>
  <c r="A21" i="31" l="1"/>
  <c r="C109" i="9" l="1"/>
  <c r="AH8" i="59" l="1"/>
  <c r="AG8" i="59"/>
  <c r="AE8" i="59"/>
  <c r="AF8" i="59" s="1"/>
  <c r="AD8" i="59"/>
  <c r="Q8" i="59"/>
  <c r="P8" i="59"/>
  <c r="O8" i="59"/>
  <c r="N8" i="59"/>
  <c r="Q10" i="59" l="1"/>
  <c r="P10" i="59"/>
  <c r="O10" i="59"/>
  <c r="N10" i="59"/>
  <c r="AH9" i="59"/>
  <c r="AG9" i="59"/>
  <c r="AE9" i="59"/>
  <c r="AF9" i="59" s="1"/>
  <c r="AD9" i="59"/>
  <c r="Q9" i="59"/>
  <c r="P9" i="59"/>
  <c r="O9" i="59"/>
  <c r="N9" i="59"/>
  <c r="AH10" i="59"/>
  <c r="AG10" i="59"/>
  <c r="AE10" i="59"/>
  <c r="AF10" i="59"/>
  <c r="AD10" i="59"/>
  <c r="Q11" i="59"/>
  <c r="Q12" i="59"/>
  <c r="P11" i="59"/>
  <c r="P12" i="59"/>
  <c r="O11" i="59"/>
  <c r="O12" i="59"/>
  <c r="N11" i="59"/>
  <c r="N12" i="59"/>
  <c r="AH11" i="59"/>
  <c r="AG11" i="59"/>
  <c r="AE11" i="59"/>
  <c r="AF11" i="59" s="1"/>
  <c r="AD11" i="59"/>
  <c r="F25" i="12"/>
  <c r="AH12" i="59"/>
  <c r="AG12" i="59"/>
  <c r="AE12" i="59"/>
  <c r="AF12" i="59" s="1"/>
  <c r="AD12" i="59"/>
  <c r="M15" i="49"/>
  <c r="L15" i="49"/>
  <c r="K15" i="49"/>
  <c r="J15" i="49"/>
  <c r="I15" i="49"/>
  <c r="H15" i="49"/>
  <c r="G15" i="49"/>
  <c r="F15" i="49"/>
  <c r="E15" i="49"/>
  <c r="D15" i="49"/>
  <c r="C15" i="49"/>
  <c r="B15" i="49"/>
  <c r="AH13" i="59"/>
  <c r="AG13" i="59"/>
  <c r="AE13" i="59"/>
  <c r="AF13" i="59" s="1"/>
  <c r="AD13" i="59"/>
  <c r="Q13" i="59"/>
  <c r="P13" i="59"/>
  <c r="O13" i="59"/>
  <c r="N13" i="59"/>
  <c r="L3" i="59"/>
  <c r="AH3" i="59" s="1"/>
  <c r="K3" i="59"/>
  <c r="AG3" i="59" s="1"/>
  <c r="J3" i="59"/>
  <c r="AE3" i="59" s="1"/>
  <c r="AF3" i="59" s="1"/>
  <c r="I3" i="59"/>
  <c r="AD3" i="59" s="1"/>
  <c r="AH14" i="59"/>
  <c r="AG14" i="59"/>
  <c r="AE14" i="59"/>
  <c r="AF14" i="59" s="1"/>
  <c r="AD14" i="59"/>
  <c r="Q14" i="59"/>
  <c r="Q15" i="59"/>
  <c r="P14" i="59"/>
  <c r="P15" i="59"/>
  <c r="O14" i="59"/>
  <c r="O15" i="59"/>
  <c r="N14" i="59"/>
  <c r="N15" i="59"/>
  <c r="AH15" i="59"/>
  <c r="AG15" i="59"/>
  <c r="AE15" i="59"/>
  <c r="AF15" i="59"/>
  <c r="AD15" i="59"/>
  <c r="Q16" i="59"/>
  <c r="P16" i="59"/>
  <c r="O16" i="59"/>
  <c r="N16" i="59"/>
  <c r="M19" i="46"/>
  <c r="J50" i="15"/>
  <c r="J51" i="15"/>
  <c r="D18" i="59"/>
  <c r="AH16" i="59"/>
  <c r="AG16" i="59"/>
  <c r="AE16" i="59"/>
  <c r="AF16" i="59" s="1"/>
  <c r="AD16" i="59"/>
  <c r="AE17" i="59"/>
  <c r="AF17" i="59" s="1"/>
  <c r="AG17" i="59"/>
  <c r="AH17" i="59"/>
  <c r="AD17" i="59"/>
  <c r="Q17" i="59"/>
  <c r="P17" i="59"/>
  <c r="O17" i="59"/>
  <c r="N17" i="59"/>
  <c r="N18" i="59"/>
  <c r="Q18" i="59"/>
  <c r="P18" i="59"/>
  <c r="O18" i="59"/>
  <c r="K59" i="15"/>
  <c r="P62" i="15" s="1"/>
  <c r="P75" i="15"/>
  <c r="Q74" i="44"/>
  <c r="Q61" i="44"/>
  <c r="Q60" i="44"/>
  <c r="Q53" i="44"/>
  <c r="J51" i="44"/>
  <c r="J52" i="44" s="1"/>
  <c r="M48" i="44"/>
  <c r="A16" i="55"/>
  <c r="B67" i="63" s="1"/>
  <c r="A15" i="55"/>
  <c r="B66" i="63" s="1"/>
  <c r="A10" i="55"/>
  <c r="B61" i="63" s="1"/>
  <c r="A9" i="55"/>
  <c r="B60" i="63" s="1"/>
  <c r="A8" i="55"/>
  <c r="B59" i="63" s="1"/>
  <c r="A6" i="54"/>
  <c r="A8" i="54"/>
  <c r="B53" i="63" s="1"/>
  <c r="A7" i="54"/>
  <c r="A27" i="51"/>
  <c r="B20" i="63" s="1"/>
  <c r="Q19" i="59"/>
  <c r="O19" i="59"/>
  <c r="N20" i="59"/>
  <c r="O20" i="59"/>
  <c r="P20" i="59"/>
  <c r="Q20" i="59"/>
  <c r="N19" i="59"/>
  <c r="P19" i="59"/>
  <c r="K75" i="9"/>
  <c r="K6" i="4"/>
  <c r="O76" i="9"/>
  <c r="L76" i="9"/>
  <c r="K76" i="9"/>
  <c r="E19" i="66"/>
  <c r="F19" i="66"/>
  <c r="E20" i="66"/>
  <c r="F20" i="66"/>
  <c r="E21" i="66"/>
  <c r="F21" i="66"/>
  <c r="E22" i="66"/>
  <c r="F22" i="66"/>
  <c r="E23" i="66"/>
  <c r="F23" i="66"/>
  <c r="B3" i="66"/>
  <c r="B17" i="59"/>
  <c r="B16" i="59" s="1"/>
  <c r="B15" i="59" s="1"/>
  <c r="E17" i="59"/>
  <c r="F17" i="59"/>
  <c r="V17" i="59" s="1"/>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H32" i="59"/>
  <c r="AG32" i="59"/>
  <c r="AE32" i="59"/>
  <c r="AF32" i="59" s="1"/>
  <c r="AD32" i="59"/>
  <c r="AD33" i="59"/>
  <c r="AE33" i="59"/>
  <c r="AF33" i="59" s="1"/>
  <c r="AG33" i="59"/>
  <c r="AH33" i="59"/>
  <c r="S2" i="31"/>
  <c r="M2" i="31"/>
  <c r="N2" i="31"/>
  <c r="O2" i="31"/>
  <c r="P2" i="31"/>
  <c r="Q2" i="31"/>
  <c r="R2" i="31"/>
  <c r="C17" i="59"/>
  <c r="C3" i="65"/>
  <c r="C1" i="65"/>
  <c r="N1" i="65" s="1"/>
  <c r="T17" i="59"/>
  <c r="D17" i="59"/>
  <c r="B76" i="63"/>
  <c r="M5" i="54"/>
  <c r="B41" i="63" s="1"/>
  <c r="A23" i="51"/>
  <c r="Y12" i="46"/>
  <c r="AA9" i="46"/>
  <c r="AA10" i="46" s="1"/>
  <c r="AB9" i="46"/>
  <c r="AB10" i="46" s="1"/>
  <c r="AC9" i="46"/>
  <c r="AC10" i="46" s="1"/>
  <c r="AD9" i="46"/>
  <c r="AD10" i="46" s="1"/>
  <c r="AE9" i="46"/>
  <c r="AF9" i="46"/>
  <c r="AF10" i="46" s="1"/>
  <c r="AG9" i="46"/>
  <c r="AG10" i="46" s="1"/>
  <c r="AH9" i="46"/>
  <c r="AH10" i="46"/>
  <c r="AI9" i="46"/>
  <c r="AJ9" i="46"/>
  <c r="AJ10" i="46" s="1"/>
  <c r="Z9" i="46"/>
  <c r="Z10" i="46" s="1"/>
  <c r="AI10" i="46"/>
  <c r="Y10" i="46"/>
  <c r="Z12" i="46"/>
  <c r="AI12" i="46"/>
  <c r="AC12" i="46"/>
  <c r="AA12" i="46"/>
  <c r="B73" i="63"/>
  <c r="A21" i="64"/>
  <c r="B75" i="63" s="1"/>
  <c r="A27" i="64"/>
  <c r="A15" i="64"/>
  <c r="A14" i="64"/>
  <c r="A11" i="64"/>
  <c r="A3" i="64"/>
  <c r="A45" i="9"/>
  <c r="A44" i="9"/>
  <c r="K39" i="9" s="1"/>
  <c r="C57" i="10"/>
  <c r="A28" i="51" s="1"/>
  <c r="C56" i="10"/>
  <c r="C55" i="10"/>
  <c r="C54" i="10"/>
  <c r="A26" i="51" s="1"/>
  <c r="B19" i="63" s="1"/>
  <c r="B49" i="63"/>
  <c r="B44" i="63"/>
  <c r="B40" i="63"/>
  <c r="B30" i="63"/>
  <c r="B27" i="63"/>
  <c r="B25" i="63"/>
  <c r="A11" i="51"/>
  <c r="B10" i="63" s="1"/>
  <c r="A26" i="64"/>
  <c r="K40" i="9"/>
  <c r="B58" i="63"/>
  <c r="B51" i="63"/>
  <c r="A46" i="9"/>
  <c r="K41" i="9" s="1"/>
  <c r="B8" i="63"/>
  <c r="A21" i="55"/>
  <c r="B71" i="63"/>
  <c r="A20" i="55"/>
  <c r="B69" i="63"/>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c r="B40" i="50"/>
  <c r="B3" i="63"/>
  <c r="I19" i="46"/>
  <c r="Q21" i="59"/>
  <c r="F21" i="59" s="1"/>
  <c r="V21" i="59" s="1"/>
  <c r="P21" i="59"/>
  <c r="E21" i="59" s="1"/>
  <c r="O21" i="59"/>
  <c r="C21" i="59" s="1"/>
  <c r="N21" i="59"/>
  <c r="D82" i="59"/>
  <c r="F81" i="59"/>
  <c r="F80" i="59" s="1"/>
  <c r="F79" i="59" s="1"/>
  <c r="E81" i="59"/>
  <c r="E80" i="59" s="1"/>
  <c r="E79" i="59" s="1"/>
  <c r="C81" i="59"/>
  <c r="D81" i="59" s="1"/>
  <c r="B81" i="59"/>
  <c r="B80" i="59" s="1"/>
  <c r="B79" i="59" s="1"/>
  <c r="D78" i="59"/>
  <c r="F77" i="59"/>
  <c r="F76" i="59" s="1"/>
  <c r="F75" i="59" s="1"/>
  <c r="E77" i="59"/>
  <c r="E76" i="59" s="1"/>
  <c r="E75" i="59" s="1"/>
  <c r="C77" i="59"/>
  <c r="D77" i="59" s="1"/>
  <c r="B77" i="59"/>
  <c r="B76" i="59" s="1"/>
  <c r="B75" i="59" s="1"/>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s="1"/>
  <c r="B68" i="59"/>
  <c r="B67" i="59" s="1"/>
  <c r="Q67" i="59"/>
  <c r="P67" i="59"/>
  <c r="O67" i="59"/>
  <c r="N67" i="59"/>
  <c r="Q66" i="59"/>
  <c r="P66" i="59"/>
  <c r="O66" i="59"/>
  <c r="N66" i="59"/>
  <c r="D66" i="59"/>
  <c r="Q65" i="59"/>
  <c r="P65" i="59"/>
  <c r="O65" i="59"/>
  <c r="N65" i="59"/>
  <c r="F65" i="59"/>
  <c r="V65" i="59" s="1"/>
  <c r="E65" i="59"/>
  <c r="U65" i="59" s="1"/>
  <c r="C65" i="59"/>
  <c r="B65" i="59"/>
  <c r="S65" i="59" s="1"/>
  <c r="Q64" i="59"/>
  <c r="P64" i="59"/>
  <c r="O64" i="59"/>
  <c r="N64" i="59"/>
  <c r="F64" i="59"/>
  <c r="F63" i="59" s="1"/>
  <c r="B64" i="59"/>
  <c r="B63" i="59" s="1"/>
  <c r="Q63" i="59"/>
  <c r="P63" i="59"/>
  <c r="O63" i="59"/>
  <c r="N63" i="59"/>
  <c r="Q62" i="59"/>
  <c r="P62" i="59"/>
  <c r="O62" i="59"/>
  <c r="N62" i="59"/>
  <c r="D62" i="59"/>
  <c r="F61" i="59"/>
  <c r="V61" i="59" s="1"/>
  <c r="E61" i="59"/>
  <c r="E60" i="59" s="1"/>
  <c r="C61" i="59"/>
  <c r="B61" i="59"/>
  <c r="N61" i="59" s="1"/>
  <c r="F60" i="59"/>
  <c r="B60" i="59"/>
  <c r="N60" i="59" s="1"/>
  <c r="D58" i="59"/>
  <c r="Q57" i="59"/>
  <c r="P57" i="59"/>
  <c r="O57" i="59"/>
  <c r="N57" i="59"/>
  <c r="Q56" i="59"/>
  <c r="P56" i="59"/>
  <c r="O56" i="59"/>
  <c r="N56" i="59"/>
  <c r="Q55" i="59"/>
  <c r="P55" i="59"/>
  <c r="O55" i="59"/>
  <c r="N55" i="59"/>
  <c r="Q54" i="59"/>
  <c r="F55"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O42" i="59"/>
  <c r="C43" i="59" s="1"/>
  <c r="D43" i="59" s="1"/>
  <c r="N42" i="59"/>
  <c r="B43" i="59" s="1"/>
  <c r="B44" i="59" s="1"/>
  <c r="B45" i="59" s="1"/>
  <c r="S45" i="59" s="1"/>
  <c r="D42" i="59"/>
  <c r="T41" i="59"/>
  <c r="Q41" i="59"/>
  <c r="P41" i="59"/>
  <c r="O41" i="59"/>
  <c r="N41" i="59"/>
  <c r="D41" i="59"/>
  <c r="Q40" i="59"/>
  <c r="P40" i="59"/>
  <c r="O40" i="59"/>
  <c r="N40" i="59"/>
  <c r="Q39" i="59"/>
  <c r="P39" i="59"/>
  <c r="O39" i="59"/>
  <c r="N39" i="59"/>
  <c r="Q38" i="59"/>
  <c r="F39"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s="1"/>
  <c r="C36" i="59" s="1"/>
  <c r="D36" i="59" s="1"/>
  <c r="N34" i="59"/>
  <c r="B35" i="59" s="1"/>
  <c r="D34" i="59"/>
  <c r="Q33" i="59"/>
  <c r="P33" i="59"/>
  <c r="O33" i="59"/>
  <c r="N33" i="59"/>
  <c r="Q32" i="59"/>
  <c r="AB32" i="59" s="1"/>
  <c r="P32" i="59"/>
  <c r="AA32" i="59" s="1"/>
  <c r="O32" i="59"/>
  <c r="Y32" i="59"/>
  <c r="Z32" i="59" s="1"/>
  <c r="N32" i="59"/>
  <c r="X32" i="59" s="1"/>
  <c r="Q31" i="59"/>
  <c r="AB31" i="59" s="1"/>
  <c r="P31" i="59"/>
  <c r="O31" i="59"/>
  <c r="Y31" i="59" s="1"/>
  <c r="Z31" i="59" s="1"/>
  <c r="N31" i="59"/>
  <c r="X31" i="59" s="1"/>
  <c r="Q30" i="59"/>
  <c r="AB30" i="59" s="1"/>
  <c r="P30" i="59"/>
  <c r="O30" i="59"/>
  <c r="N30" i="59"/>
  <c r="D30" i="59"/>
  <c r="Q29" i="59"/>
  <c r="P29" i="59"/>
  <c r="AA29" i="59" s="1"/>
  <c r="O29" i="59"/>
  <c r="N29" i="59"/>
  <c r="X29" i="59" s="1"/>
  <c r="Q28" i="59"/>
  <c r="P28" i="59"/>
  <c r="AA28" i="59" s="1"/>
  <c r="O28" i="59"/>
  <c r="N28" i="59"/>
  <c r="X28" i="59" s="1"/>
  <c r="Q27" i="59"/>
  <c r="P27" i="59"/>
  <c r="AA27" i="59" s="1"/>
  <c r="O27" i="59"/>
  <c r="N27" i="59"/>
  <c r="X27" i="59" s="1"/>
  <c r="Q26" i="59"/>
  <c r="F27" i="59"/>
  <c r="F28" i="59" s="1"/>
  <c r="F29" i="59" s="1"/>
  <c r="V29" i="59" s="1"/>
  <c r="P26" i="59"/>
  <c r="O26" i="59"/>
  <c r="N26" i="59"/>
  <c r="D26" i="59"/>
  <c r="Q25" i="59"/>
  <c r="P25" i="59"/>
  <c r="O25" i="59"/>
  <c r="N25" i="59"/>
  <c r="Q24" i="59"/>
  <c r="P24" i="59"/>
  <c r="O24" i="59"/>
  <c r="N24" i="59"/>
  <c r="Q23" i="59"/>
  <c r="P23" i="59"/>
  <c r="O23" i="59"/>
  <c r="N23" i="59"/>
  <c r="Q22" i="59"/>
  <c r="P22" i="59"/>
  <c r="AA19" i="59" s="1"/>
  <c r="O22" i="59"/>
  <c r="N22" i="59"/>
  <c r="D22" i="59"/>
  <c r="X20" i="59"/>
  <c r="Y19" i="59"/>
  <c r="Z19" i="59" s="1"/>
  <c r="E23" i="59"/>
  <c r="E24" i="59" s="1"/>
  <c r="E25" i="59" s="1"/>
  <c r="U25" i="59" s="1"/>
  <c r="E44" i="59"/>
  <c r="E45" i="59" s="1"/>
  <c r="U45" i="59" s="1"/>
  <c r="S61" i="59"/>
  <c r="F40" i="59"/>
  <c r="F41" i="59"/>
  <c r="V41" i="59" s="1"/>
  <c r="F56" i="59"/>
  <c r="F57" i="59" s="1"/>
  <c r="V57" i="59" s="1"/>
  <c r="C44" i="59"/>
  <c r="D44" i="59" s="1"/>
  <c r="C48" i="59"/>
  <c r="C56" i="59"/>
  <c r="B59" i="59"/>
  <c r="N58" i="59" s="1"/>
  <c r="T61" i="59"/>
  <c r="O61" i="59"/>
  <c r="D61" i="59"/>
  <c r="C60" i="59"/>
  <c r="P61" i="59"/>
  <c r="U61" i="59"/>
  <c r="Q61" i="59"/>
  <c r="E64" i="59"/>
  <c r="E63" i="59" s="1"/>
  <c r="C68" i="59"/>
  <c r="D68" i="59" s="1"/>
  <c r="E68" i="59"/>
  <c r="E67" i="59" s="1"/>
  <c r="D69" i="59"/>
  <c r="E72" i="59"/>
  <c r="E71" i="59" s="1"/>
  <c r="C76" i="59"/>
  <c r="D76" i="59" s="1"/>
  <c r="C80" i="59"/>
  <c r="D80" i="59" s="1"/>
  <c r="U16" i="4"/>
  <c r="S16" i="4"/>
  <c r="Q16" i="4"/>
  <c r="O16" i="4"/>
  <c r="M16" i="4"/>
  <c r="L16" i="4" s="1"/>
  <c r="K16" i="4"/>
  <c r="C79" i="59"/>
  <c r="D79" i="59" s="1"/>
  <c r="C59" i="59"/>
  <c r="O59" i="59" s="1"/>
  <c r="O60" i="59"/>
  <c r="D60" i="59"/>
  <c r="C75" i="59"/>
  <c r="D75" i="59" s="1"/>
  <c r="C67" i="59"/>
  <c r="D67" i="59" s="1"/>
  <c r="N59" i="59"/>
  <c r="C57" i="59"/>
  <c r="D57" i="59" s="1"/>
  <c r="D56" i="59"/>
  <c r="C49" i="59"/>
  <c r="D49" i="59" s="1"/>
  <c r="D48" i="59"/>
  <c r="C37" i="59"/>
  <c r="D37" i="59" s="1"/>
  <c r="T37" i="59"/>
  <c r="T49" i="59"/>
  <c r="D59"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C21" i="21"/>
  <c r="Q27" i="40"/>
  <c r="Z27" i="40" s="1"/>
  <c r="D96" i="40"/>
  <c r="E96" i="40" s="1"/>
  <c r="F96" i="40" s="1"/>
  <c r="F27" i="40"/>
  <c r="AA27" i="40" s="1"/>
  <c r="Q31" i="39"/>
  <c r="Z31" i="39" s="1"/>
  <c r="D105" i="39"/>
  <c r="G20" i="20"/>
  <c r="B85" i="46" s="1"/>
  <c r="C22" i="20"/>
  <c r="B65" i="46" s="1"/>
  <c r="S18" i="36"/>
  <c r="S18" i="35"/>
  <c r="S21" i="37"/>
  <c r="C31" i="39"/>
  <c r="B74" i="46"/>
  <c r="E66" i="36"/>
  <c r="H18" i="35"/>
  <c r="J18" i="35"/>
  <c r="H21" i="37"/>
  <c r="J21" i="37"/>
  <c r="E84" i="34"/>
  <c r="F84" i="34" s="1"/>
  <c r="G84" i="34" s="1"/>
  <c r="J21" i="34"/>
  <c r="H21" i="34"/>
  <c r="F21" i="33"/>
  <c r="H21" i="33"/>
  <c r="J21" i="33"/>
  <c r="H27" i="40"/>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Z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c r="C62" i="39" s="1"/>
  <c r="H61" i="39"/>
  <c r="I61" i="39" s="1"/>
  <c r="C61" i="39" s="1"/>
  <c r="H60" i="39"/>
  <c r="I60" i="39" s="1"/>
  <c r="C60" i="39" s="1"/>
  <c r="L25" i="4"/>
  <c r="C145" i="21"/>
  <c r="J142" i="21"/>
  <c r="J140" i="21"/>
  <c r="K145" i="21" s="1"/>
  <c r="K139" i="21"/>
  <c r="M87" i="21"/>
  <c r="L87" i="21"/>
  <c r="K87" i="21"/>
  <c r="J87" i="21"/>
  <c r="I87" i="21"/>
  <c r="H87" i="21"/>
  <c r="G87" i="21"/>
  <c r="F87" i="21"/>
  <c r="E87" i="21"/>
  <c r="D87" i="21"/>
  <c r="G2" i="46"/>
  <c r="H17" i="46" s="1"/>
  <c r="G19" i="46"/>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S256" i="31" s="1"/>
  <c r="R257" i="31"/>
  <c r="R258" i="31"/>
  <c r="S258" i="31" s="1"/>
  <c r="R259" i="31"/>
  <c r="R260" i="31"/>
  <c r="S260" i="31" s="1"/>
  <c r="R261" i="31"/>
  <c r="R262" i="31"/>
  <c r="S262" i="31" s="1"/>
  <c r="R263" i="31"/>
  <c r="R264" i="31"/>
  <c r="S264" i="31" s="1"/>
  <c r="R265" i="31"/>
  <c r="R266" i="31"/>
  <c r="S266" i="31" s="1"/>
  <c r="R267" i="31"/>
  <c r="R268" i="31"/>
  <c r="S268" i="31" s="1"/>
  <c r="R269" i="31"/>
  <c r="R270" i="31"/>
  <c r="S270" i="31" s="1"/>
  <c r="R271" i="31"/>
  <c r="R272" i="31"/>
  <c r="S272" i="31" s="1"/>
  <c r="R273" i="31"/>
  <c r="R274" i="31"/>
  <c r="S274" i="31" s="1"/>
  <c r="R275" i="31"/>
  <c r="R276" i="31"/>
  <c r="S276" i="31" s="1"/>
  <c r="R277" i="31"/>
  <c r="R278" i="31"/>
  <c r="S278" i="31" s="1"/>
  <c r="R279" i="31"/>
  <c r="R280" i="31"/>
  <c r="S280" i="31" s="1"/>
  <c r="R281" i="31"/>
  <c r="R282" i="31"/>
  <c r="S282" i="31" s="1"/>
  <c r="R283" i="31"/>
  <c r="R284" i="31"/>
  <c r="S284" i="31" s="1"/>
  <c r="R285" i="31"/>
  <c r="R286" i="31"/>
  <c r="S286" i="31" s="1"/>
  <c r="R287" i="31"/>
  <c r="R288" i="31"/>
  <c r="S288" i="31" s="1"/>
  <c r="R289" i="31"/>
  <c r="R290" i="31"/>
  <c r="S290" i="31" s="1"/>
  <c r="R291" i="31"/>
  <c r="R292" i="31"/>
  <c r="S292" i="31" s="1"/>
  <c r="R293" i="31"/>
  <c r="R294" i="31"/>
  <c r="S294" i="31" s="1"/>
  <c r="R295" i="31"/>
  <c r="R296" i="31"/>
  <c r="S296" i="31" s="1"/>
  <c r="R297" i="31"/>
  <c r="R298" i="31"/>
  <c r="S298" i="31" s="1"/>
  <c r="R299" i="31"/>
  <c r="R300" i="31"/>
  <c r="S300" i="31" s="1"/>
  <c r="R301" i="31"/>
  <c r="R302" i="31"/>
  <c r="S302" i="31" s="1"/>
  <c r="R303" i="31"/>
  <c r="R304" i="31"/>
  <c r="S304" i="31" s="1"/>
  <c r="R305" i="31"/>
  <c r="R306" i="31"/>
  <c r="S306" i="31" s="1"/>
  <c r="R307" i="31"/>
  <c r="R308" i="31"/>
  <c r="S308" i="31" s="1"/>
  <c r="R309" i="31"/>
  <c r="R310" i="31"/>
  <c r="S310" i="31" s="1"/>
  <c r="R311" i="31"/>
  <c r="R312" i="31"/>
  <c r="S312" i="31" s="1"/>
  <c r="R313" i="31"/>
  <c r="R314" i="31"/>
  <c r="S314" i="31" s="1"/>
  <c r="R315" i="31"/>
  <c r="R316" i="31"/>
  <c r="S316" i="31" s="1"/>
  <c r="R317" i="31"/>
  <c r="R318" i="31"/>
  <c r="S318" i="31" s="1"/>
  <c r="R319" i="31"/>
  <c r="R320" i="31"/>
  <c r="S320" i="31" s="1"/>
  <c r="R321" i="31"/>
  <c r="R322" i="31"/>
  <c r="S322" i="31" s="1"/>
  <c r="R323" i="31"/>
  <c r="R324" i="31"/>
  <c r="S324" i="31" s="1"/>
  <c r="R325" i="31"/>
  <c r="R326" i="31"/>
  <c r="S326" i="31" s="1"/>
  <c r="R327" i="31"/>
  <c r="R328" i="31"/>
  <c r="S328" i="31" s="1"/>
  <c r="R329" i="31"/>
  <c r="R330" i="31"/>
  <c r="S330" i="31" s="1"/>
  <c r="R331" i="31"/>
  <c r="R332" i="31"/>
  <c r="S332" i="31" s="1"/>
  <c r="R333" i="31"/>
  <c r="R334" i="31"/>
  <c r="S334" i="31" s="1"/>
  <c r="R335" i="31"/>
  <c r="R336" i="31"/>
  <c r="S336" i="31" s="1"/>
  <c r="R337" i="31"/>
  <c r="R338" i="31"/>
  <c r="S338" i="31" s="1"/>
  <c r="R339" i="31"/>
  <c r="R340" i="31"/>
  <c r="S340" i="31" s="1"/>
  <c r="R341" i="31"/>
  <c r="R342" i="31"/>
  <c r="S342" i="31" s="1"/>
  <c r="R343" i="31"/>
  <c r="R344" i="31"/>
  <c r="S344" i="31" s="1"/>
  <c r="R345" i="31"/>
  <c r="R346" i="31"/>
  <c r="S346" i="31" s="1"/>
  <c r="R347" i="31"/>
  <c r="R348" i="31"/>
  <c r="S348" i="31" s="1"/>
  <c r="R349" i="31"/>
  <c r="R350" i="31"/>
  <c r="S350" i="31" s="1"/>
  <c r="R351" i="31"/>
  <c r="R352" i="31"/>
  <c r="S352" i="31" s="1"/>
  <c r="R353" i="31"/>
  <c r="R354" i="31"/>
  <c r="S354" i="31" s="1"/>
  <c r="R355" i="31"/>
  <c r="R356" i="31"/>
  <c r="S356" i="31" s="1"/>
  <c r="R357" i="31"/>
  <c r="R358" i="31"/>
  <c r="S358" i="31" s="1"/>
  <c r="R359" i="31"/>
  <c r="R360" i="31"/>
  <c r="S360" i="31" s="1"/>
  <c r="R361" i="31"/>
  <c r="R362" i="31"/>
  <c r="S362" i="31" s="1"/>
  <c r="R363" i="31"/>
  <c r="R364" i="31"/>
  <c r="S364" i="31" s="1"/>
  <c r="R365" i="31"/>
  <c r="R366" i="31"/>
  <c r="S366" i="31" s="1"/>
  <c r="R367" i="31"/>
  <c r="R368" i="31"/>
  <c r="S368" i="31" s="1"/>
  <c r="R369" i="31"/>
  <c r="R370" i="31"/>
  <c r="S370" i="31" s="1"/>
  <c r="R371" i="31"/>
  <c r="R372" i="31"/>
  <c r="S372" i="31" s="1"/>
  <c r="R373" i="31"/>
  <c r="R374" i="31"/>
  <c r="S374" i="31" s="1"/>
  <c r="R375" i="31"/>
  <c r="R376" i="31"/>
  <c r="S376" i="31" s="1"/>
  <c r="R377" i="31"/>
  <c r="R378" i="31"/>
  <c r="S378" i="31" s="1"/>
  <c r="R379" i="31"/>
  <c r="R380" i="31"/>
  <c r="S380" i="31" s="1"/>
  <c r="R381" i="31"/>
  <c r="R382" i="31"/>
  <c r="S382" i="31" s="1"/>
  <c r="R383" i="31"/>
  <c r="R384" i="31"/>
  <c r="S384" i="31" s="1"/>
  <c r="R385" i="31"/>
  <c r="R386" i="31"/>
  <c r="S386" i="31" s="1"/>
  <c r="R387" i="31"/>
  <c r="R388" i="31"/>
  <c r="S388" i="31" s="1"/>
  <c r="R389" i="31"/>
  <c r="R390" i="31"/>
  <c r="S390" i="31" s="1"/>
  <c r="R391" i="31"/>
  <c r="R392" i="31"/>
  <c r="S392" i="31" s="1"/>
  <c r="R393" i="31"/>
  <c r="R394" i="31"/>
  <c r="S394" i="31" s="1"/>
  <c r="R395" i="31"/>
  <c r="R396" i="31"/>
  <c r="S396" i="31" s="1"/>
  <c r="R397" i="31"/>
  <c r="R398" i="31"/>
  <c r="S398" i="31" s="1"/>
  <c r="R399" i="31"/>
  <c r="R400" i="31"/>
  <c r="S400" i="31" s="1"/>
  <c r="R401" i="31"/>
  <c r="R402" i="31"/>
  <c r="S402" i="31" s="1"/>
  <c r="R403" i="31"/>
  <c r="R404" i="31"/>
  <c r="S404" i="31" s="1"/>
  <c r="R405" i="31"/>
  <c r="R406" i="31"/>
  <c r="S406" i="31" s="1"/>
  <c r="R407" i="31"/>
  <c r="R408" i="31"/>
  <c r="S408" i="31" s="1"/>
  <c r="R409" i="31"/>
  <c r="R410" i="31"/>
  <c r="S410" i="31" s="1"/>
  <c r="R411" i="31"/>
  <c r="R412" i="31"/>
  <c r="S412" i="31" s="1"/>
  <c r="R413" i="31"/>
  <c r="R414" i="31"/>
  <c r="S414" i="31" s="1"/>
  <c r="R415" i="31"/>
  <c r="R416" i="31"/>
  <c r="S416" i="31" s="1"/>
  <c r="R417" i="31"/>
  <c r="R418" i="31"/>
  <c r="S418" i="31" s="1"/>
  <c r="R419" i="31"/>
  <c r="R420" i="31"/>
  <c r="S420" i="31" s="1"/>
  <c r="R421" i="31"/>
  <c r="R422" i="31"/>
  <c r="S422" i="31" s="1"/>
  <c r="R423" i="3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c r="J36" i="39"/>
  <c r="AC36" i="39"/>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G10" i="1"/>
  <c r="M19" i="15"/>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19" i="31"/>
  <c r="S317" i="31"/>
  <c r="S315" i="31"/>
  <c r="S313" i="31"/>
  <c r="S311" i="31"/>
  <c r="S309" i="31"/>
  <c r="S307" i="31"/>
  <c r="S305" i="31"/>
  <c r="S303" i="31"/>
  <c r="S301" i="31"/>
  <c r="S299" i="31"/>
  <c r="S297" i="31"/>
  <c r="S295" i="31"/>
  <c r="S293" i="31"/>
  <c r="S291" i="31"/>
  <c r="S289" i="31"/>
  <c r="S287" i="31"/>
  <c r="S285" i="31"/>
  <c r="S283" i="31"/>
  <c r="S281" i="31"/>
  <c r="S279" i="31"/>
  <c r="S277" i="31"/>
  <c r="S275" i="31"/>
  <c r="S273" i="31"/>
  <c r="S271" i="31"/>
  <c r="S269" i="31"/>
  <c r="S267" i="31"/>
  <c r="S265" i="31"/>
  <c r="S263" i="31"/>
  <c r="S261" i="31"/>
  <c r="S259" i="31"/>
  <c r="S257"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c r="G95" i="39" s="1"/>
  <c r="D93" i="39"/>
  <c r="E93" i="39" s="1"/>
  <c r="F93" i="39"/>
  <c r="G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W26" i="37" s="1"/>
  <c r="D79" i="37"/>
  <c r="E79" i="37" s="1"/>
  <c r="D75" i="37"/>
  <c r="E75" i="37" s="1"/>
  <c r="F75" i="37" s="1"/>
  <c r="D73" i="37"/>
  <c r="E73" i="37"/>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U34" i="36" s="1"/>
  <c r="D83" i="36"/>
  <c r="E83" i="36" s="1"/>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D62" i="36"/>
  <c r="E62" i="36"/>
  <c r="B59" i="36"/>
  <c r="B57" i="36"/>
  <c r="J12" i="36" s="1"/>
  <c r="B55" i="36"/>
  <c r="F54" i="36"/>
  <c r="G54" i="36" s="1"/>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J23" i="35" s="1"/>
  <c r="B57" i="35"/>
  <c r="B61" i="35"/>
  <c r="B59" i="35"/>
  <c r="H12" i="35" s="1"/>
  <c r="B131" i="34"/>
  <c r="B129" i="34"/>
  <c r="B127" i="34"/>
  <c r="B99" i="34"/>
  <c r="B97" i="34"/>
  <c r="B95" i="34"/>
  <c r="B93" i="34"/>
  <c r="B75" i="34"/>
  <c r="B73" i="34"/>
  <c r="B71" i="34"/>
  <c r="B130" i="33"/>
  <c r="B128" i="33"/>
  <c r="H45" i="33" s="1"/>
  <c r="U45" i="33" s="1"/>
  <c r="B126" i="33"/>
  <c r="B98" i="33"/>
  <c r="F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W8" i="35" s="1"/>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AA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S12" i="33" s="1"/>
  <c r="Q11" i="33"/>
  <c r="Z11" i="33" s="1"/>
  <c r="Q10" i="33"/>
  <c r="Z10" i="33" s="1"/>
  <c r="Q9" i="33"/>
  <c r="Z9" i="33" s="1"/>
  <c r="J9" i="33"/>
  <c r="AC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23" i="21" s="1"/>
  <c r="AA23" i="21" s="1"/>
  <c r="D81" i="21"/>
  <c r="E81" i="21" s="1"/>
  <c r="D77" i="21"/>
  <c r="E77" i="21" s="1"/>
  <c r="F15" i="21" s="1"/>
  <c r="B130" i="21"/>
  <c r="B128" i="21"/>
  <c r="B126" i="21"/>
  <c r="J44" i="21" s="1"/>
  <c r="AC44" i="21" s="1"/>
  <c r="B98" i="21"/>
  <c r="B96" i="21"/>
  <c r="F30" i="21" s="1"/>
  <c r="S30" i="21" s="1"/>
  <c r="B94" i="21"/>
  <c r="B92" i="21"/>
  <c r="J28" i="21" s="1"/>
  <c r="AC28" i="21" s="1"/>
  <c r="B90" i="21"/>
  <c r="B74" i="21"/>
  <c r="J14" i="21" s="1"/>
  <c r="B72" i="21"/>
  <c r="B70" i="21"/>
  <c r="F12" i="21" s="1"/>
  <c r="F10" i="21"/>
  <c r="AA10" i="21" s="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U8" i="21" s="1"/>
  <c r="H10" i="21"/>
  <c r="U10" i="21" s="1"/>
  <c r="H39" i="21"/>
  <c r="AB39" i="21" s="1"/>
  <c r="J34" i="21"/>
  <c r="W34" i="21" s="1"/>
  <c r="H36" i="21"/>
  <c r="U36" i="21" s="1"/>
  <c r="F35" i="21"/>
  <c r="AA35" i="21" s="1"/>
  <c r="J33" i="21"/>
  <c r="W33" i="21" s="1"/>
  <c r="H33" i="21"/>
  <c r="U33" i="21" s="1"/>
  <c r="F33" i="21"/>
  <c r="S33" i="21" s="1"/>
  <c r="J10" i="21"/>
  <c r="AC10" i="21" s="1"/>
  <c r="H26" i="21"/>
  <c r="J12" i="21"/>
  <c r="J26" i="21"/>
  <c r="W26" i="21" s="1"/>
  <c r="F26" i="21"/>
  <c r="AA26" i="21" s="1"/>
  <c r="AB41" i="21"/>
  <c r="S41" i="21"/>
  <c r="AA41" i="21"/>
  <c r="W41" i="21"/>
  <c r="S10" i="39"/>
  <c r="U30" i="37"/>
  <c r="E103" i="37"/>
  <c r="F103" i="37" s="1"/>
  <c r="F39" i="37"/>
  <c r="S39" i="37" s="1"/>
  <c r="W39" i="37"/>
  <c r="F29" i="36"/>
  <c r="AA29" i="36" s="1"/>
  <c r="F16" i="36"/>
  <c r="AA16" i="36" s="1"/>
  <c r="U22" i="36"/>
  <c r="W22" i="36"/>
  <c r="AC31" i="36"/>
  <c r="J33" i="36"/>
  <c r="W33" i="36" s="1"/>
  <c r="AC27" i="35"/>
  <c r="U31" i="35"/>
  <c r="W36" i="35"/>
  <c r="S31" i="35"/>
  <c r="W31" i="35"/>
  <c r="F36" i="34"/>
  <c r="S36" i="34" s="1"/>
  <c r="W9" i="34"/>
  <c r="S34" i="34"/>
  <c r="H39" i="33"/>
  <c r="AB39" i="33" s="1"/>
  <c r="F26" i="33"/>
  <c r="AA26" i="33" s="1"/>
  <c r="W38" i="33"/>
  <c r="S40" i="33"/>
  <c r="S33" i="33"/>
  <c r="W33" i="33"/>
  <c r="U38" i="33"/>
  <c r="H39" i="37"/>
  <c r="AB39" i="37" s="1"/>
  <c r="AB27" i="35"/>
  <c r="S10" i="40"/>
  <c r="W10" i="40"/>
  <c r="S11" i="40"/>
  <c r="U11" i="40"/>
  <c r="S36" i="40"/>
  <c r="U36" i="40"/>
  <c r="S36" i="39"/>
  <c r="F11" i="21"/>
  <c r="S11" i="21" s="1"/>
  <c r="AB36" i="21"/>
  <c r="AC35" i="21"/>
  <c r="C29" i="39"/>
  <c r="C23" i="39"/>
  <c r="U36" i="39"/>
  <c r="S42" i="39"/>
  <c r="H32" i="33"/>
  <c r="AB32" i="33" s="1"/>
  <c r="H11" i="21"/>
  <c r="U11" i="21" s="1"/>
  <c r="J11" i="21"/>
  <c r="W11" i="21" s="1"/>
  <c r="F100" i="40"/>
  <c r="F86" i="40"/>
  <c r="G86" i="40" s="1"/>
  <c r="AA12" i="33"/>
  <c r="J27" i="36"/>
  <c r="W27" i="36"/>
  <c r="J30" i="35"/>
  <c r="W30" i="35"/>
  <c r="F22" i="35"/>
  <c r="AA22" i="35"/>
  <c r="H10" i="35"/>
  <c r="U10" i="35"/>
  <c r="AC24" i="36"/>
  <c r="U29" i="36"/>
  <c r="U24" i="36"/>
  <c r="E85" i="36"/>
  <c r="F85" i="36" s="1"/>
  <c r="G85" i="36" s="1"/>
  <c r="H85" i="36" s="1"/>
  <c r="I85" i="36" s="1"/>
  <c r="J85" i="36" s="1"/>
  <c r="K85" i="36" s="1"/>
  <c r="L85" i="36" s="1"/>
  <c r="M85" i="36" s="1"/>
  <c r="J29" i="36"/>
  <c r="AC29" i="36"/>
  <c r="F12" i="36"/>
  <c r="S12" i="36"/>
  <c r="F24" i="36"/>
  <c r="AA24" i="36"/>
  <c r="F34" i="36"/>
  <c r="S34" i="36"/>
  <c r="S10" i="36"/>
  <c r="AB8" i="36"/>
  <c r="H16" i="35"/>
  <c r="U16" i="35" s="1"/>
  <c r="H33" i="35"/>
  <c r="AB33" i="35" s="1"/>
  <c r="AC8" i="35"/>
  <c r="F35" i="37"/>
  <c r="E101" i="37"/>
  <c r="F101" i="37" s="1"/>
  <c r="G101" i="37" s="1"/>
  <c r="H101" i="37" s="1"/>
  <c r="I101" i="37" s="1"/>
  <c r="J101" i="37" s="1"/>
  <c r="K101" i="37" s="1"/>
  <c r="L101" i="37" s="1"/>
  <c r="M101" i="37" s="1"/>
  <c r="J34" i="37"/>
  <c r="W34"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AB30" i="36"/>
  <c r="S22" i="35"/>
  <c r="H29" i="35"/>
  <c r="U34" i="37"/>
  <c r="S34" i="37"/>
  <c r="AA34" i="37"/>
  <c r="AC43" i="34"/>
  <c r="AB42"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F14" i="21"/>
  <c r="AA14" i="21" s="1"/>
  <c r="H14" i="21"/>
  <c r="U14" i="21" s="1"/>
  <c r="H28" i="21"/>
  <c r="AB28" i="21" s="1"/>
  <c r="F28" i="21"/>
  <c r="AA28" i="21" s="1"/>
  <c r="H30" i="21"/>
  <c r="U30" i="21" s="1"/>
  <c r="J30" i="21"/>
  <c r="AC30" i="21" s="1"/>
  <c r="H44" i="21"/>
  <c r="U44" i="21" s="1"/>
  <c r="H46" i="21"/>
  <c r="AB46" i="21" s="1"/>
  <c r="J46" i="21"/>
  <c r="W46" i="21" s="1"/>
  <c r="F46" i="21"/>
  <c r="AA46" i="21" s="1"/>
  <c r="H26" i="33"/>
  <c r="U26" i="33" s="1"/>
  <c r="H28" i="33"/>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J36" i="37"/>
  <c r="AC36" i="37" s="1"/>
  <c r="G105" i="37"/>
  <c r="AB28" i="36"/>
  <c r="AB31" i="21"/>
  <c r="AB13" i="21"/>
  <c r="U46" i="21"/>
  <c r="W30" i="21"/>
  <c r="S28" i="21"/>
  <c r="AB14" i="21"/>
  <c r="S46" i="33"/>
  <c r="U36" i="37"/>
  <c r="AB45" i="33"/>
  <c r="AB31" i="33"/>
  <c r="AA27" i="33"/>
  <c r="AB27" i="33"/>
  <c r="S45" i="21"/>
  <c r="U28" i="21"/>
  <c r="G529" i="3"/>
  <c r="G521" i="3"/>
  <c r="G517" i="3"/>
  <c r="G513" i="3"/>
  <c r="G508" i="3"/>
  <c r="G499" i="3"/>
  <c r="G493" i="3"/>
  <c r="G485" i="3"/>
  <c r="G17" i="3"/>
  <c r="G565" i="3"/>
  <c r="G561" i="3"/>
  <c r="G557" i="3"/>
  <c r="G549" i="3"/>
  <c r="G545" i="3"/>
  <c r="G539" i="3"/>
  <c r="BL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s="1"/>
  <c r="BQ562" i="3"/>
  <c r="BL562" i="3" s="1"/>
  <c r="BQ560" i="3"/>
  <c r="BL560" i="3" s="1"/>
  <c r="AZ560" i="3" s="1"/>
  <c r="BQ558" i="3"/>
  <c r="BL558" i="3" s="1"/>
  <c r="AZ558" i="3" s="1"/>
  <c r="BQ556" i="3"/>
  <c r="BL556" i="3" s="1"/>
  <c r="AZ556" i="3" s="1"/>
  <c r="BQ554" i="3"/>
  <c r="BQ552" i="3"/>
  <c r="BL552" i="3" s="1"/>
  <c r="BQ550" i="3"/>
  <c r="BL550" i="3" s="1"/>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K26" i="31"/>
  <c r="I27" i="31"/>
  <c r="K27" i="31"/>
  <c r="I28" i="31"/>
  <c r="K28" i="31"/>
  <c r="AC28" i="34"/>
  <c r="H25" i="21"/>
  <c r="U25" i="21" s="1"/>
  <c r="F25" i="21"/>
  <c r="S25" i="21" s="1"/>
  <c r="J25" i="21"/>
  <c r="AC25" i="21" s="1"/>
  <c r="E125" i="33"/>
  <c r="F125" i="33" s="1"/>
  <c r="G125" i="33" s="1"/>
  <c r="H43" i="33"/>
  <c r="U43" i="33"/>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S27" i="37"/>
  <c r="U39" i="37"/>
  <c r="AC8" i="37"/>
  <c r="AC36" i="34"/>
  <c r="AB8" i="34"/>
  <c r="AC37" i="33"/>
  <c r="AA13" i="33"/>
  <c r="AC45" i="33"/>
  <c r="AC33" i="21"/>
  <c r="AA36" i="21"/>
  <c r="S39" i="33"/>
  <c r="F43" i="33"/>
  <c r="AA43" i="33" s="1"/>
  <c r="AA23" i="37"/>
  <c r="AB44" i="33"/>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90" i="40" s="1"/>
  <c r="G90" i="40" s="1"/>
  <c r="F21" i="40"/>
  <c r="S21" i="40" s="1"/>
  <c r="W36" i="40"/>
  <c r="J21" i="40"/>
  <c r="AC21" i="40" s="1"/>
  <c r="G483" i="3"/>
  <c r="G515" i="3"/>
  <c r="G507" i="3"/>
  <c r="G501" i="3"/>
  <c r="BA15" i="3"/>
  <c r="BL17" i="3"/>
  <c r="BL15" i="3"/>
  <c r="BA14" i="3"/>
  <c r="AZ14" i="3" s="1"/>
  <c r="J57" i="39"/>
  <c r="H13" i="40"/>
  <c r="U13" i="40" s="1"/>
  <c r="H12" i="48"/>
  <c r="I4" i="4"/>
  <c r="K141" i="21"/>
  <c r="K143" i="21"/>
  <c r="K144" i="21"/>
  <c r="I59" i="40"/>
  <c r="C59" i="40"/>
  <c r="I60" i="40"/>
  <c r="C60" i="40"/>
  <c r="W9" i="33"/>
  <c r="G297" i="3"/>
  <c r="BL298" i="3"/>
  <c r="G299" i="3"/>
  <c r="BL300" i="3"/>
  <c r="BA302" i="3"/>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BA114" i="3"/>
  <c r="AZ114" i="3" s="1"/>
  <c r="BL115" i="3"/>
  <c r="G116" i="3"/>
  <c r="BA118" i="3"/>
  <c r="AZ118" i="3" s="1"/>
  <c r="BL119" i="3"/>
  <c r="AZ119" i="3" s="1"/>
  <c r="G120" i="3"/>
  <c r="BA122" i="3"/>
  <c r="AZ122" i="3" s="1"/>
  <c r="BL123" i="3"/>
  <c r="AZ123" i="3" s="1"/>
  <c r="G124" i="3"/>
  <c r="BA126" i="3"/>
  <c r="BL127" i="3"/>
  <c r="G128" i="3"/>
  <c r="BA130" i="3"/>
  <c r="AZ130" i="3" s="1"/>
  <c r="BL131" i="3"/>
  <c r="G132" i="3"/>
  <c r="BA134" i="3"/>
  <c r="BL135" i="3"/>
  <c r="AZ135" i="3" s="1"/>
  <c r="G136" i="3"/>
  <c r="BA138" i="3"/>
  <c r="BL139" i="3"/>
  <c r="AZ139" i="3" s="1"/>
  <c r="G140" i="3"/>
  <c r="BA142" i="3"/>
  <c r="BL143" i="3"/>
  <c r="AZ143" i="3" s="1"/>
  <c r="G144" i="3"/>
  <c r="BA146" i="3"/>
  <c r="BL147" i="3"/>
  <c r="G148" i="3"/>
  <c r="BA150" i="3"/>
  <c r="BL151" i="3"/>
  <c r="BA153" i="3"/>
  <c r="BL154" i="3"/>
  <c r="AZ154" i="3" s="1"/>
  <c r="G155" i="3"/>
  <c r="BA157" i="3"/>
  <c r="AZ157" i="3" s="1"/>
  <c r="BL158" i="3"/>
  <c r="G159" i="3"/>
  <c r="BA161" i="3"/>
  <c r="BL162" i="3"/>
  <c r="AZ162" i="3" s="1"/>
  <c r="G163" i="3"/>
  <c r="BA165" i="3"/>
  <c r="BL166" i="3"/>
  <c r="G167" i="3"/>
  <c r="BA169" i="3"/>
  <c r="BL170" i="3"/>
  <c r="G171" i="3"/>
  <c r="BA173" i="3"/>
  <c r="BL174" i="3"/>
  <c r="G175" i="3"/>
  <c r="BA178" i="3"/>
  <c r="BL179" i="3"/>
  <c r="G180" i="3"/>
  <c r="AZ23" i="3"/>
  <c r="AZ31" i="3"/>
  <c r="AZ39" i="3"/>
  <c r="AZ47" i="3"/>
  <c r="AZ55" i="3"/>
  <c r="G537" i="3"/>
  <c r="BL181" i="3"/>
  <c r="G182" i="3"/>
  <c r="BA184" i="3"/>
  <c r="AZ184" i="3" s="1"/>
  <c r="BL185" i="3"/>
  <c r="G186" i="3"/>
  <c r="BA188" i="3"/>
  <c r="AZ188" i="3" s="1"/>
  <c r="BL189" i="3"/>
  <c r="AZ189" i="3" s="1"/>
  <c r="G190" i="3"/>
  <c r="BA192" i="3"/>
  <c r="BL193" i="3"/>
  <c r="G194" i="3"/>
  <c r="BA196" i="3"/>
  <c r="AZ196" i="3" s="1"/>
  <c r="BL197" i="3"/>
  <c r="G198" i="3"/>
  <c r="BA200" i="3"/>
  <c r="AZ200" i="3" s="1"/>
  <c r="BL201" i="3"/>
  <c r="AZ70" i="3"/>
  <c r="AZ78" i="3"/>
  <c r="AZ90" i="3"/>
  <c r="AZ94" i="3"/>
  <c r="G491" i="3"/>
  <c r="BA298" i="3"/>
  <c r="AZ298" i="3" s="1"/>
  <c r="BA299" i="3"/>
  <c r="BL299" i="3"/>
  <c r="G300" i="3"/>
  <c r="G303" i="3"/>
  <c r="BL304" i="3"/>
  <c r="BA306" i="3"/>
  <c r="AZ306" i="3" s="1"/>
  <c r="BA307" i="3"/>
  <c r="BL307" i="3"/>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BL347" i="3"/>
  <c r="G348" i="3"/>
  <c r="G351" i="3"/>
  <c r="BL352" i="3"/>
  <c r="BA354" i="3"/>
  <c r="AZ354" i="3" s="1"/>
  <c r="BA355" i="3"/>
  <c r="BL355" i="3"/>
  <c r="G356" i="3"/>
  <c r="AZ127" i="3"/>
  <c r="BA358" i="3"/>
  <c r="BA359" i="3"/>
  <c r="BL359" i="3"/>
  <c r="G360" i="3"/>
  <c r="G361" i="3"/>
  <c r="BL362" i="3"/>
  <c r="BA364" i="3"/>
  <c r="BA365" i="3"/>
  <c r="AZ365" i="3"/>
  <c r="BL365" i="3"/>
  <c r="G366" i="3"/>
  <c r="G369" i="3"/>
  <c r="BL370" i="3"/>
  <c r="BA372" i="3"/>
  <c r="AZ372" i="3" s="1"/>
  <c r="BA373" i="3"/>
  <c r="BL373" i="3"/>
  <c r="AZ373" i="3"/>
  <c r="G374" i="3"/>
  <c r="G377" i="3"/>
  <c r="BL378" i="3"/>
  <c r="BA380" i="3"/>
  <c r="BA381" i="3"/>
  <c r="BL381" i="3"/>
  <c r="G382" i="3"/>
  <c r="G385" i="3"/>
  <c r="AZ158" i="3"/>
  <c r="AZ166" i="3"/>
  <c r="AZ170" i="3"/>
  <c r="AZ187" i="3"/>
  <c r="G523" i="3"/>
  <c r="BL297" i="3"/>
  <c r="G298" i="3"/>
  <c r="BA300" i="3"/>
  <c r="BL301" i="3"/>
  <c r="G302" i="3"/>
  <c r="BA304" i="3"/>
  <c r="AZ304" i="3" s="1"/>
  <c r="BL305" i="3"/>
  <c r="G306" i="3"/>
  <c r="BA308" i="3"/>
  <c r="BL309" i="3"/>
  <c r="G310" i="3"/>
  <c r="BA310" i="3"/>
  <c r="AZ310" i="3" s="1"/>
  <c r="BL311" i="3"/>
  <c r="AZ311" i="3" s="1"/>
  <c r="G312" i="3"/>
  <c r="BA312" i="3"/>
  <c r="AZ312" i="3" s="1"/>
  <c r="BL313" i="3"/>
  <c r="AZ313" i="3" s="1"/>
  <c r="G314" i="3"/>
  <c r="BA314" i="3"/>
  <c r="BL315" i="3"/>
  <c r="G316" i="3"/>
  <c r="BA316" i="3"/>
  <c r="BL317" i="3"/>
  <c r="G318" i="3"/>
  <c r="BA320" i="3"/>
  <c r="AZ320" i="3" s="1"/>
  <c r="BL321" i="3"/>
  <c r="G322" i="3"/>
  <c r="BA324" i="3"/>
  <c r="BL325" i="3"/>
  <c r="G326" i="3"/>
  <c r="BA328" i="3"/>
  <c r="AZ328" i="3" s="1"/>
  <c r="BL329" i="3"/>
  <c r="G330" i="3"/>
  <c r="BA332" i="3"/>
  <c r="BL333" i="3"/>
  <c r="G334" i="3"/>
  <c r="BA336" i="3"/>
  <c r="AZ336" i="3" s="1"/>
  <c r="BL337" i="3"/>
  <c r="AZ337" i="3" s="1"/>
  <c r="G338" i="3"/>
  <c r="BA340" i="3"/>
  <c r="BL341" i="3"/>
  <c r="AZ341" i="3" s="1"/>
  <c r="G342" i="3"/>
  <c r="BA344" i="3"/>
  <c r="AZ344" i="3" s="1"/>
  <c r="BL345" i="3"/>
  <c r="G346" i="3"/>
  <c r="BA348" i="3"/>
  <c r="AZ348" i="3" s="1"/>
  <c r="BL349" i="3"/>
  <c r="AZ349" i="3" s="1"/>
  <c r="G350" i="3"/>
  <c r="BA352" i="3"/>
  <c r="AZ352" i="3" s="1"/>
  <c r="BL353" i="3"/>
  <c r="G354" i="3"/>
  <c r="BA356" i="3"/>
  <c r="BL357" i="3"/>
  <c r="G358" i="3"/>
  <c r="BA362" i="3"/>
  <c r="AZ362" i="3" s="1"/>
  <c r="BL363" i="3"/>
  <c r="G364" i="3"/>
  <c r="BA366" i="3"/>
  <c r="BL367" i="3"/>
  <c r="AZ367" i="3" s="1"/>
  <c r="AZ229" i="3"/>
  <c r="AZ233" i="3"/>
  <c r="AZ245" i="3"/>
  <c r="AZ353" i="3"/>
  <c r="AZ363" i="3"/>
  <c r="G368" i="3"/>
  <c r="BA370" i="3"/>
  <c r="BL371" i="3"/>
  <c r="G372" i="3"/>
  <c r="BA374" i="3"/>
  <c r="AZ374" i="3" s="1"/>
  <c r="BL375" i="3"/>
  <c r="G376" i="3"/>
  <c r="BA378" i="3"/>
  <c r="AZ378" i="3" s="1"/>
  <c r="BL379" i="3"/>
  <c r="G380" i="3"/>
  <c r="BA382" i="3"/>
  <c r="BL383" i="3"/>
  <c r="G384" i="3"/>
  <c r="AZ249" i="3"/>
  <c r="AZ383" i="3"/>
  <c r="AZ282" i="3"/>
  <c r="AZ286" i="3"/>
  <c r="AZ303" i="3"/>
  <c r="AZ347" i="3"/>
  <c r="AZ385" i="3"/>
  <c r="AZ414" i="3"/>
  <c r="H7" i="48"/>
  <c r="F33" i="46"/>
  <c r="H16" i="48"/>
  <c r="H9" i="48"/>
  <c r="H8" i="48"/>
  <c r="C12" i="46"/>
  <c r="AB16" i="35"/>
  <c r="AA43" i="21"/>
  <c r="U43" i="21"/>
  <c r="AA13" i="40"/>
  <c r="E78" i="40"/>
  <c r="F78" i="40"/>
  <c r="G78" i="40" s="1"/>
  <c r="H78" i="40" s="1"/>
  <c r="I78" i="40" s="1"/>
  <c r="J78" i="40" s="1"/>
  <c r="K78" i="40" s="1"/>
  <c r="L78" i="40" s="1"/>
  <c r="M78" i="40" s="1"/>
  <c r="BH5" i="3"/>
  <c r="R16" i="4"/>
  <c r="P16" i="4"/>
  <c r="D3" i="35"/>
  <c r="G4" i="4"/>
  <c r="S37" i="34"/>
  <c r="J16" i="35"/>
  <c r="W16" i="35" s="1"/>
  <c r="AC26" i="36"/>
  <c r="W25" i="35"/>
  <c r="AZ300" i="3"/>
  <c r="AZ322" i="3"/>
  <c r="H13" i="39"/>
  <c r="AB13" i="39" s="1"/>
  <c r="F13" i="39"/>
  <c r="J13" i="39"/>
  <c r="AC13" i="39" s="1"/>
  <c r="AA36" i="35"/>
  <c r="H11" i="37"/>
  <c r="AB11" i="37" s="1"/>
  <c r="W37" i="37"/>
  <c r="AA36" i="37"/>
  <c r="U32" i="33"/>
  <c r="AB17" i="37"/>
  <c r="AC29" i="33"/>
  <c r="AA45" i="33"/>
  <c r="AC11" i="36"/>
  <c r="AC10" i="36"/>
  <c r="AB45" i="34"/>
  <c r="AC14" i="37"/>
  <c r="AB35" i="35"/>
  <c r="W44" i="33"/>
  <c r="W30" i="33"/>
  <c r="AC29" i="37"/>
  <c r="W32" i="36"/>
  <c r="AC32" i="36"/>
  <c r="U28" i="33"/>
  <c r="AB28" i="33"/>
  <c r="J33" i="34"/>
  <c r="AC33" i="34" s="1"/>
  <c r="AB36" i="34"/>
  <c r="J40" i="34"/>
  <c r="W40" i="34" s="1"/>
  <c r="F16" i="35"/>
  <c r="AA16" i="35" s="1"/>
  <c r="S24" i="36"/>
  <c r="W42" i="33"/>
  <c r="J35" i="34"/>
  <c r="W35" i="34" s="1"/>
  <c r="F107" i="34"/>
  <c r="G107" i="34" s="1"/>
  <c r="H107" i="34" s="1"/>
  <c r="I107" i="34"/>
  <c r="J107" i="34" s="1"/>
  <c r="K107" i="34" s="1"/>
  <c r="L107" i="34" s="1"/>
  <c r="M107" i="34" s="1"/>
  <c r="S30" i="36"/>
  <c r="H16" i="36"/>
  <c r="AB16" i="36" s="1"/>
  <c r="G103" i="37"/>
  <c r="H103" i="37" s="1"/>
  <c r="I103" i="37"/>
  <c r="J103" i="37" s="1"/>
  <c r="K103" i="37" s="1"/>
  <c r="L103" i="37" s="1"/>
  <c r="M103" i="37" s="1"/>
  <c r="H35" i="37"/>
  <c r="AB35" i="37"/>
  <c r="S26" i="21"/>
  <c r="H32" i="21"/>
  <c r="U32" i="21" s="1"/>
  <c r="AB26" i="21"/>
  <c r="U26" i="21"/>
  <c r="AA33" i="21"/>
  <c r="U39" i="21"/>
  <c r="J32" i="21"/>
  <c r="AC32" i="21" s="1"/>
  <c r="G13" i="3"/>
  <c r="AC5" i="3"/>
  <c r="H17" i="21"/>
  <c r="AB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W43" i="39" s="1"/>
  <c r="F99" i="37"/>
  <c r="AC27" i="37"/>
  <c r="U25" i="35"/>
  <c r="S45" i="34"/>
  <c r="U31" i="34"/>
  <c r="AC40" i="37"/>
  <c r="W40" i="37"/>
  <c r="W27" i="33"/>
  <c r="S28" i="33"/>
  <c r="S14" i="21"/>
  <c r="AA44" i="34"/>
  <c r="AB29" i="35"/>
  <c r="U29" i="35"/>
  <c r="AC19" i="33"/>
  <c r="W19" i="33"/>
  <c r="U43" i="34"/>
  <c r="AB43" i="34"/>
  <c r="AC34" i="37"/>
  <c r="S35" i="37"/>
  <c r="AA35" i="37"/>
  <c r="AB10" i="35"/>
  <c r="AA32" i="21"/>
  <c r="U38" i="21"/>
  <c r="AB34" i="21"/>
  <c r="BL571" i="3"/>
  <c r="BA571" i="3"/>
  <c r="BL570" i="3"/>
  <c r="BE5" i="3"/>
  <c r="AB40" i="33"/>
  <c r="U40" i="33"/>
  <c r="AA35" i="34"/>
  <c r="S35" i="34"/>
  <c r="E90" i="34"/>
  <c r="H27" i="34"/>
  <c r="AB27" i="34" s="1"/>
  <c r="AB8" i="35"/>
  <c r="U8"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AZ538" i="3" s="1"/>
  <c r="BL537" i="3"/>
  <c r="BA537" i="3"/>
  <c r="BL536" i="3"/>
  <c r="AZ536" i="3" s="1"/>
  <c r="BA535" i="3"/>
  <c r="AZ535" i="3" s="1"/>
  <c r="BA534" i="3"/>
  <c r="BA533" i="3"/>
  <c r="AZ533" i="3" s="1"/>
  <c r="BL531" i="3"/>
  <c r="AZ531" i="3" s="1"/>
  <c r="BL530" i="3"/>
  <c r="BA530" i="3"/>
  <c r="BL529" i="3"/>
  <c r="BA529" i="3"/>
  <c r="BL528" i="3"/>
  <c r="AZ528" i="3" s="1"/>
  <c r="BA527" i="3"/>
  <c r="AZ527" i="3" s="1"/>
  <c r="BA526" i="3"/>
  <c r="BA525" i="3"/>
  <c r="AZ525" i="3" s="1"/>
  <c r="BL523" i="3"/>
  <c r="BA523" i="3"/>
  <c r="AZ523" i="3"/>
  <c r="BL522" i="3"/>
  <c r="BA522" i="3"/>
  <c r="AZ522" i="3" s="1"/>
  <c r="BL521" i="3"/>
  <c r="AZ521" i="3" s="1"/>
  <c r="BA519" i="3"/>
  <c r="AZ519" i="3" s="1"/>
  <c r="BL518" i="3"/>
  <c r="BA518" i="3"/>
  <c r="AZ518" i="3" s="1"/>
  <c r="BL517" i="3"/>
  <c r="BA517" i="3"/>
  <c r="BL515" i="3"/>
  <c r="BA515" i="3"/>
  <c r="BA514" i="3"/>
  <c r="BL513" i="3"/>
  <c r="BA513" i="3"/>
  <c r="BL512" i="3"/>
  <c r="AZ512" i="3" s="1"/>
  <c r="BA511" i="3"/>
  <c r="AZ511" i="3" s="1"/>
  <c r="BA510" i="3"/>
  <c r="AZ510" i="3" s="1"/>
  <c r="BL509" i="3"/>
  <c r="AZ509" i="3" s="1"/>
  <c r="BL507" i="3"/>
  <c r="BA507" i="3"/>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BL487" i="3"/>
  <c r="AZ487" i="3"/>
  <c r="BL486" i="3"/>
  <c r="BA486" i="3"/>
  <c r="BA485" i="3"/>
  <c r="AZ485" i="3"/>
  <c r="BA483" i="3"/>
  <c r="AZ483" i="3"/>
  <c r="BA482" i="3"/>
  <c r="AZ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c r="AC30" i="40" s="1"/>
  <c r="F38" i="40"/>
  <c r="AA38" i="40" s="1"/>
  <c r="AA36" i="34"/>
  <c r="AC12" i="21"/>
  <c r="W12" i="21"/>
  <c r="S35" i="21"/>
  <c r="AB10" i="21"/>
  <c r="AB8" i="21"/>
  <c r="AC36"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78" i="34" s="1"/>
  <c r="G78" i="34" s="1"/>
  <c r="F15" i="34"/>
  <c r="AC28" i="35"/>
  <c r="W28" i="35"/>
  <c r="J20" i="35"/>
  <c r="AC20" i="35" s="1"/>
  <c r="E72" i="35"/>
  <c r="F72" i="35" s="1"/>
  <c r="G72" i="35" s="1"/>
  <c r="H22" i="35"/>
  <c r="AB22" i="35" s="1"/>
  <c r="H23" i="35"/>
  <c r="AB23" i="35" s="1"/>
  <c r="F23" i="35"/>
  <c r="AA23" i="35" s="1"/>
  <c r="AB36" i="35"/>
  <c r="U36" i="35"/>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s="1"/>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15" i="3"/>
  <c r="B41" i="1"/>
  <c r="J42" i="40"/>
  <c r="AC42" i="40" s="1"/>
  <c r="J40" i="40"/>
  <c r="AC40" i="40" s="1"/>
  <c r="J34" i="40"/>
  <c r="AC34" i="40" s="1"/>
  <c r="H16" i="40"/>
  <c r="AB16" i="40" s="1"/>
  <c r="H14" i="40"/>
  <c r="U14" i="40" s="1"/>
  <c r="F32" i="40"/>
  <c r="AA32" i="40" s="1"/>
  <c r="AZ452" i="3"/>
  <c r="M1" i="46"/>
  <c r="M6" i="46"/>
  <c r="M10" i="46"/>
  <c r="N2" i="46"/>
  <c r="N5" i="46"/>
  <c r="F58" i="46"/>
  <c r="H61" i="46" s="1"/>
  <c r="N7" i="46"/>
  <c r="AZ231" i="3"/>
  <c r="AZ247" i="3"/>
  <c r="AZ252" i="3"/>
  <c r="AZ281" i="3"/>
  <c r="AZ284" i="3"/>
  <c r="AZ121" i="3"/>
  <c r="M7" i="46"/>
  <c r="M11" i="46"/>
  <c r="N3" i="46"/>
  <c r="N6" i="46"/>
  <c r="N10" i="46"/>
  <c r="F69" i="46"/>
  <c r="H71" i="46"/>
  <c r="AZ32" i="3"/>
  <c r="AZ48" i="3"/>
  <c r="AZ63" i="3"/>
  <c r="AZ79" i="3"/>
  <c r="J13" i="40"/>
  <c r="W13" i="40" s="1"/>
  <c r="W40" i="40"/>
  <c r="F27" i="43"/>
  <c r="F71" i="9"/>
  <c r="S33" i="40"/>
  <c r="S47" i="39"/>
  <c r="AB37" i="34"/>
  <c r="W41" i="40"/>
  <c r="J23" i="40"/>
  <c r="AC23" i="40" s="1"/>
  <c r="F23" i="40"/>
  <c r="S23" i="40" s="1"/>
  <c r="AC15" i="40"/>
  <c r="W15" i="40"/>
  <c r="AB16" i="39"/>
  <c r="W14" i="39"/>
  <c r="U23" i="35"/>
  <c r="H20" i="35"/>
  <c r="AB20" i="35" s="1"/>
  <c r="F20" i="35"/>
  <c r="S20" i="35" s="1"/>
  <c r="H15" i="34"/>
  <c r="AB15" i="34" s="1"/>
  <c r="J15" i="34"/>
  <c r="AC15" i="34" s="1"/>
  <c r="H41" i="33"/>
  <c r="U41" i="33" s="1"/>
  <c r="F30" i="40"/>
  <c r="AA30" i="40" s="1"/>
  <c r="H100" i="40"/>
  <c r="I100" i="40" s="1"/>
  <c r="J100" i="40" s="1"/>
  <c r="K100" i="40" s="1"/>
  <c r="L100" i="40" s="1"/>
  <c r="M100" i="40" s="1"/>
  <c r="AB38" i="34"/>
  <c r="AZ486" i="3"/>
  <c r="AZ497" i="3"/>
  <c r="AZ504" i="3"/>
  <c r="AZ529" i="3"/>
  <c r="AZ530" i="3"/>
  <c r="AZ537" i="3"/>
  <c r="AZ547" i="3"/>
  <c r="AZ548" i="3"/>
  <c r="AZ549" i="3"/>
  <c r="AB37" i="39"/>
  <c r="AA29" i="35"/>
  <c r="U39" i="39"/>
  <c r="J29" i="39"/>
  <c r="AC29" i="39" s="1"/>
  <c r="AB21" i="39"/>
  <c r="U21" i="39"/>
  <c r="AB33" i="36"/>
  <c r="AA11" i="36"/>
  <c r="AA14" i="35"/>
  <c r="G99" i="37"/>
  <c r="F33" i="37"/>
  <c r="U46" i="34"/>
  <c r="AC30" i="34"/>
  <c r="AA14" i="34"/>
  <c r="W12" i="34"/>
  <c r="U29" i="33"/>
  <c r="AC13" i="33"/>
  <c r="U17" i="34"/>
  <c r="AA11" i="34"/>
  <c r="W32" i="33"/>
  <c r="H15" i="33"/>
  <c r="U15" i="33" s="1"/>
  <c r="AA11" i="33"/>
  <c r="AA40" i="21"/>
  <c r="S13" i="39"/>
  <c r="AA13" i="39"/>
  <c r="W34" i="40"/>
  <c r="AB42" i="40"/>
  <c r="U42" i="40"/>
  <c r="AC16" i="40"/>
  <c r="W32" i="40"/>
  <c r="H25" i="40"/>
  <c r="AB25" i="40" s="1"/>
  <c r="F94" i="40"/>
  <c r="G94" i="40" s="1"/>
  <c r="U47" i="39"/>
  <c r="W15" i="39"/>
  <c r="J37" i="34"/>
  <c r="AC37" i="34" s="1"/>
  <c r="J36" i="33"/>
  <c r="W36" i="33" s="1"/>
  <c r="S41" i="40"/>
  <c r="H23" i="39"/>
  <c r="AB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S17" i="39"/>
  <c r="F80" i="35"/>
  <c r="G80" i="35" s="1"/>
  <c r="H80" i="35" s="1"/>
  <c r="I80" i="35" s="1"/>
  <c r="J80" i="35" s="1"/>
  <c r="K80" i="35" s="1"/>
  <c r="L80" i="35" s="1"/>
  <c r="M80" i="35" s="1"/>
  <c r="W14" i="35"/>
  <c r="F90" i="34"/>
  <c r="G90" i="34" s="1"/>
  <c r="H90" i="34" s="1"/>
  <c r="I90" i="34" s="1"/>
  <c r="J90" i="34" s="1"/>
  <c r="K90" i="34" s="1"/>
  <c r="L90" i="34" s="1"/>
  <c r="M90" i="34" s="1"/>
  <c r="F27" i="34"/>
  <c r="S27" i="34" s="1"/>
  <c r="AC43" i="39"/>
  <c r="S43"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H11" i="33"/>
  <c r="U11" i="33" s="1"/>
  <c r="H10" i="33"/>
  <c r="U10" i="33" s="1"/>
  <c r="I66" i="33"/>
  <c r="J10" i="33"/>
  <c r="AC10" i="33" s="1"/>
  <c r="U11" i="37"/>
  <c r="U13" i="39"/>
  <c r="AC16" i="35"/>
  <c r="AC13" i="40"/>
  <c r="J11" i="34"/>
  <c r="W11" i="34" s="1"/>
  <c r="F25" i="40"/>
  <c r="AA25" i="40" s="1"/>
  <c r="J11" i="33"/>
  <c r="W11" i="33" s="1"/>
  <c r="H33" i="37"/>
  <c r="AB33" i="37" s="1"/>
  <c r="W15" i="34"/>
  <c r="U20" i="35"/>
  <c r="W23" i="40"/>
  <c r="AP11" i="1"/>
  <c r="B11" i="1"/>
  <c r="E11" i="1" s="1"/>
  <c r="K11" i="1"/>
  <c r="M11" i="1" s="1"/>
  <c r="O11" i="1" s="1"/>
  <c r="B9" i="1"/>
  <c r="E9" i="1" s="1"/>
  <c r="K9" i="1"/>
  <c r="M9" i="1" s="1"/>
  <c r="O9" i="1" s="1"/>
  <c r="B7" i="1"/>
  <c r="E7" i="1" s="1"/>
  <c r="K7" i="1"/>
  <c r="M7" i="1" s="1"/>
  <c r="O7" i="1" s="1"/>
  <c r="C20" i="43"/>
  <c r="F6" i="1"/>
  <c r="AP6" i="1" s="1"/>
  <c r="G11" i="1"/>
  <c r="M22" i="44"/>
  <c r="F32" i="15"/>
  <c r="F59" i="15" s="1"/>
  <c r="F29" i="12"/>
  <c r="F70" i="9"/>
  <c r="D86" i="9"/>
  <c r="M20" i="44"/>
  <c r="F31" i="43"/>
  <c r="F30" i="44"/>
  <c r="AC25" i="36"/>
  <c r="S8" i="36"/>
  <c r="AA26" i="36"/>
  <c r="AA28" i="36"/>
  <c r="U25" i="36"/>
  <c r="H20" i="36"/>
  <c r="U20" i="36" s="1"/>
  <c r="F68" i="36"/>
  <c r="G68" i="36" s="1"/>
  <c r="J20" i="36"/>
  <c r="AC20" i="36" s="1"/>
  <c r="F20" i="36"/>
  <c r="S20" i="36" s="1"/>
  <c r="F62" i="36"/>
  <c r="G62" i="36" s="1"/>
  <c r="J14" i="36"/>
  <c r="H14" i="36"/>
  <c r="U14" i="36" s="1"/>
  <c r="F14" i="36"/>
  <c r="AA14" i="36" s="1"/>
  <c r="W20" i="36"/>
  <c r="U27" i="36"/>
  <c r="U32" i="36"/>
  <c r="U9" i="36"/>
  <c r="S33" i="36"/>
  <c r="AA27" i="36"/>
  <c r="S16" i="36"/>
  <c r="S29" i="36"/>
  <c r="AC33" i="35"/>
  <c r="AA13" i="35"/>
  <c r="AC9" i="35"/>
  <c r="S8" i="35"/>
  <c r="U33" i="35"/>
  <c r="AA20" i="35"/>
  <c r="S23" i="35"/>
  <c r="S16" i="35"/>
  <c r="AB14" i="35"/>
  <c r="AC10" i="35"/>
  <c r="U9" i="35"/>
  <c r="W13" i="35"/>
  <c r="AC18" i="35"/>
  <c r="W18" i="35"/>
  <c r="U18" i="35"/>
  <c r="AB18" i="35"/>
  <c r="S30" i="35"/>
  <c r="AA35" i="35"/>
  <c r="AB30" i="35"/>
  <c r="S27" i="35"/>
  <c r="S28" i="35"/>
  <c r="J26" i="35"/>
  <c r="F26" i="35"/>
  <c r="AA26" i="35" s="1"/>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AB19" i="37" s="1"/>
  <c r="J17" i="37"/>
  <c r="S15" i="37"/>
  <c r="AC10" i="37"/>
  <c r="AC21" i="37"/>
  <c r="W21" i="37"/>
  <c r="AC11" i="37"/>
  <c r="AC9" i="37"/>
  <c r="W32" i="37"/>
  <c r="U35" i="37"/>
  <c r="U8" i="37"/>
  <c r="AB21" i="37"/>
  <c r="U21" i="37"/>
  <c r="S37" i="37"/>
  <c r="S40" i="37"/>
  <c r="AA11" i="37"/>
  <c r="S10" i="37"/>
  <c r="W46" i="34"/>
  <c r="AC45" i="34"/>
  <c r="AA40" i="34"/>
  <c r="W33" i="34"/>
  <c r="U30" i="34"/>
  <c r="S32" i="34"/>
  <c r="AB33" i="34"/>
  <c r="AA12" i="34"/>
  <c r="AA30" i="34"/>
  <c r="AC32" i="34"/>
  <c r="AA33" i="34"/>
  <c r="U44" i="34"/>
  <c r="U34" i="34"/>
  <c r="U28" i="34"/>
  <c r="AA27" i="34"/>
  <c r="J25" i="34"/>
  <c r="H25" i="34"/>
  <c r="U25" i="34" s="1"/>
  <c r="F25" i="34"/>
  <c r="J23" i="34"/>
  <c r="AC23" i="34" s="1"/>
  <c r="F86" i="34"/>
  <c r="G86" i="34" s="1"/>
  <c r="F23" i="34"/>
  <c r="AA23" i="34" s="1"/>
  <c r="H23" i="34"/>
  <c r="W17" i="34"/>
  <c r="U11" i="34"/>
  <c r="W10" i="34"/>
  <c r="U10" i="34"/>
  <c r="AC40" i="34"/>
  <c r="W44" i="34"/>
  <c r="W19" i="34"/>
  <c r="W29" i="34"/>
  <c r="AC21" i="34"/>
  <c r="W21" i="34"/>
  <c r="U15" i="34"/>
  <c r="AB21" i="34"/>
  <c r="U21" i="34"/>
  <c r="U19" i="34"/>
  <c r="AB41" i="34"/>
  <c r="S13" i="34"/>
  <c r="AA41" i="34"/>
  <c r="S9" i="34"/>
  <c r="S10" i="34"/>
  <c r="U39" i="33"/>
  <c r="U37" i="33"/>
  <c r="S35" i="33"/>
  <c r="AB41" i="33"/>
  <c r="U36" i="33"/>
  <c r="AC35" i="33"/>
  <c r="S29" i="33"/>
  <c r="W31" i="33"/>
  <c r="W43" i="33"/>
  <c r="U46" i="33"/>
  <c r="W39" i="33"/>
  <c r="U35" i="33"/>
  <c r="W26" i="33"/>
  <c r="AB26" i="33"/>
  <c r="H25" i="33"/>
  <c r="AB25" i="33" s="1"/>
  <c r="J25" i="33"/>
  <c r="W25" i="33" s="1"/>
  <c r="F87" i="33"/>
  <c r="G87" i="33" s="1"/>
  <c r="H87" i="33" s="1"/>
  <c r="I87" i="33" s="1"/>
  <c r="J87" i="33" s="1"/>
  <c r="K87" i="33" s="1"/>
  <c r="L87" i="33" s="1"/>
  <c r="M87" i="33" s="1"/>
  <c r="F25" i="33"/>
  <c r="F85" i="33"/>
  <c r="G85" i="33" s="1"/>
  <c r="J23" i="33"/>
  <c r="W23" i="33" s="1"/>
  <c r="F23" i="33"/>
  <c r="H23" i="33"/>
  <c r="U23" i="33" s="1"/>
  <c r="U19" i="33"/>
  <c r="F79" i="33"/>
  <c r="G79" i="33" s="1"/>
  <c r="F17" i="33"/>
  <c r="AA17" i="33" s="1"/>
  <c r="H17" i="33"/>
  <c r="J17" i="33"/>
  <c r="W17" i="33" s="1"/>
  <c r="AB15" i="33"/>
  <c r="AC11" i="33"/>
  <c r="S14" i="33"/>
  <c r="W10" i="33"/>
  <c r="AC21" i="33"/>
  <c r="W21" i="33"/>
  <c r="W14" i="33"/>
  <c r="AB10" i="33"/>
  <c r="AB21" i="33"/>
  <c r="U21" i="33"/>
  <c r="AA21" i="33"/>
  <c r="S21" i="33"/>
  <c r="AA44" i="33"/>
  <c r="AA36" i="33"/>
  <c r="W39" i="21"/>
  <c r="AC34" i="21"/>
  <c r="U35" i="21"/>
  <c r="W43" i="21"/>
  <c r="AB32" i="21"/>
  <c r="W28" i="21"/>
  <c r="AC46" i="21"/>
  <c r="AC26" i="21"/>
  <c r="F85" i="21"/>
  <c r="G85" i="21" s="1"/>
  <c r="J23" i="21"/>
  <c r="W23" i="21" s="1"/>
  <c r="H23" i="21"/>
  <c r="AB23" i="21" s="1"/>
  <c r="F77" i="21"/>
  <c r="G77" i="21" s="1"/>
  <c r="J15" i="21"/>
  <c r="AC15" i="21" s="1"/>
  <c r="AC11" i="21"/>
  <c r="AB11" i="21"/>
  <c r="W13" i="21"/>
  <c r="AA11" i="21"/>
  <c r="W44" i="21"/>
  <c r="W10" i="21"/>
  <c r="AC38" i="21"/>
  <c r="AB29" i="21"/>
  <c r="AA30" i="21"/>
  <c r="AA31" i="21"/>
  <c r="W33" i="40"/>
  <c r="U33" i="40"/>
  <c r="S35" i="40"/>
  <c r="U15" i="40"/>
  <c r="S14" i="40"/>
  <c r="S15" i="40"/>
  <c r="AB13" i="40"/>
  <c r="S16" i="40"/>
  <c r="W11" i="40"/>
  <c r="AA21" i="40"/>
  <c r="U21" i="40"/>
  <c r="W25" i="40"/>
  <c r="W42" i="40"/>
  <c r="F37" i="40"/>
  <c r="AA37" i="40" s="1"/>
  <c r="J37" i="40"/>
  <c r="AC37" i="40"/>
  <c r="H37" i="40"/>
  <c r="G113" i="40"/>
  <c r="H113" i="40" s="1"/>
  <c r="I113" i="40" s="1"/>
  <c r="J113" i="40" s="1"/>
  <c r="K113" i="40" s="1"/>
  <c r="L113" i="40" s="1"/>
  <c r="M113" i="40" s="1"/>
  <c r="F39" i="40"/>
  <c r="S38" i="40"/>
  <c r="H39" i="40"/>
  <c r="J39" i="40"/>
  <c r="AC39" i="40" s="1"/>
  <c r="W38" i="40"/>
  <c r="F29" i="40"/>
  <c r="AA29" i="40" s="1"/>
  <c r="H29" i="40"/>
  <c r="J29" i="40"/>
  <c r="AC29" i="40" s="1"/>
  <c r="F98" i="40"/>
  <c r="G98" i="40"/>
  <c r="H98" i="40" s="1"/>
  <c r="I98" i="40" s="1"/>
  <c r="J98" i="40" s="1"/>
  <c r="K98" i="40" s="1"/>
  <c r="L98" i="40" s="1"/>
  <c r="M98" i="40" s="1"/>
  <c r="S30" i="40"/>
  <c r="S25" i="40"/>
  <c r="F88" i="40"/>
  <c r="G88" i="40" s="1"/>
  <c r="F19" i="40"/>
  <c r="H19" i="40"/>
  <c r="AB19" i="40" s="1"/>
  <c r="J19" i="40"/>
  <c r="W17" i="40"/>
  <c r="AC17" i="40"/>
  <c r="F17" i="40"/>
  <c r="AA17" i="40" s="1"/>
  <c r="H17" i="40"/>
  <c r="AB17" i="40" s="1"/>
  <c r="W21" i="40"/>
  <c r="U10" i="40"/>
  <c r="U27" i="40"/>
  <c r="AB27" i="40"/>
  <c r="W13" i="39"/>
  <c r="S11" i="39"/>
  <c r="AA21" i="39"/>
  <c r="AC38" i="39"/>
  <c r="S14" i="39"/>
  <c r="AB15" i="39"/>
  <c r="U11" i="39"/>
  <c r="S38" i="39"/>
  <c r="M20" i="15"/>
  <c r="D96" i="9"/>
  <c r="F28" i="15"/>
  <c r="M18" i="15"/>
  <c r="A18" i="64"/>
  <c r="B74" i="63"/>
  <c r="C53" i="10"/>
  <c r="A25" i="64" s="1"/>
  <c r="A18" i="51"/>
  <c r="B14" i="63" s="1"/>
  <c r="BA16" i="3"/>
  <c r="BA17" i="3"/>
  <c r="AZ17" i="3" s="1"/>
  <c r="F3" i="35"/>
  <c r="K1" i="43"/>
  <c r="K1" i="12"/>
  <c r="G1" i="44"/>
  <c r="I4" i="6"/>
  <c r="G3" i="46"/>
  <c r="Y11" i="46" s="1"/>
  <c r="Y13" i="46" s="1"/>
  <c r="AZ15" i="3"/>
  <c r="BK5" i="3"/>
  <c r="BO5" i="3"/>
  <c r="BP5" i="3"/>
  <c r="BN5" i="3"/>
  <c r="BL18" i="3"/>
  <c r="AZ18" i="3" s="1"/>
  <c r="BC5" i="3"/>
  <c r="BD5" i="3"/>
  <c r="BR5" i="3"/>
  <c r="BS5" i="3"/>
  <c r="BQ5" i="3"/>
  <c r="BL16" i="3"/>
  <c r="BM5" i="3"/>
  <c r="BA13" i="3"/>
  <c r="G28" i="12"/>
  <c r="G22" i="43"/>
  <c r="G26" i="12"/>
  <c r="D24" i="44"/>
  <c r="D26" i="44"/>
  <c r="G27" i="12"/>
  <c r="G23" i="43"/>
  <c r="G21" i="43"/>
  <c r="N8" i="46"/>
  <c r="N4" i="46"/>
  <c r="N1" i="46"/>
  <c r="F47" i="46"/>
  <c r="H53"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A4" i="64"/>
  <c r="A4" i="51"/>
  <c r="C51" i="10"/>
  <c r="A9" i="51"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s="1"/>
  <c r="K5" i="54"/>
  <c r="T41" i="4"/>
  <c r="A17" i="64" s="1"/>
  <c r="B46" i="50"/>
  <c r="B4" i="63" s="1"/>
  <c r="C46" i="36"/>
  <c r="D46" i="36" s="1"/>
  <c r="E46" i="36" s="1"/>
  <c r="F46" i="36" s="1"/>
  <c r="G46" i="36" s="1"/>
  <c r="H46" i="36" s="1"/>
  <c r="O19" i="46"/>
  <c r="H86" i="46"/>
  <c r="H82" i="46"/>
  <c r="H10" i="48"/>
  <c r="H87" i="46"/>
  <c r="H85" i="46"/>
  <c r="H83" i="46"/>
  <c r="K10" i="1"/>
  <c r="M10" i="1" s="1"/>
  <c r="O10" i="1" s="1"/>
  <c r="S11" i="1"/>
  <c r="R11" i="1"/>
  <c r="S13" i="1"/>
  <c r="R13" i="1"/>
  <c r="B6" i="1"/>
  <c r="E6" i="1" s="1"/>
  <c r="B10" i="1"/>
  <c r="E10" i="1" s="1"/>
  <c r="S10" i="1"/>
  <c r="B8" i="1"/>
  <c r="E8" i="1" s="1"/>
  <c r="B12" i="1"/>
  <c r="E12" i="1" s="1"/>
  <c r="S12" i="1"/>
  <c r="K6" i="1"/>
  <c r="G1" i="15"/>
  <c r="F66" i="36"/>
  <c r="G66" i="36" s="1"/>
  <c r="H18" i="36"/>
  <c r="U18" i="36" s="1"/>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AB28" i="37"/>
  <c r="S28" i="37"/>
  <c r="W13" i="37"/>
  <c r="U38" i="37"/>
  <c r="S26" i="37"/>
  <c r="AA31" i="34"/>
  <c r="AB35" i="34"/>
  <c r="W47" i="34"/>
  <c r="AB29" i="34"/>
  <c r="AB47" i="34"/>
  <c r="AB13" i="34"/>
  <c r="AC13" i="34"/>
  <c r="S47" i="34"/>
  <c r="AA29" i="34"/>
  <c r="S19" i="34"/>
  <c r="S8" i="34"/>
  <c r="AA19" i="33"/>
  <c r="AC25" i="33"/>
  <c r="S43" i="33"/>
  <c r="AB42" i="33"/>
  <c r="AB14" i="33"/>
  <c r="S26" i="33"/>
  <c r="S15" i="33"/>
  <c r="S9" i="33"/>
  <c r="S39" i="21"/>
  <c r="AB25" i="21"/>
  <c r="AB45" i="21"/>
  <c r="W25" i="21"/>
  <c r="AA25" i="21"/>
  <c r="AA29" i="21"/>
  <c r="U27" i="21"/>
  <c r="W31" i="21"/>
  <c r="S27" i="21"/>
  <c r="AC27" i="21"/>
  <c r="W29" i="21"/>
  <c r="G96" i="40"/>
  <c r="J27" i="40"/>
  <c r="AC27" i="40" s="1"/>
  <c r="W37" i="40"/>
  <c r="S17" i="40"/>
  <c r="S34" i="40"/>
  <c r="U38" i="40"/>
  <c r="S40" i="40"/>
  <c r="S42" i="40"/>
  <c r="J31" i="39"/>
  <c r="W31" i="39" s="1"/>
  <c r="AB43" i="39"/>
  <c r="AB33" i="39"/>
  <c r="AC46" i="39"/>
  <c r="W42" i="39"/>
  <c r="W36" i="39"/>
  <c r="AC37" i="39"/>
  <c r="U14" i="39"/>
  <c r="W16" i="39"/>
  <c r="S15" i="39"/>
  <c r="W25" i="39"/>
  <c r="AA46" i="39"/>
  <c r="W10" i="39"/>
  <c r="W11" i="39"/>
  <c r="U42" i="39"/>
  <c r="C27" i="39"/>
  <c r="C17" i="40"/>
  <c r="C19" i="40"/>
  <c r="C17" i="39"/>
  <c r="C19" i="39"/>
  <c r="C21" i="39"/>
  <c r="C23" i="40"/>
  <c r="B48" i="46"/>
  <c r="B51" i="46"/>
  <c r="B55" i="46"/>
  <c r="B59" i="46"/>
  <c r="B62" i="46"/>
  <c r="B66" i="46"/>
  <c r="B53" i="46"/>
  <c r="B64" i="46"/>
  <c r="D24" i="15"/>
  <c r="F29" i="6"/>
  <c r="S14" i="36"/>
  <c r="AA20" i="36"/>
  <c r="AC14" i="36"/>
  <c r="W14" i="36"/>
  <c r="AB14" i="36"/>
  <c r="AB18" i="36"/>
  <c r="S26" i="35"/>
  <c r="U26" i="35"/>
  <c r="AB26" i="35"/>
  <c r="W26" i="35"/>
  <c r="AC26" i="35"/>
  <c r="S19" i="37"/>
  <c r="W19" i="37"/>
  <c r="U19" i="37"/>
  <c r="AC17" i="37"/>
  <c r="W17" i="37"/>
  <c r="AB25" i="34"/>
  <c r="AA25" i="34"/>
  <c r="S25" i="34"/>
  <c r="W25" i="34"/>
  <c r="AC25" i="34"/>
  <c r="U23" i="34"/>
  <c r="AB23" i="34"/>
  <c r="S23" i="34"/>
  <c r="W23" i="34"/>
  <c r="AA25" i="33"/>
  <c r="S25" i="33"/>
  <c r="AB23" i="33"/>
  <c r="AC23" i="33"/>
  <c r="S23" i="33"/>
  <c r="AA23" i="33"/>
  <c r="AC17" i="33"/>
  <c r="S17" i="33"/>
  <c r="U17" i="33"/>
  <c r="AB17" i="33"/>
  <c r="AB39" i="40"/>
  <c r="U39" i="40"/>
  <c r="W39" i="40"/>
  <c r="AA39" i="40"/>
  <c r="S39" i="40"/>
  <c r="U37" i="40"/>
  <c r="AB37" i="40"/>
  <c r="S37" i="40"/>
  <c r="U29" i="40"/>
  <c r="AB29" i="40"/>
  <c r="W29" i="40"/>
  <c r="S29" i="40"/>
  <c r="W19" i="40"/>
  <c r="AC19" i="40"/>
  <c r="AA19" i="40"/>
  <c r="S19" i="40"/>
  <c r="U19" i="40"/>
  <c r="A17" i="51"/>
  <c r="B13" i="63" s="1"/>
  <c r="AT6" i="3"/>
  <c r="AZ16" i="3"/>
  <c r="A9" i="64"/>
  <c r="B9" i="63"/>
  <c r="E4" i="4"/>
  <c r="B21" i="55" s="1"/>
  <c r="B72" i="63" s="1"/>
  <c r="C4" i="4"/>
  <c r="B20" i="55" s="1"/>
  <c r="B70" i="63" s="1"/>
  <c r="J18" i="36"/>
  <c r="AC18" i="36" s="1"/>
  <c r="AE8" i="1"/>
  <c r="AE7" i="1"/>
  <c r="AE6" i="1"/>
  <c r="W18" i="36"/>
  <c r="AG6" i="1"/>
  <c r="L20" i="6"/>
  <c r="S7" i="1"/>
  <c r="S8" i="1"/>
  <c r="S9" i="1"/>
  <c r="R9" i="1"/>
  <c r="R7" i="1"/>
  <c r="R8" i="1"/>
  <c r="C45" i="9"/>
  <c r="H14" i="66" s="1"/>
  <c r="B7" i="66" s="1"/>
  <c r="N76" i="9"/>
  <c r="C46" i="9"/>
  <c r="K33" i="9" s="1"/>
  <c r="H58" i="46"/>
  <c r="J17" i="46"/>
  <c r="C17" i="46"/>
  <c r="F34" i="46"/>
  <c r="F38" i="46"/>
  <c r="F37" i="46"/>
  <c r="H113" i="46"/>
  <c r="H49" i="46"/>
  <c r="F16" i="59"/>
  <c r="F15" i="59" s="1"/>
  <c r="F14" i="59" s="1"/>
  <c r="F13" i="59" s="1"/>
  <c r="Y15" i="59"/>
  <c r="Z15" i="59" s="1"/>
  <c r="AA15" i="59"/>
  <c r="AB15" i="59"/>
  <c r="Y14" i="59"/>
  <c r="Z14" i="59" s="1"/>
  <c r="Y13" i="59"/>
  <c r="Z13" i="59" s="1"/>
  <c r="Y12" i="59"/>
  <c r="Z12" i="59" s="1"/>
  <c r="AB14" i="59"/>
  <c r="AB13" i="59"/>
  <c r="AB12" i="59"/>
  <c r="AA17" i="59"/>
  <c r="X15" i="59"/>
  <c r="X13" i="59"/>
  <c r="X12" i="59"/>
  <c r="AA13" i="59"/>
  <c r="AA12" i="59"/>
  <c r="H1" i="65"/>
  <c r="H51" i="46"/>
  <c r="X7" i="46"/>
  <c r="E17" i="46"/>
  <c r="N17" i="46"/>
  <c r="O17" i="46"/>
  <c r="M17" i="46"/>
  <c r="L17" i="46"/>
  <c r="H22" i="46"/>
  <c r="H101" i="46"/>
  <c r="H102" i="46" s="1"/>
  <c r="J22" i="46"/>
  <c r="D101" i="46"/>
  <c r="D106" i="46" s="1"/>
  <c r="P7" i="1"/>
  <c r="P9" i="1"/>
  <c r="G13" i="1"/>
  <c r="H70" i="46"/>
  <c r="H73" i="46"/>
  <c r="H48" i="46"/>
  <c r="F35" i="46"/>
  <c r="I17" i="46"/>
  <c r="H63" i="46"/>
  <c r="I101" i="46"/>
  <c r="I109" i="46" s="1"/>
  <c r="N101" i="46"/>
  <c r="N105" i="46" s="1"/>
  <c r="AD11" i="46"/>
  <c r="H64" i="46"/>
  <c r="H66" i="46"/>
  <c r="D100" i="46"/>
  <c r="H62" i="46"/>
  <c r="AF12" i="46"/>
  <c r="K100" i="46"/>
  <c r="AB12" i="46"/>
  <c r="AJ12" i="46"/>
  <c r="C101" i="46"/>
  <c r="C109" i="46" s="1"/>
  <c r="J101" i="46"/>
  <c r="J106" i="46" s="1"/>
  <c r="N104" i="45"/>
  <c r="F22" i="46"/>
  <c r="Z7" i="46"/>
  <c r="E22" i="46"/>
  <c r="AA11" i="46"/>
  <c r="AA13" i="46" s="1"/>
  <c r="AF11" i="46"/>
  <c r="H60" i="46"/>
  <c r="H59" i="46"/>
  <c r="H74" i="46"/>
  <c r="H65" i="46"/>
  <c r="AB11" i="46"/>
  <c r="AB13" i="46" s="1"/>
  <c r="H75" i="46"/>
  <c r="E10" i="46"/>
  <c r="E9" i="46"/>
  <c r="E11" i="46"/>
  <c r="E8" i="46"/>
  <c r="H72" i="46"/>
  <c r="H69" i="46"/>
  <c r="H77" i="46"/>
  <c r="H76" i="46"/>
  <c r="H55" i="46"/>
  <c r="H52" i="46"/>
  <c r="AD12" i="46"/>
  <c r="AH12" i="46"/>
  <c r="B14" i="59"/>
  <c r="B13" i="59" s="1"/>
  <c r="B12" i="59" s="1"/>
  <c r="B11" i="59" s="1"/>
  <c r="B10" i="59" s="1"/>
  <c r="D109" i="46"/>
  <c r="C7" i="46"/>
  <c r="G20" i="46"/>
  <c r="E41" i="46" s="1"/>
  <c r="C41" i="46" s="1"/>
  <c r="S2" i="46"/>
  <c r="S7" i="46"/>
  <c r="S4" i="46"/>
  <c r="E11" i="67"/>
  <c r="E10" i="67"/>
  <c r="F43" i="15"/>
  <c r="B12" i="67"/>
  <c r="M6" i="15"/>
  <c r="F8" i="44"/>
  <c r="F45" i="44"/>
  <c r="F15" i="44"/>
  <c r="M31" i="44"/>
  <c r="M10" i="44"/>
  <c r="L48" i="15"/>
  <c r="J36" i="15"/>
  <c r="E13" i="67"/>
  <c r="E9" i="67"/>
  <c r="J7" i="65"/>
  <c r="C19" i="44"/>
  <c r="M28" i="44"/>
  <c r="F11" i="44"/>
  <c r="M8" i="15"/>
  <c r="F43" i="44"/>
  <c r="F6" i="15"/>
  <c r="M21" i="15"/>
  <c r="J17" i="44"/>
  <c r="B14" i="67"/>
  <c r="I4" i="65"/>
  <c r="F9" i="44"/>
  <c r="F38" i="44"/>
  <c r="F12" i="67"/>
  <c r="M29" i="15"/>
  <c r="F13" i="15"/>
  <c r="F11" i="67"/>
  <c r="F14" i="67"/>
  <c r="M24" i="44"/>
  <c r="F46" i="44"/>
  <c r="E14" i="67"/>
  <c r="F10" i="67"/>
  <c r="B11" i="67"/>
  <c r="F8" i="67"/>
  <c r="E8" i="67"/>
  <c r="F10" i="44"/>
  <c r="E12" i="67"/>
  <c r="L49" i="44"/>
  <c r="N6" i="65"/>
  <c r="F37" i="44"/>
  <c r="B8" i="67"/>
  <c r="M8" i="44"/>
  <c r="J5" i="65"/>
  <c r="I3" i="65"/>
  <c r="M26" i="44"/>
  <c r="M29" i="44"/>
  <c r="B10" i="67"/>
  <c r="J6" i="65"/>
  <c r="F9" i="67"/>
  <c r="F26" i="15"/>
  <c r="F13" i="67"/>
  <c r="F18" i="44"/>
  <c r="N5" i="65"/>
  <c r="M30" i="44"/>
  <c r="L48" i="44"/>
  <c r="B9" i="67"/>
  <c r="F39" i="44"/>
  <c r="J3" i="65"/>
  <c r="M25" i="44"/>
  <c r="L47" i="15"/>
  <c r="F16" i="15"/>
  <c r="M23" i="44"/>
  <c r="N3" i="65"/>
  <c r="F40" i="44"/>
  <c r="M26" i="15"/>
  <c r="M24" i="15"/>
  <c r="B13" i="67"/>
  <c r="J4" i="65"/>
  <c r="N4" i="65"/>
  <c r="F28" i="44"/>
  <c r="M22" i="15"/>
  <c r="M11" i="44"/>
  <c r="I7" i="65"/>
  <c r="N7" i="65"/>
  <c r="F28" i="6" l="1"/>
  <c r="G29" i="6"/>
  <c r="E29" i="6" s="1"/>
  <c r="AC36" i="33"/>
  <c r="AZ489" i="3"/>
  <c r="AZ513" i="3"/>
  <c r="AZ514" i="3"/>
  <c r="AZ515" i="3"/>
  <c r="AZ379" i="3"/>
  <c r="AZ488" i="3"/>
  <c r="AB13" i="35"/>
  <c r="AF13" i="46"/>
  <c r="O41" i="9"/>
  <c r="R8" i="54" s="1"/>
  <c r="B54" i="63" s="1"/>
  <c r="AZ339" i="3"/>
  <c r="AZ331" i="3"/>
  <c r="AZ323" i="3"/>
  <c r="AZ299" i="3"/>
  <c r="AZ377" i="3"/>
  <c r="AZ343" i="3"/>
  <c r="AZ327" i="3"/>
  <c r="AC23" i="37"/>
  <c r="AZ493" i="3"/>
  <c r="BA572" i="3"/>
  <c r="AZ572" i="3" s="1"/>
  <c r="H12" i="33"/>
  <c r="U12" i="33" s="1"/>
  <c r="J12" i="33"/>
  <c r="BA454" i="3"/>
  <c r="AZ454" i="3" s="1"/>
  <c r="BL454" i="3"/>
  <c r="BA456" i="3"/>
  <c r="AZ456" i="3" s="1"/>
  <c r="BL456" i="3"/>
  <c r="G457" i="3"/>
  <c r="G459" i="3"/>
  <c r="BL461" i="3"/>
  <c r="G462" i="3"/>
  <c r="G464" i="3"/>
  <c r="BA465" i="3"/>
  <c r="BL465" i="3"/>
  <c r="BA467" i="3"/>
  <c r="BL467" i="3"/>
  <c r="BA468" i="3"/>
  <c r="AZ468" i="3" s="1"/>
  <c r="BA469" i="3"/>
  <c r="AZ469" i="3" s="1"/>
  <c r="BA471" i="3"/>
  <c r="AZ471" i="3" s="1"/>
  <c r="BL471" i="3"/>
  <c r="BL472" i="3"/>
  <c r="G473" i="3"/>
  <c r="G475" i="3"/>
  <c r="H26" i="37"/>
  <c r="G569" i="3"/>
  <c r="G568" i="3"/>
  <c r="G543" i="3"/>
  <c r="G541" i="3"/>
  <c r="G531" i="3"/>
  <c r="G520" i="3"/>
  <c r="G519" i="3"/>
  <c r="G504" i="3"/>
  <c r="G503" i="3"/>
  <c r="G487" i="3"/>
  <c r="G486" i="3"/>
  <c r="G15" i="3"/>
  <c r="G14" i="3"/>
  <c r="A11" i="55"/>
  <c r="B62" i="63" s="1"/>
  <c r="BA390" i="3"/>
  <c r="BL390" i="3"/>
  <c r="BL392" i="3"/>
  <c r="G393" i="3"/>
  <c r="G395" i="3"/>
  <c r="BA396" i="3"/>
  <c r="AZ396" i="3" s="1"/>
  <c r="BL396" i="3"/>
  <c r="BA397" i="3"/>
  <c r="AZ397" i="3" s="1"/>
  <c r="BA398" i="3"/>
  <c r="AZ398" i="3" s="1"/>
  <c r="BA399" i="3"/>
  <c r="AZ399" i="3" s="1"/>
  <c r="BA401" i="3"/>
  <c r="BL401" i="3"/>
  <c r="BA402" i="3"/>
  <c r="AZ402" i="3" s="1"/>
  <c r="BA403" i="3"/>
  <c r="AZ403" i="3" s="1"/>
  <c r="BL405" i="3"/>
  <c r="G406" i="3"/>
  <c r="G408" i="3"/>
  <c r="BA409" i="3"/>
  <c r="AZ409" i="3" s="1"/>
  <c r="BL409" i="3"/>
  <c r="BL411" i="3"/>
  <c r="G412" i="3"/>
  <c r="G417" i="3"/>
  <c r="BL418" i="3"/>
  <c r="G419" i="3"/>
  <c r="G422" i="3"/>
  <c r="G424" i="3"/>
  <c r="BA425" i="3"/>
  <c r="BL425" i="3"/>
  <c r="BL427" i="3"/>
  <c r="G428" i="3"/>
  <c r="BA429" i="3"/>
  <c r="BL429" i="3"/>
  <c r="BA431" i="3"/>
  <c r="BL431" i="3"/>
  <c r="BA432" i="3"/>
  <c r="AZ432" i="3" s="1"/>
  <c r="BA433" i="3"/>
  <c r="AZ433" i="3" s="1"/>
  <c r="BA434" i="3"/>
  <c r="AZ434" i="3" s="1"/>
  <c r="BA436" i="3"/>
  <c r="AZ436" i="3" s="1"/>
  <c r="BL436" i="3"/>
  <c r="BA437" i="3"/>
  <c r="AZ437" i="3" s="1"/>
  <c r="BA438" i="3"/>
  <c r="AZ438" i="3" s="1"/>
  <c r="BA439" i="3"/>
  <c r="AZ439" i="3" s="1"/>
  <c r="BA441" i="3"/>
  <c r="BL441" i="3"/>
  <c r="BL443" i="3"/>
  <c r="G444" i="3"/>
  <c r="BA445" i="3"/>
  <c r="BL445" i="3"/>
  <c r="BL447" i="3"/>
  <c r="G448" i="3"/>
  <c r="G450" i="3"/>
  <c r="AZ297" i="3"/>
  <c r="AZ301" i="3"/>
  <c r="AZ321" i="3"/>
  <c r="BL476" i="3"/>
  <c r="G477" i="3"/>
  <c r="BA478" i="3"/>
  <c r="BL478" i="3"/>
  <c r="BL480" i="3"/>
  <c r="G301" i="3"/>
  <c r="BL302" i="3"/>
  <c r="G305" i="3"/>
  <c r="G315" i="3"/>
  <c r="BL316" i="3"/>
  <c r="G317" i="3"/>
  <c r="BA319" i="3"/>
  <c r="AZ319" i="3" s="1"/>
  <c r="G325" i="3"/>
  <c r="BL326" i="3"/>
  <c r="AZ326" i="3" s="1"/>
  <c r="G329" i="3"/>
  <c r="BL335" i="3"/>
  <c r="G336" i="3"/>
  <c r="BA350" i="3"/>
  <c r="BL350" i="3"/>
  <c r="G365" i="3"/>
  <c r="BL366" i="3"/>
  <c r="AZ366" i="3" s="1"/>
  <c r="BL368" i="3"/>
  <c r="G381" i="3"/>
  <c r="BL382" i="3"/>
  <c r="AZ382" i="3" s="1"/>
  <c r="BL384" i="3"/>
  <c r="BA387" i="3"/>
  <c r="BL387" i="3"/>
  <c r="BA205" i="3"/>
  <c r="AZ205" i="3" s="1"/>
  <c r="BL205" i="3"/>
  <c r="BL206" i="3"/>
  <c r="G207" i="3"/>
  <c r="BA208" i="3"/>
  <c r="AZ208" i="3" s="1"/>
  <c r="BL208" i="3"/>
  <c r="BA210" i="3"/>
  <c r="AZ210" i="3" s="1"/>
  <c r="BA212" i="3"/>
  <c r="BL212" i="3"/>
  <c r="BL214" i="3"/>
  <c r="G215" i="3"/>
  <c r="BA216" i="3"/>
  <c r="BL216" i="3"/>
  <c r="BA218" i="3"/>
  <c r="AZ218" i="3" s="1"/>
  <c r="BA220" i="3"/>
  <c r="AZ220" i="3" s="1"/>
  <c r="BL220" i="3"/>
  <c r="BA222" i="3"/>
  <c r="AZ222" i="3" s="1"/>
  <c r="BA223" i="3"/>
  <c r="AZ223" i="3" s="1"/>
  <c r="BA225" i="3"/>
  <c r="AZ225" i="3" s="1"/>
  <c r="BL225" i="3"/>
  <c r="BL226" i="3"/>
  <c r="G227" i="3"/>
  <c r="G229" i="3"/>
  <c r="G233" i="3"/>
  <c r="BA234" i="3"/>
  <c r="AZ234" i="3" s="1"/>
  <c r="BA236" i="3"/>
  <c r="BL236" i="3"/>
  <c r="BL238" i="3"/>
  <c r="G239" i="3"/>
  <c r="BA240" i="3"/>
  <c r="BL240" i="3"/>
  <c r="BL242" i="3"/>
  <c r="G243" i="3"/>
  <c r="G245" i="3"/>
  <c r="G249" i="3"/>
  <c r="G252" i="3"/>
  <c r="G254" i="3"/>
  <c r="BL255" i="3"/>
  <c r="G256" i="3"/>
  <c r="G258" i="3"/>
  <c r="BA259" i="3"/>
  <c r="BL259" i="3"/>
  <c r="BA261" i="3"/>
  <c r="AZ261" i="3" s="1"/>
  <c r="BL261" i="3"/>
  <c r="BA262" i="3"/>
  <c r="AZ262" i="3" s="1"/>
  <c r="BA263" i="3"/>
  <c r="AZ263" i="3" s="1"/>
  <c r="BA265" i="3"/>
  <c r="AZ265" i="3" s="1"/>
  <c r="BL265" i="3"/>
  <c r="BA266" i="3"/>
  <c r="AZ266" i="3" s="1"/>
  <c r="BA268" i="3"/>
  <c r="BL268" i="3"/>
  <c r="BA269" i="3"/>
  <c r="AZ269" i="3" s="1"/>
  <c r="BA270" i="3"/>
  <c r="AZ270" i="3" s="1"/>
  <c r="BL272" i="3"/>
  <c r="G273" i="3"/>
  <c r="BL274" i="3"/>
  <c r="G275" i="3"/>
  <c r="G277" i="3"/>
  <c r="BL278" i="3"/>
  <c r="G279" i="3"/>
  <c r="G284" i="3"/>
  <c r="G288" i="3"/>
  <c r="BL289" i="3"/>
  <c r="G290" i="3"/>
  <c r="BA291" i="3"/>
  <c r="AZ291" i="3" s="1"/>
  <c r="BL291" i="3"/>
  <c r="BL293" i="3"/>
  <c r="G294" i="3"/>
  <c r="G296" i="3"/>
  <c r="BA113" i="3"/>
  <c r="BL113" i="3"/>
  <c r="BA115" i="3"/>
  <c r="AZ115" i="3" s="1"/>
  <c r="G125" i="3"/>
  <c r="G127" i="3"/>
  <c r="BL128" i="3"/>
  <c r="G129" i="3"/>
  <c r="G130" i="3"/>
  <c r="G133" i="3"/>
  <c r="G135" i="3"/>
  <c r="BL136" i="3"/>
  <c r="G137" i="3"/>
  <c r="G139" i="3"/>
  <c r="BA140" i="3"/>
  <c r="AZ140" i="3" s="1"/>
  <c r="BL140" i="3"/>
  <c r="BA141" i="3"/>
  <c r="AZ141" i="3" s="1"/>
  <c r="BL142" i="3"/>
  <c r="AZ142" i="3" s="1"/>
  <c r="BA144" i="3"/>
  <c r="AZ144" i="3" s="1"/>
  <c r="BL146" i="3"/>
  <c r="AZ146" i="3" s="1"/>
  <c r="G147" i="3"/>
  <c r="BL149" i="3"/>
  <c r="G150" i="3"/>
  <c r="BA151" i="3"/>
  <c r="AZ151" i="3" s="1"/>
  <c r="G152" i="3"/>
  <c r="G154" i="3"/>
  <c r="BL155" i="3"/>
  <c r="G156" i="3"/>
  <c r="BA159" i="3"/>
  <c r="AZ159" i="3" s="1"/>
  <c r="BL159" i="3"/>
  <c r="BA160" i="3"/>
  <c r="AZ160" i="3" s="1"/>
  <c r="BL161" i="3"/>
  <c r="AZ161" i="3" s="1"/>
  <c r="BA163" i="3"/>
  <c r="AZ163" i="3" s="1"/>
  <c r="BL163" i="3"/>
  <c r="G164" i="3"/>
  <c r="G166" i="3"/>
  <c r="BA167" i="3"/>
  <c r="AZ167" i="3" s="1"/>
  <c r="BL167" i="3"/>
  <c r="BA168" i="3"/>
  <c r="AZ168" i="3" s="1"/>
  <c r="BL169" i="3"/>
  <c r="AZ169" i="3" s="1"/>
  <c r="BA171" i="3"/>
  <c r="AZ171" i="3" s="1"/>
  <c r="BL173" i="3"/>
  <c r="AZ173" i="3" s="1"/>
  <c r="G174" i="3"/>
  <c r="BL176" i="3"/>
  <c r="G177" i="3"/>
  <c r="G179" i="3"/>
  <c r="BA180" i="3"/>
  <c r="AZ180" i="3" s="1"/>
  <c r="BA181" i="3"/>
  <c r="AZ181" i="3" s="1"/>
  <c r="G184" i="3"/>
  <c r="G187" i="3"/>
  <c r="BA190" i="3"/>
  <c r="AZ190" i="3" s="1"/>
  <c r="BL190" i="3"/>
  <c r="BL192" i="3"/>
  <c r="AZ192" i="3" s="1"/>
  <c r="G193" i="3"/>
  <c r="BA195" i="3"/>
  <c r="AZ195" i="3" s="1"/>
  <c r="BL195" i="3"/>
  <c r="BA197" i="3"/>
  <c r="AZ197" i="3" s="1"/>
  <c r="G200" i="3"/>
  <c r="G202" i="3"/>
  <c r="BL203" i="3"/>
  <c r="G204" i="3"/>
  <c r="G23" i="3"/>
  <c r="G25" i="3"/>
  <c r="BA26" i="3"/>
  <c r="BL26" i="3"/>
  <c r="BL28" i="3"/>
  <c r="G29" i="3"/>
  <c r="G34" i="3"/>
  <c r="BL35" i="3"/>
  <c r="G36" i="3"/>
  <c r="G39" i="3"/>
  <c r="G41" i="3"/>
  <c r="BA42" i="3"/>
  <c r="AZ42" i="3" s="1"/>
  <c r="BL42" i="3"/>
  <c r="D51" i="59"/>
  <c r="C52" i="59"/>
  <c r="P60" i="59"/>
  <c r="E59" i="59"/>
  <c r="BL44" i="3"/>
  <c r="G45" i="3"/>
  <c r="G50" i="3"/>
  <c r="BL51" i="3"/>
  <c r="G52" i="3"/>
  <c r="G55" i="3"/>
  <c r="G57" i="3"/>
  <c r="BA58" i="3"/>
  <c r="BL58" i="3"/>
  <c r="BL60" i="3"/>
  <c r="G61" i="3"/>
  <c r="G65" i="3"/>
  <c r="BL66" i="3"/>
  <c r="G67" i="3"/>
  <c r="G70" i="3"/>
  <c r="G72" i="3"/>
  <c r="BA73" i="3"/>
  <c r="AZ73" i="3" s="1"/>
  <c r="BL73" i="3"/>
  <c r="BL75" i="3"/>
  <c r="G76" i="3"/>
  <c r="G81" i="3"/>
  <c r="BL82" i="3"/>
  <c r="G83" i="3"/>
  <c r="G85" i="3"/>
  <c r="BL86" i="3"/>
  <c r="G87" i="3"/>
  <c r="G90" i="3"/>
  <c r="G92" i="3"/>
  <c r="G96" i="3"/>
  <c r="BA97" i="3"/>
  <c r="AZ97" i="3" s="1"/>
  <c r="BL97" i="3"/>
  <c r="BA99" i="3"/>
  <c r="AZ99" i="3" s="1"/>
  <c r="BL99" i="3"/>
  <c r="BA100" i="3"/>
  <c r="AZ100" i="3" s="1"/>
  <c r="BA102" i="3"/>
  <c r="BL102" i="3"/>
  <c r="BL103" i="3"/>
  <c r="G104" i="3"/>
  <c r="BL106" i="3"/>
  <c r="G107" i="3"/>
  <c r="BA108" i="3"/>
  <c r="BL108" i="3"/>
  <c r="BL109" i="3"/>
  <c r="G110" i="3"/>
  <c r="BA111" i="3"/>
  <c r="BL111" i="3"/>
  <c r="E26" i="57"/>
  <c r="I15" i="57"/>
  <c r="AB19" i="59"/>
  <c r="C16" i="59"/>
  <c r="AA3" i="59"/>
  <c r="T57" i="59"/>
  <c r="C45" i="59"/>
  <c r="D35" i="59"/>
  <c r="AB3" i="59"/>
  <c r="Y23" i="59"/>
  <c r="Z23" i="59" s="1"/>
  <c r="AB23" i="59"/>
  <c r="Y24" i="59"/>
  <c r="Z24" i="59" s="1"/>
  <c r="AB24" i="59"/>
  <c r="Y25" i="59"/>
  <c r="Z25" i="59" s="1"/>
  <c r="AB25" i="59"/>
  <c r="F42" i="21"/>
  <c r="AA42" i="21" s="1"/>
  <c r="H42" i="21"/>
  <c r="AB42" i="21" s="1"/>
  <c r="S15" i="21"/>
  <c r="AA15" i="21"/>
  <c r="F30" i="6"/>
  <c r="AD13" i="46"/>
  <c r="H105" i="46"/>
  <c r="S13" i="59"/>
  <c r="H47" i="46"/>
  <c r="H54" i="46"/>
  <c r="H103" i="46"/>
  <c r="H50" i="46"/>
  <c r="W27" i="40"/>
  <c r="AB20" i="36"/>
  <c r="S32" i="40"/>
  <c r="W34" i="39"/>
  <c r="W45" i="39"/>
  <c r="S34" i="39"/>
  <c r="S45" i="39"/>
  <c r="U17" i="40"/>
  <c r="W30" i="40"/>
  <c r="AB12" i="33"/>
  <c r="U16" i="36"/>
  <c r="C20" i="46"/>
  <c r="AB38" i="39"/>
  <c r="AC21" i="39"/>
  <c r="AB45" i="39"/>
  <c r="AB40" i="40"/>
  <c r="AA23" i="40"/>
  <c r="U35" i="40"/>
  <c r="U25" i="40"/>
  <c r="H15" i="21"/>
  <c r="U15" i="21" s="1"/>
  <c r="AB37" i="21"/>
  <c r="S10" i="33"/>
  <c r="AB34" i="33"/>
  <c r="AB11" i="33"/>
  <c r="W34" i="33"/>
  <c r="U27" i="34"/>
  <c r="W37" i="34"/>
  <c r="AC11" i="34"/>
  <c r="AC35" i="34"/>
  <c r="W20" i="35"/>
  <c r="U22" i="35"/>
  <c r="S17" i="34"/>
  <c r="U40" i="21"/>
  <c r="AC15" i="33"/>
  <c r="U11" i="36"/>
  <c r="J23" i="39"/>
  <c r="AC23" i="39" s="1"/>
  <c r="AB23" i="40"/>
  <c r="AB34" i="40"/>
  <c r="U16" i="40"/>
  <c r="U41" i="40"/>
  <c r="AC47" i="39"/>
  <c r="AC14" i="40"/>
  <c r="AB14" i="40"/>
  <c r="F34" i="44"/>
  <c r="F71" i="72"/>
  <c r="D86" i="72"/>
  <c r="F72" i="72"/>
  <c r="F70" i="72"/>
  <c r="F66" i="72"/>
  <c r="P72" i="72" s="1"/>
  <c r="D86" i="71"/>
  <c r="F72" i="71"/>
  <c r="F70" i="71"/>
  <c r="F66" i="71"/>
  <c r="P72" i="71" s="1"/>
  <c r="D86" i="69"/>
  <c r="F71" i="69"/>
  <c r="F71" i="71"/>
  <c r="F72" i="69"/>
  <c r="F70" i="69"/>
  <c r="F66" i="69"/>
  <c r="P72" i="69" s="1"/>
  <c r="AZ526" i="3"/>
  <c r="F103" i="39"/>
  <c r="G103" i="39" s="1"/>
  <c r="F29" i="39"/>
  <c r="H29" i="39"/>
  <c r="U29" i="39" s="1"/>
  <c r="AC26" i="37"/>
  <c r="AB34" i="36"/>
  <c r="AA12" i="21"/>
  <c r="S12" i="21"/>
  <c r="W14" i="21"/>
  <c r="AC14" i="21"/>
  <c r="F81" i="21"/>
  <c r="G81" i="21" s="1"/>
  <c r="F19" i="21"/>
  <c r="AA19" i="21" s="1"/>
  <c r="J19" i="21"/>
  <c r="H19" i="21"/>
  <c r="AB19" i="21" s="1"/>
  <c r="F79" i="21"/>
  <c r="G79" i="21" s="1"/>
  <c r="F17" i="21"/>
  <c r="S17" i="21" s="1"/>
  <c r="J17" i="21"/>
  <c r="AC17" i="21" s="1"/>
  <c r="H113" i="21"/>
  <c r="J37" i="21"/>
  <c r="F37" i="21"/>
  <c r="AB9" i="33"/>
  <c r="U9" i="33"/>
  <c r="AA31" i="33"/>
  <c r="S31" i="33"/>
  <c r="AC23" i="35"/>
  <c r="W23" i="35"/>
  <c r="AZ325" i="3"/>
  <c r="AZ346" i="3"/>
  <c r="AZ302" i="3"/>
  <c r="AZ492" i="3"/>
  <c r="AZ544" i="3"/>
  <c r="BF5" i="3"/>
  <c r="D111" i="9"/>
  <c r="D111" i="72"/>
  <c r="D96" i="72"/>
  <c r="D96" i="71"/>
  <c r="D111" i="69"/>
  <c r="D96" i="69"/>
  <c r="D111" i="71"/>
  <c r="BB5" i="3"/>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BL458" i="3"/>
  <c r="AZ458" i="3" s="1"/>
  <c r="BA460" i="3"/>
  <c r="AZ460" i="3" s="1"/>
  <c r="BA461" i="3"/>
  <c r="AZ461" i="3" s="1"/>
  <c r="BL463" i="3"/>
  <c r="AZ463" i="3" s="1"/>
  <c r="BA464" i="3"/>
  <c r="AZ464" i="3" s="1"/>
  <c r="BL466" i="3"/>
  <c r="AZ466" i="3" s="1"/>
  <c r="G469" i="3"/>
  <c r="G470" i="3"/>
  <c r="BL470" i="3"/>
  <c r="BA472" i="3"/>
  <c r="AZ472" i="3" s="1"/>
  <c r="BL474" i="3"/>
  <c r="AZ474"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AZ490" i="3"/>
  <c r="AZ507" i="3"/>
  <c r="AZ517" i="3"/>
  <c r="AZ534" i="3"/>
  <c r="AZ539" i="3"/>
  <c r="AZ571" i="3"/>
  <c r="S25" i="35"/>
  <c r="S42" i="33"/>
  <c r="AA30" i="33"/>
  <c r="AB15" i="37"/>
  <c r="AZ370" i="3"/>
  <c r="AZ356" i="3"/>
  <c r="AZ345" i="3"/>
  <c r="AZ340" i="3"/>
  <c r="AZ332" i="3"/>
  <c r="AZ329" i="3"/>
  <c r="AZ324" i="3"/>
  <c r="AZ316" i="3"/>
  <c r="AZ315" i="3"/>
  <c r="AZ308" i="3"/>
  <c r="AZ305" i="3"/>
  <c r="AZ381" i="3"/>
  <c r="AZ359" i="3"/>
  <c r="AZ358" i="3"/>
  <c r="AZ355" i="3"/>
  <c r="AZ307" i="3"/>
  <c r="U12" i="37"/>
  <c r="AZ502" i="3"/>
  <c r="AZ550" i="3"/>
  <c r="AZ562" i="3"/>
  <c r="AZ569" i="3"/>
  <c r="AC28" i="33"/>
  <c r="AC13" i="36"/>
  <c r="AB30" i="21"/>
  <c r="S46" i="21"/>
  <c r="U30" i="33"/>
  <c r="AA38" i="37"/>
  <c r="F44" i="21"/>
  <c r="AA44" i="21" s="1"/>
  <c r="BL13" i="3"/>
  <c r="AZ13" i="3" s="1"/>
  <c r="AB40" i="34"/>
  <c r="J34" i="36"/>
  <c r="AA38" i="21"/>
  <c r="U33" i="33"/>
  <c r="W39" i="34"/>
  <c r="W24" i="35"/>
  <c r="U26" i="36"/>
  <c r="H12" i="21"/>
  <c r="H5" i="3"/>
  <c r="BI5" i="3"/>
  <c r="BA570" i="3"/>
  <c r="AZ570" i="3" s="1"/>
  <c r="BT5" i="3"/>
  <c r="G28" i="6" s="1"/>
  <c r="BG5" i="3"/>
  <c r="F9" i="35"/>
  <c r="G559" i="3"/>
  <c r="G551" i="3"/>
  <c r="G547" i="3"/>
  <c r="G532" i="3"/>
  <c r="G505" i="3"/>
  <c r="G497" i="3"/>
  <c r="L19" i="6"/>
  <c r="AZ470" i="3"/>
  <c r="BA335" i="3"/>
  <c r="AZ335" i="3" s="1"/>
  <c r="G345" i="3"/>
  <c r="G349" i="3"/>
  <c r="BA351" i="3"/>
  <c r="AZ351" i="3" s="1"/>
  <c r="BA357" i="3"/>
  <c r="AZ357" i="3" s="1"/>
  <c r="BL364" i="3"/>
  <c r="AZ364" i="3" s="1"/>
  <c r="BA368" i="3"/>
  <c r="AZ368" i="3" s="1"/>
  <c r="BA371" i="3"/>
  <c r="AZ371" i="3" s="1"/>
  <c r="BA375" i="3"/>
  <c r="AZ375" i="3" s="1"/>
  <c r="BL380" i="3"/>
  <c r="AZ380" i="3" s="1"/>
  <c r="BA384" i="3"/>
  <c r="AZ384" i="3" s="1"/>
  <c r="BA386" i="3"/>
  <c r="AZ386" i="3" s="1"/>
  <c r="BL388" i="3"/>
  <c r="AZ388" i="3" s="1"/>
  <c r="BA206" i="3"/>
  <c r="AZ206" i="3" s="1"/>
  <c r="BA207" i="3"/>
  <c r="AZ207" i="3" s="1"/>
  <c r="BL209" i="3"/>
  <c r="AZ209" i="3" s="1"/>
  <c r="G211" i="3"/>
  <c r="BL211" i="3"/>
  <c r="BL213" i="3"/>
  <c r="AZ213" i="3" s="1"/>
  <c r="BA214" i="3"/>
  <c r="AZ214" i="3" s="1"/>
  <c r="BA215" i="3"/>
  <c r="AZ215" i="3" s="1"/>
  <c r="BL217" i="3"/>
  <c r="AZ217" i="3" s="1"/>
  <c r="G219" i="3"/>
  <c r="BL219" i="3"/>
  <c r="BL221" i="3"/>
  <c r="AZ221" i="3" s="1"/>
  <c r="G223" i="3"/>
  <c r="G224" i="3"/>
  <c r="BL224" i="3"/>
  <c r="AZ224" i="3" s="1"/>
  <c r="BA226" i="3"/>
  <c r="AZ226" i="3" s="1"/>
  <c r="BL228" i="3"/>
  <c r="AZ228" i="3" s="1"/>
  <c r="G231" i="3"/>
  <c r="G232" i="3"/>
  <c r="BL232" i="3"/>
  <c r="AZ232" i="3" s="1"/>
  <c r="G235" i="3"/>
  <c r="BL235" i="3"/>
  <c r="AZ235" i="3" s="1"/>
  <c r="BL237" i="3"/>
  <c r="AZ237" i="3" s="1"/>
  <c r="BA238" i="3"/>
  <c r="AZ238" i="3" s="1"/>
  <c r="BA239" i="3"/>
  <c r="AZ239" i="3" s="1"/>
  <c r="BL241" i="3"/>
  <c r="AZ241" i="3" s="1"/>
  <c r="BA242" i="3"/>
  <c r="AZ242" i="3" s="1"/>
  <c r="BL244" i="3"/>
  <c r="AZ244" i="3" s="1"/>
  <c r="G247" i="3"/>
  <c r="G248" i="3"/>
  <c r="BL248" i="3"/>
  <c r="G251" i="3"/>
  <c r="BL251" i="3"/>
  <c r="BL253" i="3"/>
  <c r="AZ253" i="3" s="1"/>
  <c r="BA254" i="3"/>
  <c r="AZ254" i="3" s="1"/>
  <c r="BA255" i="3"/>
  <c r="AZ255" i="3" s="1"/>
  <c r="BL257" i="3"/>
  <c r="AZ257" i="3" s="1"/>
  <c r="BA258" i="3"/>
  <c r="AZ258" i="3" s="1"/>
  <c r="BL260" i="3"/>
  <c r="AZ260" i="3" s="1"/>
  <c r="G263" i="3"/>
  <c r="G264" i="3"/>
  <c r="BL264" i="3"/>
  <c r="G267" i="3"/>
  <c r="BL267" i="3"/>
  <c r="G270" i="3"/>
  <c r="G271" i="3"/>
  <c r="BL271" i="3"/>
  <c r="AZ271" i="3" s="1"/>
  <c r="BA272" i="3"/>
  <c r="AZ272" i="3" s="1"/>
  <c r="BA273" i="3"/>
  <c r="AZ273" i="3" s="1"/>
  <c r="BA274" i="3"/>
  <c r="AZ274" i="3" s="1"/>
  <c r="BL276" i="3"/>
  <c r="AZ276" i="3" s="1"/>
  <c r="BA277" i="3"/>
  <c r="AZ277" i="3" s="1"/>
  <c r="BA278" i="3"/>
  <c r="AZ278" i="3" s="1"/>
  <c r="G281" i="3"/>
  <c r="G282" i="3"/>
  <c r="G283" i="3"/>
  <c r="BL283" i="3"/>
  <c r="AZ283" i="3" s="1"/>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AZ248" i="3"/>
  <c r="AZ267"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C42" i="1"/>
  <c r="N67" i="72"/>
  <c r="N67" i="69"/>
  <c r="N67" i="71"/>
  <c r="E83" i="21"/>
  <c r="F83" i="21" s="1"/>
  <c r="G83" i="21" s="1"/>
  <c r="H21" i="21"/>
  <c r="J21" i="21"/>
  <c r="BA164" i="3"/>
  <c r="AZ164" i="3" s="1"/>
  <c r="BL165" i="3"/>
  <c r="AZ165" i="3" s="1"/>
  <c r="G169" i="3"/>
  <c r="G172" i="3"/>
  <c r="BL172" i="3"/>
  <c r="AZ172" i="3" s="1"/>
  <c r="BA174" i="3"/>
  <c r="AZ174" i="3" s="1"/>
  <c r="BL175" i="3"/>
  <c r="BA176" i="3"/>
  <c r="AZ176" i="3" s="1"/>
  <c r="BA177" i="3"/>
  <c r="AZ177" i="3" s="1"/>
  <c r="BL178" i="3"/>
  <c r="AZ178" i="3" s="1"/>
  <c r="BA179" i="3"/>
  <c r="AZ179" i="3" s="1"/>
  <c r="G181" i="3"/>
  <c r="BL183" i="3"/>
  <c r="AZ183" i="3" s="1"/>
  <c r="BA185" i="3"/>
  <c r="AZ185" i="3" s="1"/>
  <c r="BL186" i="3"/>
  <c r="G189" i="3"/>
  <c r="BL191" i="3"/>
  <c r="AZ191" i="3" s="1"/>
  <c r="BA193" i="3"/>
  <c r="AZ193" i="3" s="1"/>
  <c r="BL194" i="3"/>
  <c r="G197" i="3"/>
  <c r="BL199" i="3"/>
  <c r="AZ199" i="3" s="1"/>
  <c r="BA201" i="3"/>
  <c r="AZ201" i="3" s="1"/>
  <c r="BA202" i="3"/>
  <c r="AZ202" i="3" s="1"/>
  <c r="BA203" i="3"/>
  <c r="AZ203" i="3" s="1"/>
  <c r="G22" i="3"/>
  <c r="BL22" i="3"/>
  <c r="BL24" i="3"/>
  <c r="AZ24" i="3" s="1"/>
  <c r="BA25" i="3"/>
  <c r="AZ25" i="3" s="1"/>
  <c r="BL27" i="3"/>
  <c r="AZ27" i="3" s="1"/>
  <c r="BA28" i="3"/>
  <c r="AZ28" i="3" s="1"/>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BL59" i="3"/>
  <c r="AZ59" i="3" s="1"/>
  <c r="BA60" i="3"/>
  <c r="AZ60" i="3" s="1"/>
  <c r="G63" i="3"/>
  <c r="G64" i="3"/>
  <c r="BL64" i="3"/>
  <c r="BA65" i="3"/>
  <c r="AZ65" i="3" s="1"/>
  <c r="BA66" i="3"/>
  <c r="AZ66" i="3" s="1"/>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G94" i="3"/>
  <c r="G95" i="3"/>
  <c r="BL95" i="3"/>
  <c r="AZ95" i="3" s="1"/>
  <c r="BA96" i="3"/>
  <c r="AZ96" i="3" s="1"/>
  <c r="A2" i="72"/>
  <c r="A2" i="69"/>
  <c r="A2" i="71"/>
  <c r="E105" i="39"/>
  <c r="F105" i="39" s="1"/>
  <c r="G105" i="39" s="1"/>
  <c r="F31" i="39"/>
  <c r="AA31" i="39" s="1"/>
  <c r="H31" i="39"/>
  <c r="F21" i="21"/>
  <c r="AA21" i="21" s="1"/>
  <c r="BL98" i="3"/>
  <c r="AZ98" i="3" s="1"/>
  <c r="G101" i="3"/>
  <c r="BL101" i="3"/>
  <c r="AZ101" i="3" s="1"/>
  <c r="BA103" i="3"/>
  <c r="AZ103" i="3" s="1"/>
  <c r="BA105" i="3"/>
  <c r="AZ105" i="3" s="1"/>
  <c r="BA106" i="3"/>
  <c r="AZ106" i="3" s="1"/>
  <c r="BA107" i="3"/>
  <c r="AZ107" i="3" s="1"/>
  <c r="BA109" i="3"/>
  <c r="AZ109" i="3" s="1"/>
  <c r="BA110" i="3"/>
  <c r="AZ110" i="3" s="1"/>
  <c r="BL112" i="3"/>
  <c r="AZ112" i="3" s="1"/>
  <c r="I10" i="57"/>
  <c r="Y22" i="59"/>
  <c r="Z22" i="59" s="1"/>
  <c r="C23" i="59"/>
  <c r="Y20" i="59"/>
  <c r="Z20" i="59" s="1"/>
  <c r="AB22" i="59"/>
  <c r="AB21" i="59"/>
  <c r="AB20" i="59"/>
  <c r="Y26" i="59"/>
  <c r="Z26" i="59" s="1"/>
  <c r="C27" i="59"/>
  <c r="Y30" i="59"/>
  <c r="Z30" i="59" s="1"/>
  <c r="C31" i="59"/>
  <c r="C40" i="59"/>
  <c r="D40" i="59" s="1"/>
  <c r="D39" i="59"/>
  <c r="F59" i="59"/>
  <c r="Q59" i="59" s="1"/>
  <c r="Q60" i="59"/>
  <c r="AE10" i="46"/>
  <c r="AE12" i="46"/>
  <c r="X19" i="59"/>
  <c r="AA18" i="59"/>
  <c r="AA20" i="59"/>
  <c r="X3" i="59"/>
  <c r="Y21" i="59"/>
  <c r="Z21" i="59" s="1"/>
  <c r="AA21" i="59"/>
  <c r="X18" i="59"/>
  <c r="X22" i="59"/>
  <c r="B23" i="59"/>
  <c r="B24" i="59" s="1"/>
  <c r="B25" i="59" s="1"/>
  <c r="S25" i="59" s="1"/>
  <c r="X26" i="59"/>
  <c r="B27" i="59"/>
  <c r="B28" i="59" s="1"/>
  <c r="B29" i="59" s="1"/>
  <c r="S29" i="59" s="1"/>
  <c r="X30" i="59"/>
  <c r="B31" i="59"/>
  <c r="B32" i="59" s="1"/>
  <c r="B33" i="59" s="1"/>
  <c r="S33" i="59" s="1"/>
  <c r="T65" i="59"/>
  <c r="C64" i="59"/>
  <c r="D65" i="59"/>
  <c r="T73" i="59"/>
  <c r="C72" i="59"/>
  <c r="D73" i="59"/>
  <c r="B21" i="59"/>
  <c r="B20" i="59" s="1"/>
  <c r="B19" i="59" s="1"/>
  <c r="X21" i="59"/>
  <c r="AG12" i="46"/>
  <c r="S17" i="59"/>
  <c r="E16" i="59"/>
  <c r="E15" i="59" s="1"/>
  <c r="E14" i="59" s="1"/>
  <c r="E13" i="59" s="1"/>
  <c r="U17" i="59"/>
  <c r="Y18" i="59"/>
  <c r="Z18" i="59" s="1"/>
  <c r="AB18" i="59"/>
  <c r="N16" i="4"/>
  <c r="K17" i="4" s="1"/>
  <c r="A22" i="51" s="1"/>
  <c r="B16" i="63" s="1"/>
  <c r="AA22" i="59"/>
  <c r="X23" i="59"/>
  <c r="AA23" i="59"/>
  <c r="X24" i="59"/>
  <c r="AA24" i="59"/>
  <c r="X25" i="59"/>
  <c r="AA25" i="59"/>
  <c r="AA26" i="59"/>
  <c r="AB26" i="59"/>
  <c r="Y27" i="59"/>
  <c r="Z27" i="59" s="1"/>
  <c r="AB27" i="59"/>
  <c r="Y28" i="59"/>
  <c r="Z28" i="59" s="1"/>
  <c r="AB28" i="59"/>
  <c r="Y29" i="59"/>
  <c r="Z29" i="59" s="1"/>
  <c r="AB29" i="59"/>
  <c r="AA30" i="59"/>
  <c r="B36" i="59"/>
  <c r="B37" i="59" s="1"/>
  <c r="S37" i="59" s="1"/>
  <c r="N76" i="72"/>
  <c r="K76" i="72"/>
  <c r="K77" i="72" s="1"/>
  <c r="K79" i="72" s="1"/>
  <c r="K81" i="72" s="1"/>
  <c r="O76" i="72"/>
  <c r="L76" i="72"/>
  <c r="O76" i="71"/>
  <c r="L76" i="71"/>
  <c r="O76" i="69"/>
  <c r="L76" i="69"/>
  <c r="N76" i="71"/>
  <c r="K76" i="71"/>
  <c r="K77" i="71" s="1"/>
  <c r="K79" i="71" s="1"/>
  <c r="K81" i="71" s="1"/>
  <c r="N76" i="69"/>
  <c r="K76" i="69"/>
  <c r="K77" i="69" s="1"/>
  <c r="K79" i="69" s="1"/>
  <c r="K81" i="69" s="1"/>
  <c r="E5" i="6"/>
  <c r="D21" i="12" s="1"/>
  <c r="C21" i="12" s="1"/>
  <c r="E8" i="6"/>
  <c r="E14" i="6"/>
  <c r="E13" i="6"/>
  <c r="E10" i="6"/>
  <c r="E15" i="6"/>
  <c r="E62" i="40" s="1"/>
  <c r="E12" i="6"/>
  <c r="E11" i="6"/>
  <c r="S6" i="46"/>
  <c r="S3" i="46"/>
  <c r="S5" i="46"/>
  <c r="C103" i="46"/>
  <c r="C23" i="46"/>
  <c r="H104" i="46"/>
  <c r="AE11" i="46"/>
  <c r="AE13" i="46" s="1"/>
  <c r="AI11" i="46"/>
  <c r="AI13" i="46" s="1"/>
  <c r="AH11" i="46"/>
  <c r="AH13" i="46" s="1"/>
  <c r="Z11" i="46"/>
  <c r="Z13" i="46" s="1"/>
  <c r="AG11" i="46"/>
  <c r="AG13" i="46" s="1"/>
  <c r="K101" i="46"/>
  <c r="E101" i="46"/>
  <c r="L101" i="46"/>
  <c r="B113" i="46"/>
  <c r="G101" i="46"/>
  <c r="AJ11" i="46"/>
  <c r="AJ13" i="46" s="1"/>
  <c r="AC11" i="46"/>
  <c r="AC13" i="46" s="1"/>
  <c r="M101" i="46"/>
  <c r="M104" i="46" s="1"/>
  <c r="P11" i="1"/>
  <c r="F101" i="46"/>
  <c r="F103" i="46" s="1"/>
  <c r="G22" i="46"/>
  <c r="D22" i="46"/>
  <c r="C21" i="46" s="1"/>
  <c r="C106" i="46"/>
  <c r="C104" i="46"/>
  <c r="D103" i="46"/>
  <c r="U42" i="21"/>
  <c r="C18" i="9"/>
  <c r="M43" i="9" s="1"/>
  <c r="AC45" i="21"/>
  <c r="S44" i="21"/>
  <c r="AB44" i="21"/>
  <c r="W42" i="21"/>
  <c r="S42" i="21"/>
  <c r="S34" i="21"/>
  <c r="AB33" i="21"/>
  <c r="W32" i="21"/>
  <c r="AC23" i="21"/>
  <c r="U23" i="21"/>
  <c r="S23" i="21"/>
  <c r="S21" i="21"/>
  <c r="U19" i="21"/>
  <c r="S19" i="21"/>
  <c r="U17" i="21"/>
  <c r="AA17" i="21"/>
  <c r="W17" i="21"/>
  <c r="AB15" i="21"/>
  <c r="W15" i="21"/>
  <c r="S10" i="21"/>
  <c r="W9" i="21"/>
  <c r="S8" i="21"/>
  <c r="W40" i="39"/>
  <c r="U40" i="39"/>
  <c r="S40" i="39"/>
  <c r="AC44" i="39"/>
  <c r="AA44" i="39"/>
  <c r="U41" i="39"/>
  <c r="S41" i="39"/>
  <c r="W41" i="39"/>
  <c r="AC31" i="39"/>
  <c r="S31" i="39"/>
  <c r="W29" i="39"/>
  <c r="AB29" i="39"/>
  <c r="U27" i="39"/>
  <c r="S27" i="39"/>
  <c r="W27" i="39"/>
  <c r="AB25" i="39"/>
  <c r="S25" i="39"/>
  <c r="W23" i="39"/>
  <c r="S23" i="39"/>
  <c r="U23" i="39"/>
  <c r="U19" i="39"/>
  <c r="AA19" i="39"/>
  <c r="AC19" i="39"/>
  <c r="AB17" i="39"/>
  <c r="AC17" i="39"/>
  <c r="G17" i="46"/>
  <c r="C16" i="46" s="1"/>
  <c r="D5" i="46" s="1"/>
  <c r="C105" i="46"/>
  <c r="C102" i="46"/>
  <c r="C107" i="46"/>
  <c r="J102" i="46"/>
  <c r="N106" i="46"/>
  <c r="D104" i="46"/>
  <c r="D105" i="46"/>
  <c r="H106" i="46"/>
  <c r="D102" i="46"/>
  <c r="H109" i="46"/>
  <c r="H107" i="46"/>
  <c r="D107" i="46"/>
  <c r="L27" i="6"/>
  <c r="F27" i="6"/>
  <c r="F31" i="6" s="1"/>
  <c r="E16" i="6"/>
  <c r="J103" i="46"/>
  <c r="J107" i="46"/>
  <c r="I107" i="46"/>
  <c r="N107" i="46"/>
  <c r="E67" i="39"/>
  <c r="E63" i="39"/>
  <c r="K15" i="1"/>
  <c r="J109" i="46"/>
  <c r="J105" i="46"/>
  <c r="J104" i="46"/>
  <c r="N102" i="46"/>
  <c r="I103" i="46"/>
  <c r="I104" i="46"/>
  <c r="E58" i="40"/>
  <c r="P10" i="1"/>
  <c r="I105" i="46"/>
  <c r="N103" i="46"/>
  <c r="N109" i="46"/>
  <c r="N104" i="46"/>
  <c r="AP7" i="1"/>
  <c r="G6" i="1"/>
  <c r="O40" i="9"/>
  <c r="R7" i="54" s="1"/>
  <c r="B52" i="63" s="1"/>
  <c r="A25" i="51"/>
  <c r="B18" i="63" s="1"/>
  <c r="F12" i="59"/>
  <c r="F11" i="59" s="1"/>
  <c r="F10" i="59" s="1"/>
  <c r="F9" i="59" s="1"/>
  <c r="V13" i="59"/>
  <c r="K31" i="9"/>
  <c r="K32" i="9" s="1"/>
  <c r="I102" i="46"/>
  <c r="I106" i="46"/>
  <c r="D12" i="11"/>
  <c r="C12" i="11" s="1"/>
  <c r="B38" i="63"/>
  <c r="A3" i="55"/>
  <c r="B56" i="63" s="1"/>
  <c r="AC23" i="36"/>
  <c r="W23" i="36"/>
  <c r="U25" i="33"/>
  <c r="AB32" i="40"/>
  <c r="W35" i="40"/>
  <c r="F72" i="9"/>
  <c r="F66" i="9"/>
  <c r="P72" i="9" s="1"/>
  <c r="AZ520" i="3"/>
  <c r="S9" i="21"/>
  <c r="AA9" i="21"/>
  <c r="AA39" i="37"/>
  <c r="AC40" i="21"/>
  <c r="W8" i="21"/>
  <c r="H9" i="21"/>
  <c r="J12" i="35"/>
  <c r="J34" i="35"/>
  <c r="H34" i="35"/>
  <c r="F34" i="35"/>
  <c r="H12" i="36"/>
  <c r="F23" i="36"/>
  <c r="G536" i="3"/>
  <c r="G524" i="3"/>
  <c r="G512" i="3"/>
  <c r="G489" i="3"/>
  <c r="G481" i="3"/>
  <c r="S10" i="35"/>
  <c r="AC41" i="34"/>
  <c r="W31" i="34"/>
  <c r="AB40" i="37"/>
  <c r="W46" i="33"/>
  <c r="W35" i="35"/>
  <c r="H25" i="37"/>
  <c r="J25" i="37"/>
  <c r="F25" i="37"/>
  <c r="AZ389" i="3"/>
  <c r="AZ400" i="3"/>
  <c r="AZ404" i="3"/>
  <c r="AZ416" i="3"/>
  <c r="AZ421" i="3"/>
  <c r="AZ435" i="3"/>
  <c r="AZ440" i="3"/>
  <c r="AZ453" i="3"/>
  <c r="A30" i="64"/>
  <c r="A30" i="51"/>
  <c r="B22" i="63" s="1"/>
  <c r="A2" i="55"/>
  <c r="B55" i="63" s="1"/>
  <c r="AZ457" i="3"/>
  <c r="AZ462" i="3"/>
  <c r="AZ473" i="3"/>
  <c r="AZ478" i="3"/>
  <c r="AZ318" i="3"/>
  <c r="AZ334" i="3"/>
  <c r="AZ350" i="3"/>
  <c r="AZ387" i="3"/>
  <c r="AZ219" i="3"/>
  <c r="AZ251" i="3"/>
  <c r="AZ264" i="3"/>
  <c r="AZ287" i="3"/>
  <c r="AZ175" i="3"/>
  <c r="AZ211" i="3"/>
  <c r="AZ240" i="3"/>
  <c r="AZ243" i="3"/>
  <c r="AZ256" i="3"/>
  <c r="AZ259" i="3"/>
  <c r="AZ275" i="3"/>
  <c r="AZ279" i="3"/>
  <c r="AZ113" i="3"/>
  <c r="AZ116" i="3"/>
  <c r="AZ129" i="3"/>
  <c r="AZ132" i="3"/>
  <c r="AZ145" i="3"/>
  <c r="AZ148" i="3"/>
  <c r="AZ186" i="3"/>
  <c r="AZ194" i="3"/>
  <c r="AZ22" i="3"/>
  <c r="AZ33" i="3"/>
  <c r="AZ38" i="3"/>
  <c r="AZ49" i="3"/>
  <c r="AZ54" i="3"/>
  <c r="AZ64" i="3"/>
  <c r="AZ69" i="3"/>
  <c r="AZ80" i="3"/>
  <c r="AZ89" i="3"/>
  <c r="AZ104" i="3"/>
  <c r="AZ108" i="3"/>
  <c r="AZ111" i="3"/>
  <c r="B13" i="1"/>
  <c r="E13" i="1" s="1"/>
  <c r="K13" i="1"/>
  <c r="M13" i="1" s="1"/>
  <c r="I21" i="57"/>
  <c r="D1" i="57" s="1"/>
  <c r="E10" i="57" s="1"/>
  <c r="R12" i="1"/>
  <c r="K12" i="1"/>
  <c r="B54" i="46"/>
  <c r="C27" i="40"/>
  <c r="S27" i="40"/>
  <c r="S21" i="34"/>
  <c r="E27" i="59"/>
  <c r="E28" i="59" s="1"/>
  <c r="E29" i="59" s="1"/>
  <c r="U29" i="59" s="1"/>
  <c r="E20" i="59"/>
  <c r="E19" i="59" s="1"/>
  <c r="U21" i="59"/>
  <c r="N4" i="63"/>
  <c r="B21" i="63"/>
  <c r="X16" i="59"/>
  <c r="O58" i="59"/>
  <c r="F23" i="59"/>
  <c r="F24" i="59" s="1"/>
  <c r="F25" i="59" s="1"/>
  <c r="V25" i="59" s="1"/>
  <c r="E31" i="59"/>
  <c r="E32" i="59" s="1"/>
  <c r="E33" i="59" s="1"/>
  <c r="U33" i="59" s="1"/>
  <c r="F31" i="59"/>
  <c r="F32" i="59" s="1"/>
  <c r="F33" i="59" s="1"/>
  <c r="V33" i="59" s="1"/>
  <c r="AA31" i="59"/>
  <c r="D21" i="59"/>
  <c r="T21" i="59"/>
  <c r="C20" i="59"/>
  <c r="A28" i="64"/>
  <c r="Y17" i="59"/>
  <c r="Z17" i="59" s="1"/>
  <c r="AB17" i="59"/>
  <c r="AA16" i="59"/>
  <c r="AA14" i="59"/>
  <c r="Y11" i="59"/>
  <c r="Z11" i="59" s="1"/>
  <c r="AB11" i="59"/>
  <c r="X7" i="59"/>
  <c r="AA7" i="59"/>
  <c r="X10" i="59"/>
  <c r="AA10" i="59"/>
  <c r="Q58" i="59"/>
  <c r="F20" i="59"/>
  <c r="F19" i="59" s="1"/>
  <c r="S21" i="59"/>
  <c r="X17" i="59"/>
  <c r="X14" i="59"/>
  <c r="Y16" i="59"/>
  <c r="Z16" i="59" s="1"/>
  <c r="AB16" i="59"/>
  <c r="X11" i="59"/>
  <c r="AA11" i="59"/>
  <c r="Y7" i="59"/>
  <c r="Z7" i="59" s="1"/>
  <c r="Y10" i="59"/>
  <c r="Z10" i="59" s="1"/>
  <c r="AB6" i="59"/>
  <c r="AB8" i="59"/>
  <c r="AB10" i="59"/>
  <c r="AB5" i="59"/>
  <c r="AB7" i="59"/>
  <c r="Y6" i="59"/>
  <c r="Z6" i="59" s="1"/>
  <c r="AA5" i="59"/>
  <c r="X6" i="59"/>
  <c r="AA8" i="59"/>
  <c r="X9" i="59"/>
  <c r="Y5" i="59"/>
  <c r="Z5" i="59" s="1"/>
  <c r="AA6" i="59"/>
  <c r="X5" i="59"/>
  <c r="C95" i="9"/>
  <c r="C92" i="9" s="1"/>
  <c r="C25" i="12"/>
  <c r="C31" i="43"/>
  <c r="C30" i="44"/>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33"/>
  <c r="J7" i="21"/>
  <c r="C18" i="11"/>
  <c r="K77" i="9"/>
  <c r="K79" i="9" s="1"/>
  <c r="K81" i="9" s="1"/>
  <c r="E12" i="52"/>
  <c r="B15" i="52"/>
  <c r="F31" i="15"/>
  <c r="F33" i="44"/>
  <c r="B9" i="59"/>
  <c r="X8" i="59"/>
  <c r="Y8" i="59"/>
  <c r="Z8" i="59" s="1"/>
  <c r="B4" i="52"/>
  <c r="B7" i="52"/>
  <c r="E14" i="52"/>
  <c r="E6" i="52"/>
  <c r="E11" i="52"/>
  <c r="E9" i="52"/>
  <c r="E7" i="52"/>
  <c r="B9" i="52"/>
  <c r="E4" i="52"/>
  <c r="E13" i="52"/>
  <c r="B8" i="52"/>
  <c r="E10" i="52"/>
  <c r="B10" i="52"/>
  <c r="B6" i="52"/>
  <c r="B5" i="52"/>
  <c r="B11" i="52"/>
  <c r="B12" i="52"/>
  <c r="E8" i="52"/>
  <c r="B14" i="52"/>
  <c r="E5" i="52"/>
  <c r="Y3" i="59"/>
  <c r="Z3" i="59" s="1"/>
  <c r="AB9" i="59"/>
  <c r="AA9" i="59"/>
  <c r="Y9" i="59"/>
  <c r="Z9" i="59" s="1"/>
  <c r="P22" i="46"/>
  <c r="P24" i="46"/>
  <c r="B68" i="40" s="1"/>
  <c r="P23" i="46"/>
  <c r="P25" i="46"/>
  <c r="B73" i="39" s="1"/>
  <c r="P21" i="46"/>
  <c r="E20" i="46"/>
  <c r="C36" i="44"/>
  <c r="Q73" i="44"/>
  <c r="C29" i="44"/>
  <c r="C8" i="44"/>
  <c r="J1" i="65"/>
  <c r="C27" i="15"/>
  <c r="I1" i="65"/>
  <c r="F70" i="15"/>
  <c r="M9" i="44"/>
  <c r="J8" i="44" s="1"/>
  <c r="L59" i="15"/>
  <c r="L58" i="15"/>
  <c r="L60" i="44"/>
  <c r="L59" i="44"/>
  <c r="J53" i="15"/>
  <c r="J57" i="15"/>
  <c r="J55" i="15" s="1"/>
  <c r="J58" i="15" s="1"/>
  <c r="Q51" i="15" s="1"/>
  <c r="I54" i="15"/>
  <c r="L56" i="15"/>
  <c r="J20" i="15"/>
  <c r="I55" i="44"/>
  <c r="J54" i="44"/>
  <c r="L57" i="44"/>
  <c r="J58" i="44"/>
  <c r="J56" i="44" s="1"/>
  <c r="J59" i="44" s="1"/>
  <c r="Q52" i="44" s="1"/>
  <c r="J60" i="44"/>
  <c r="J61" i="44"/>
  <c r="Q50" i="44" s="1"/>
  <c r="Q72" i="15"/>
  <c r="J22" i="44"/>
  <c r="C4" i="65"/>
  <c r="B39" i="1" s="1"/>
  <c r="M27" i="15"/>
  <c r="F37" i="15"/>
  <c r="C18" i="44"/>
  <c r="F36" i="15"/>
  <c r="M9" i="15"/>
  <c r="F9" i="15"/>
  <c r="F7" i="15"/>
  <c r="I5" i="65"/>
  <c r="E3" i="65"/>
  <c r="I6" i="65"/>
  <c r="F40" i="15"/>
  <c r="M23" i="15"/>
  <c r="F35" i="15"/>
  <c r="F8" i="15"/>
  <c r="M28" i="15"/>
  <c r="F38" i="15"/>
  <c r="J15" i="15"/>
  <c r="F41" i="15"/>
  <c r="C16" i="15"/>
  <c r="F42" i="15"/>
  <c r="C17" i="15"/>
  <c r="D16" i="59" l="1"/>
  <c r="C15" i="59"/>
  <c r="AZ58" i="3"/>
  <c r="P58" i="59"/>
  <c r="P59" i="59"/>
  <c r="C53" i="59"/>
  <c r="D52" i="59"/>
  <c r="AZ26" i="3"/>
  <c r="AZ268" i="3"/>
  <c r="AZ236" i="3"/>
  <c r="AZ216" i="3"/>
  <c r="AZ212" i="3"/>
  <c r="AZ445" i="3"/>
  <c r="AZ441" i="3"/>
  <c r="AZ431" i="3"/>
  <c r="AZ429" i="3"/>
  <c r="AZ425" i="3"/>
  <c r="AZ401" i="3"/>
  <c r="AZ390" i="3"/>
  <c r="AZ467" i="3"/>
  <c r="AZ465" i="3"/>
  <c r="W12" i="33"/>
  <c r="AC12" i="33"/>
  <c r="K34" i="9"/>
  <c r="H7" i="34"/>
  <c r="M109" i="46"/>
  <c r="D45" i="59"/>
  <c r="T45" i="59"/>
  <c r="AZ102" i="3"/>
  <c r="AB26" i="37"/>
  <c r="U26" i="37"/>
  <c r="F64" i="15"/>
  <c r="F49" i="15"/>
  <c r="F58" i="15" s="1"/>
  <c r="M7" i="15"/>
  <c r="M17" i="15" s="1"/>
  <c r="F50" i="15"/>
  <c r="C6" i="15"/>
  <c r="C32" i="15" s="1"/>
  <c r="F68" i="15"/>
  <c r="C34" i="15"/>
  <c r="F62" i="15"/>
  <c r="C61" i="15" s="1"/>
  <c r="F65" i="15"/>
  <c r="F63" i="15"/>
  <c r="F67" i="15"/>
  <c r="G30" i="6"/>
  <c r="G31" i="6" s="1"/>
  <c r="E28" i="6"/>
  <c r="E12" i="59"/>
  <c r="E11" i="59" s="1"/>
  <c r="E10" i="59" s="1"/>
  <c r="E9" i="59" s="1"/>
  <c r="U13" i="59"/>
  <c r="D72" i="59"/>
  <c r="C71" i="59"/>
  <c r="D71" i="59" s="1"/>
  <c r="C32" i="59"/>
  <c r="D31" i="59"/>
  <c r="D27" i="59"/>
  <c r="C28" i="59"/>
  <c r="C24" i="59"/>
  <c r="D23" i="59"/>
  <c r="AB31" i="39"/>
  <c r="U31" i="39"/>
  <c r="U21" i="21"/>
  <c r="AB21" i="21"/>
  <c r="S37" i="21"/>
  <c r="AA37" i="21"/>
  <c r="AA29" i="39"/>
  <c r="S29" i="39"/>
  <c r="BA5" i="3"/>
  <c r="E27" i="6" s="1"/>
  <c r="F7" i="34"/>
  <c r="J7" i="34"/>
  <c r="H7" i="21"/>
  <c r="AZ5" i="3"/>
  <c r="C63" i="59"/>
  <c r="D63" i="59" s="1"/>
  <c r="D64" i="59"/>
  <c r="W21" i="21"/>
  <c r="AC21" i="21"/>
  <c r="C95" i="72"/>
  <c r="C92" i="72" s="1"/>
  <c r="C95" i="69"/>
  <c r="C92" i="69" s="1"/>
  <c r="C95" i="71"/>
  <c r="C92" i="71" s="1"/>
  <c r="AA9" i="35"/>
  <c r="S9" i="35"/>
  <c r="U12" i="21"/>
  <c r="AB12" i="21"/>
  <c r="AC34" i="36"/>
  <c r="W34" i="36"/>
  <c r="W37" i="21"/>
  <c r="AC37" i="21"/>
  <c r="W19" i="21"/>
  <c r="AC19" i="21"/>
  <c r="BL5" i="3"/>
  <c r="M102" i="46"/>
  <c r="M107" i="46"/>
  <c r="F102" i="46"/>
  <c r="M105" i="46"/>
  <c r="M106" i="46"/>
  <c r="M103" i="46"/>
  <c r="F109" i="46"/>
  <c r="G106" i="46"/>
  <c r="G104" i="46"/>
  <c r="G107" i="46"/>
  <c r="G103" i="46"/>
  <c r="G102" i="46"/>
  <c r="G105" i="46"/>
  <c r="G109" i="46"/>
  <c r="L102" i="46"/>
  <c r="L104" i="46"/>
  <c r="L109" i="46"/>
  <c r="L107" i="46"/>
  <c r="L105" i="46"/>
  <c r="L106" i="46"/>
  <c r="L103" i="46"/>
  <c r="K107" i="46"/>
  <c r="K102" i="46"/>
  <c r="K104" i="46"/>
  <c r="K109" i="46"/>
  <c r="K103" i="46"/>
  <c r="K106" i="46"/>
  <c r="K105" i="46"/>
  <c r="E65" i="39"/>
  <c r="E60" i="40"/>
  <c r="E58" i="39"/>
  <c r="E53" i="40"/>
  <c r="F106" i="46"/>
  <c r="F107" i="46"/>
  <c r="F104" i="46"/>
  <c r="F105" i="46"/>
  <c r="I116" i="46"/>
  <c r="J116" i="46" s="1"/>
  <c r="K116" i="46" s="1"/>
  <c r="L116" i="46" s="1"/>
  <c r="M116" i="46" s="1"/>
  <c r="I118" i="46"/>
  <c r="J118" i="46" s="1"/>
  <c r="K118" i="46" s="1"/>
  <c r="L118" i="46" s="1"/>
  <c r="M118" i="46" s="1"/>
  <c r="D116" i="46"/>
  <c r="E116" i="46" s="1"/>
  <c r="F116" i="46" s="1"/>
  <c r="G116" i="46" s="1"/>
  <c r="H116" i="46" s="1"/>
  <c r="D115" i="46"/>
  <c r="E115" i="46" s="1"/>
  <c r="F115" i="46" s="1"/>
  <c r="G115" i="46" s="1"/>
  <c r="H115" i="46" s="1"/>
  <c r="G118" i="46"/>
  <c r="H118" i="46" s="1"/>
  <c r="B118" i="46"/>
  <c r="C118" i="46" s="1"/>
  <c r="I115" i="46"/>
  <c r="J115" i="46" s="1"/>
  <c r="K115" i="46" s="1"/>
  <c r="L115" i="46" s="1"/>
  <c r="M115" i="46" s="1"/>
  <c r="B115" i="46"/>
  <c r="B116" i="46"/>
  <c r="C116" i="46" s="1"/>
  <c r="D117" i="46"/>
  <c r="E117" i="46" s="1"/>
  <c r="F117" i="46" s="1"/>
  <c r="G117" i="46" s="1"/>
  <c r="H117" i="46" s="1"/>
  <c r="D118" i="46"/>
  <c r="E118" i="46" s="1"/>
  <c r="F118" i="46" s="1"/>
  <c r="I117" i="46"/>
  <c r="J117" i="46" s="1"/>
  <c r="K117" i="46" s="1"/>
  <c r="L117" i="46" s="1"/>
  <c r="M117" i="46" s="1"/>
  <c r="B117" i="46"/>
  <c r="C117" i="46" s="1"/>
  <c r="E104" i="46"/>
  <c r="E105" i="46"/>
  <c r="E102" i="46"/>
  <c r="E109" i="46"/>
  <c r="E106" i="46"/>
  <c r="E103" i="46"/>
  <c r="E107" i="46"/>
  <c r="E59" i="40"/>
  <c r="E64" i="39"/>
  <c r="E66" i="39"/>
  <c r="E61" i="40"/>
  <c r="C5" i="46"/>
  <c r="D18" i="9"/>
  <c r="M44" i="9" s="1"/>
  <c r="K20" i="6"/>
  <c r="M20" i="6" s="1"/>
  <c r="I20" i="6" s="1"/>
  <c r="S20" i="6" s="1"/>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K19" i="6"/>
  <c r="S6" i="1" s="1"/>
  <c r="S16" i="1" s="1"/>
  <c r="G16" i="1"/>
  <c r="J12" i="40" s="1"/>
  <c r="E3" i="6"/>
  <c r="E8" i="59"/>
  <c r="E7" i="59" s="1"/>
  <c r="E6" i="59" s="1"/>
  <c r="E5" i="59" s="1"/>
  <c r="U5" i="59" s="1"/>
  <c r="U9" i="59"/>
  <c r="C19" i="59"/>
  <c r="D19" i="59" s="1"/>
  <c r="D20" i="59"/>
  <c r="M12" i="1"/>
  <c r="H16" i="1"/>
  <c r="Q16" i="1"/>
  <c r="O13" i="1"/>
  <c r="P13" i="1" s="1"/>
  <c r="W25" i="37"/>
  <c r="AC25" i="37"/>
  <c r="G5" i="3"/>
  <c r="B3" i="3" s="1"/>
  <c r="E481" i="3" s="1"/>
  <c r="U12" i="36"/>
  <c r="AB12" i="36"/>
  <c r="AB34" i="35"/>
  <c r="U34" i="35"/>
  <c r="W12" i="35"/>
  <c r="AC12" i="35"/>
  <c r="AP16" i="1"/>
  <c r="F22" i="11" s="1"/>
  <c r="F8" i="59"/>
  <c r="F7" i="59" s="1"/>
  <c r="F6" i="59" s="1"/>
  <c r="F5" i="59" s="1"/>
  <c r="V5" i="59" s="1"/>
  <c r="V9" i="59"/>
  <c r="B8" i="59"/>
  <c r="B7" i="59" s="1"/>
  <c r="B6" i="59" s="1"/>
  <c r="B5" i="59" s="1"/>
  <c r="S5" i="59" s="1"/>
  <c r="S9" i="59"/>
  <c r="F7" i="21"/>
  <c r="S7" i="21" s="1"/>
  <c r="AA25" i="37"/>
  <c r="S25" i="37"/>
  <c r="U25" i="37"/>
  <c r="AB25" i="37"/>
  <c r="AA23" i="36"/>
  <c r="S23" i="36"/>
  <c r="S34" i="35"/>
  <c r="AA34" i="35"/>
  <c r="AC34" i="35"/>
  <c r="W34" i="35"/>
  <c r="AB9" i="21"/>
  <c r="U9" i="21"/>
  <c r="H7" i="35"/>
  <c r="U7" i="35" s="1"/>
  <c r="E65" i="40"/>
  <c r="D67" i="40"/>
  <c r="AC7" i="33"/>
  <c r="V48" i="33" s="1"/>
  <c r="I48" i="33" s="1"/>
  <c r="W7" i="33"/>
  <c r="S7" i="34"/>
  <c r="AA7" i="34"/>
  <c r="R49" i="34" s="1"/>
  <c r="W7" i="34"/>
  <c r="AC7" i="34"/>
  <c r="V49" i="34" s="1"/>
  <c r="I49" i="34" s="1"/>
  <c r="U7" i="21"/>
  <c r="AB7" i="21"/>
  <c r="T48" i="21" s="1"/>
  <c r="G48" i="21" s="1"/>
  <c r="AB7" i="35"/>
  <c r="T38" i="35" s="1"/>
  <c r="G38" i="35" s="1"/>
  <c r="J7" i="37"/>
  <c r="W7" i="21"/>
  <c r="AC7" i="21"/>
  <c r="V48" i="21" s="1"/>
  <c r="I48" i="21" s="1"/>
  <c r="D72" i="39"/>
  <c r="E70" i="39"/>
  <c r="AB7" i="34"/>
  <c r="T49" i="34" s="1"/>
  <c r="G49" i="34" s="1"/>
  <c r="U7" i="34"/>
  <c r="H7" i="33"/>
  <c r="F7" i="33"/>
  <c r="J46" i="36"/>
  <c r="J7" i="35"/>
  <c r="F7" i="35"/>
  <c r="H7" i="37"/>
  <c r="F7" i="37"/>
  <c r="M19" i="44"/>
  <c r="C19" i="46"/>
  <c r="C34" i="46" s="1"/>
  <c r="F17" i="11"/>
  <c r="C17" i="11" s="1"/>
  <c r="C19" i="11" s="1"/>
  <c r="L47" i="44"/>
  <c r="Q62" i="15"/>
  <c r="Q75" i="15"/>
  <c r="M13" i="44"/>
  <c r="J12" i="44" s="1"/>
  <c r="J7" i="44" s="1"/>
  <c r="F11" i="15"/>
  <c r="M11" i="15"/>
  <c r="J10" i="15" s="1"/>
  <c r="F13" i="44"/>
  <c r="C12" i="44" s="1"/>
  <c r="C7" i="44" s="1"/>
  <c r="Q75" i="44"/>
  <c r="Q62" i="44"/>
  <c r="M28" i="46"/>
  <c r="P28" i="46"/>
  <c r="O28" i="46"/>
  <c r="N28" i="46"/>
  <c r="F1" i="44"/>
  <c r="Q54" i="44"/>
  <c r="J20" i="44"/>
  <c r="Q63" i="44"/>
  <c r="Q76" i="44"/>
  <c r="C34" i="44"/>
  <c r="F1" i="15"/>
  <c r="Q53" i="15"/>
  <c r="Q61" i="15"/>
  <c r="Q74" i="15"/>
  <c r="E2" i="65"/>
  <c r="B40" i="1" l="1"/>
  <c r="C48" i="15"/>
  <c r="D53" i="59"/>
  <c r="T53" i="59"/>
  <c r="D15" i="59"/>
  <c r="C14" i="59"/>
  <c r="J6" i="15"/>
  <c r="J18" i="15" s="1"/>
  <c r="D24" i="59"/>
  <c r="C25" i="59"/>
  <c r="D32" i="59"/>
  <c r="C33" i="59"/>
  <c r="C29" i="59"/>
  <c r="D28" i="59"/>
  <c r="K14" i="1"/>
  <c r="E30" i="6"/>
  <c r="E31" i="6" s="1"/>
  <c r="C115" i="46"/>
  <c r="D113" i="46" s="1"/>
  <c r="L38" i="72"/>
  <c r="D45" i="72"/>
  <c r="L38" i="69"/>
  <c r="D46" i="72"/>
  <c r="L38" i="71"/>
  <c r="D46" i="71"/>
  <c r="D45" i="71"/>
  <c r="D45" i="69"/>
  <c r="D46" i="69"/>
  <c r="C33" i="72"/>
  <c r="C33" i="71"/>
  <c r="C33" i="69"/>
  <c r="D44" i="72"/>
  <c r="D44" i="69"/>
  <c r="D44" i="71"/>
  <c r="AA7" i="21"/>
  <c r="R48" i="21" s="1"/>
  <c r="R49" i="21" s="1"/>
  <c r="F12" i="39"/>
  <c r="E489" i="3"/>
  <c r="E512" i="3"/>
  <c r="F12" i="40"/>
  <c r="H12" i="39"/>
  <c r="M19" i="6"/>
  <c r="K27" i="6"/>
  <c r="W12" i="40"/>
  <c r="AC12" i="40"/>
  <c r="H12" i="40"/>
  <c r="J12" i="39"/>
  <c r="E524" i="3"/>
  <c r="E536" i="3"/>
  <c r="D16" i="43"/>
  <c r="C16" i="43" s="1"/>
  <c r="E6" i="6"/>
  <c r="L38" i="9"/>
  <c r="B14" i="66" s="1"/>
  <c r="D45" i="9"/>
  <c r="C21" i="4"/>
  <c r="O5" i="54" s="1"/>
  <c r="B45" i="63" s="1"/>
  <c r="D16" i="12"/>
  <c r="D46" i="9"/>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395" i="3"/>
  <c r="E41" i="3"/>
  <c r="E471" i="3"/>
  <c r="E418" i="3"/>
  <c r="E408" i="3"/>
  <c r="E92" i="3"/>
  <c r="E238" i="3"/>
  <c r="E414" i="3"/>
  <c r="E44" i="3"/>
  <c r="E202" i="3"/>
  <c r="E472" i="3"/>
  <c r="E187" i="3"/>
  <c r="E253" i="3"/>
  <c r="E225" i="3"/>
  <c r="E537" i="3"/>
  <c r="E199" i="3"/>
  <c r="E54" i="3"/>
  <c r="E423" i="3"/>
  <c r="E452" i="3"/>
  <c r="E435" i="3"/>
  <c r="E213" i="3"/>
  <c r="E490"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95" i="3"/>
  <c r="E19" i="3"/>
  <c r="E498" i="3"/>
  <c r="E212" i="3"/>
  <c r="E298" i="3"/>
  <c r="E35" i="3"/>
  <c r="E361" i="3"/>
  <c r="E182" i="3"/>
  <c r="E315" i="3"/>
  <c r="E267" i="3"/>
  <c r="E323" i="3"/>
  <c r="E312" i="3"/>
  <c r="E159" i="3"/>
  <c r="E514" i="3"/>
  <c r="E501" i="3"/>
  <c r="E384" i="3"/>
  <c r="E371" i="3"/>
  <c r="E310" i="3"/>
  <c r="E567" i="3"/>
  <c r="E487" i="3"/>
  <c r="E329" i="3"/>
  <c r="AB6" i="3"/>
  <c r="E26" i="3"/>
  <c r="S6" i="3"/>
  <c r="E322" i="3"/>
  <c r="E511" i="3"/>
  <c r="E17" i="3"/>
  <c r="E377" i="3"/>
  <c r="E18" i="3"/>
  <c r="E358" i="3"/>
  <c r="E509" i="3"/>
  <c r="E20" i="3"/>
  <c r="E564" i="3"/>
  <c r="E86" i="3"/>
  <c r="E68" i="3"/>
  <c r="E135" i="3"/>
  <c r="E147" i="3"/>
  <c r="E22" i="3"/>
  <c r="E439" i="3"/>
  <c r="E459" i="3"/>
  <c r="E117" i="3"/>
  <c r="E231" i="3"/>
  <c r="E528" i="3"/>
  <c r="E470" i="3"/>
  <c r="E349" i="3"/>
  <c r="E186" i="3"/>
  <c r="E299" i="3"/>
  <c r="E327" i="3"/>
  <c r="E548" i="3"/>
  <c r="Z6" i="3"/>
  <c r="E454" i="3"/>
  <c r="E520" i="3"/>
  <c r="AK6" i="3"/>
  <c r="E297" i="3"/>
  <c r="E411" i="3"/>
  <c r="E250" i="3"/>
  <c r="AN6" i="3"/>
  <c r="E280" i="3"/>
  <c r="E59" i="3"/>
  <c r="E270" i="3"/>
  <c r="E464" i="3"/>
  <c r="E157" i="3"/>
  <c r="E209" i="3"/>
  <c r="E161" i="3"/>
  <c r="E450"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83" i="3"/>
  <c r="E124" i="3"/>
  <c r="E266" i="3"/>
  <c r="E215" i="3"/>
  <c r="I6" i="3"/>
  <c r="H6" i="3" s="1"/>
  <c r="E103" i="3"/>
  <c r="E200" i="3"/>
  <c r="E62" i="3"/>
  <c r="E389" i="3"/>
  <c r="E230" i="3"/>
  <c r="E143" i="3"/>
  <c r="F24" i="43"/>
  <c r="C26" i="43" s="1"/>
  <c r="D24" i="43" s="1"/>
  <c r="F33" i="12"/>
  <c r="C34" i="12" s="1"/>
  <c r="D33" i="12" s="1"/>
  <c r="O12" i="1"/>
  <c r="AY6" i="3"/>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AA7" i="33"/>
  <c r="R48" i="33" s="1"/>
  <c r="S7" i="33"/>
  <c r="F70" i="39"/>
  <c r="E72" i="39"/>
  <c r="G52" i="21"/>
  <c r="H52" i="21" s="1"/>
  <c r="G53" i="21"/>
  <c r="H53" i="21" s="1"/>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9" i="46"/>
  <c r="I39" i="46" s="1"/>
  <c r="E34" i="46"/>
  <c r="G34" i="46"/>
  <c r="I34" i="46" s="1"/>
  <c r="C40" i="44"/>
  <c r="J28" i="44"/>
  <c r="J31" i="44" s="1"/>
  <c r="J26" i="44"/>
  <c r="C52" i="15"/>
  <c r="C10" i="15"/>
  <c r="C5" i="15" s="1"/>
  <c r="C20" i="11"/>
  <c r="C21" i="11" s="1"/>
  <c r="C22" i="11" s="1"/>
  <c r="C23" i="11" s="1"/>
  <c r="B2" i="11" s="1"/>
  <c r="C47" i="15" l="1"/>
  <c r="C59" i="15" s="1"/>
  <c r="E36" i="46"/>
  <c r="C13" i="59"/>
  <c r="D14" i="59"/>
  <c r="J5" i="15"/>
  <c r="J26" i="15" s="1"/>
  <c r="J29" i="15" s="1"/>
  <c r="M14" i="1"/>
  <c r="K16" i="1"/>
  <c r="L22" i="1" s="1"/>
  <c r="L23" i="1" s="1"/>
  <c r="D29" i="59"/>
  <c r="T29" i="59"/>
  <c r="D33" i="59"/>
  <c r="T33" i="59"/>
  <c r="D25" i="59"/>
  <c r="T25" i="59"/>
  <c r="B24" i="31"/>
  <c r="D42" i="69"/>
  <c r="N38" i="69"/>
  <c r="K28" i="69" s="1"/>
  <c r="N38" i="72"/>
  <c r="K28" i="72" s="1"/>
  <c r="D42" i="72"/>
  <c r="D42" i="71"/>
  <c r="N38" i="71"/>
  <c r="K28" i="71" s="1"/>
  <c r="E48" i="21"/>
  <c r="E53" i="21" s="1"/>
  <c r="F53" i="21" s="1"/>
  <c r="S12" i="39"/>
  <c r="AA12" i="39"/>
  <c r="AC6" i="3"/>
  <c r="E6" i="3" s="1"/>
  <c r="U12" i="39"/>
  <c r="AB12" i="39"/>
  <c r="I19" i="6"/>
  <c r="M27" i="6"/>
  <c r="S12" i="40"/>
  <c r="AA12" i="40"/>
  <c r="W12" i="39"/>
  <c r="AC12" i="39"/>
  <c r="U12" i="40"/>
  <c r="AB12" i="40"/>
  <c r="G33" i="46"/>
  <c r="I33" i="46" s="1"/>
  <c r="E37" i="46"/>
  <c r="E35" i="46"/>
  <c r="E38" i="4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P12" i="1"/>
  <c r="D13" i="11"/>
  <c r="C13" i="11" s="1"/>
  <c r="D22" i="12"/>
  <c r="C22" i="12" s="1"/>
  <c r="C20" i="12" s="1"/>
  <c r="D19" i="12"/>
  <c r="C19" i="12" s="1"/>
  <c r="C16" i="12"/>
  <c r="F67" i="40"/>
  <c r="G65" i="40"/>
  <c r="C50" i="34"/>
  <c r="B3" i="34" s="1"/>
  <c r="B2" i="34" s="1"/>
  <c r="C49" i="34"/>
  <c r="G70" i="39"/>
  <c r="F72" i="39"/>
  <c r="R49" i="33"/>
  <c r="E48" i="33"/>
  <c r="L46" i="36"/>
  <c r="R39" i="35"/>
  <c r="E38" i="35"/>
  <c r="R43" i="37"/>
  <c r="E42" i="37"/>
  <c r="E54" i="34"/>
  <c r="F54" i="34" s="1"/>
  <c r="E53" i="34"/>
  <c r="F53" i="34" s="1"/>
  <c r="I54" i="34"/>
  <c r="J54" i="34" s="1"/>
  <c r="C48" i="21"/>
  <c r="C49" i="21"/>
  <c r="B3" i="21" s="1"/>
  <c r="I46" i="37"/>
  <c r="J46" i="37" s="1"/>
  <c r="I47" i="37"/>
  <c r="J47" i="37" s="1"/>
  <c r="G52" i="33"/>
  <c r="H52" i="33" s="1"/>
  <c r="G53" i="33"/>
  <c r="H53" i="33" s="1"/>
  <c r="I42" i="35"/>
  <c r="J42" i="35" s="1"/>
  <c r="I43" i="35"/>
  <c r="J43" i="35" s="1"/>
  <c r="G46" i="37"/>
  <c r="H46" i="37" s="1"/>
  <c r="G47" i="37"/>
  <c r="H47" i="37" s="1"/>
  <c r="E29" i="46"/>
  <c r="C27" i="46"/>
  <c r="C65" i="15"/>
  <c r="B5" i="11"/>
  <c r="B3" i="11"/>
  <c r="B4" i="11"/>
  <c r="C38" i="15"/>
  <c r="Q58" i="44"/>
  <c r="Q67" i="44"/>
  <c r="Q49" i="44"/>
  <c r="Q55" i="44" s="1"/>
  <c r="F7" i="67"/>
  <c r="T13" i="59" l="1"/>
  <c r="C12" i="59"/>
  <c r="D13" i="59"/>
  <c r="J24" i="15"/>
  <c r="N22" i="1"/>
  <c r="N23" i="1"/>
  <c r="O14" i="1"/>
  <c r="P14" i="1" s="1"/>
  <c r="T8" i="1"/>
  <c r="T12" i="1"/>
  <c r="T10" i="1"/>
  <c r="T6" i="1"/>
  <c r="T7" i="1"/>
  <c r="T9" i="1"/>
  <c r="T13" i="1"/>
  <c r="T11" i="1"/>
  <c r="T16" i="1" s="1"/>
  <c r="K38" i="72"/>
  <c r="E46" i="72"/>
  <c r="F46" i="72"/>
  <c r="K38" i="71"/>
  <c r="F45" i="72"/>
  <c r="E45" i="72"/>
  <c r="K38" i="69"/>
  <c r="E46" i="69"/>
  <c r="E46" i="71"/>
  <c r="F45" i="71"/>
  <c r="E45" i="71"/>
  <c r="F45" i="69"/>
  <c r="E45" i="69"/>
  <c r="F46" i="69"/>
  <c r="F46" i="71"/>
  <c r="G22" i="71"/>
  <c r="G22" i="69"/>
  <c r="G22" i="72"/>
  <c r="C35" i="72"/>
  <c r="F42" i="72" s="1"/>
  <c r="C35" i="69"/>
  <c r="F42" i="69" s="1"/>
  <c r="C34" i="72"/>
  <c r="C35" i="71"/>
  <c r="F42" i="71" s="1"/>
  <c r="C34" i="69"/>
  <c r="C34" i="71"/>
  <c r="F44" i="72"/>
  <c r="E44" i="72"/>
  <c r="F44" i="71"/>
  <c r="E44" i="69"/>
  <c r="E44" i="71"/>
  <c r="F44" i="69"/>
  <c r="B22" i="31"/>
  <c r="C25" i="31"/>
  <c r="C27" i="31"/>
  <c r="C26" i="31"/>
  <c r="B2" i="21"/>
  <c r="C10" i="12" s="1"/>
  <c r="C6" i="12" s="1"/>
  <c r="C29" i="12" s="1"/>
  <c r="C8" i="12"/>
  <c r="E52" i="21"/>
  <c r="F52" i="21" s="1"/>
  <c r="I53" i="21"/>
  <c r="J53" i="21" s="1"/>
  <c r="I27" i="6"/>
  <c r="S19" i="6"/>
  <c r="S27" i="6" s="1"/>
  <c r="C22" i="4"/>
  <c r="D21" i="6"/>
  <c r="D10" i="6"/>
  <c r="H21" i="6"/>
  <c r="D6" i="6"/>
  <c r="D14" i="6"/>
  <c r="D20" i="6"/>
  <c r="H23" i="6"/>
  <c r="F45" i="9"/>
  <c r="E68" i="39"/>
  <c r="D24" i="6"/>
  <c r="H20" i="6"/>
  <c r="D9" i="6"/>
  <c r="D29" i="6"/>
  <c r="D15" i="6"/>
  <c r="E46" i="9"/>
  <c r="E63" i="40"/>
  <c r="D19" i="6"/>
  <c r="D25" i="6"/>
  <c r="D13" i="6"/>
  <c r="H24" i="6"/>
  <c r="D23" i="6"/>
  <c r="D28" i="6"/>
  <c r="D8" i="6"/>
  <c r="E45" i="9"/>
  <c r="K38" i="9"/>
  <c r="C14" i="66" s="1"/>
  <c r="C17" i="31" s="1"/>
  <c r="D26" i="6"/>
  <c r="D22" i="6"/>
  <c r="D12" i="6"/>
  <c r="H25" i="6"/>
  <c r="D5" i="6"/>
  <c r="H22" i="6"/>
  <c r="H26" i="6"/>
  <c r="F46" i="9"/>
  <c r="H19" i="6"/>
  <c r="D11" i="6"/>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C14" i="15"/>
  <c r="B7" i="67"/>
  <c r="E7" i="67"/>
  <c r="C16" i="44"/>
  <c r="D12" i="59" l="1"/>
  <c r="C11" i="59"/>
  <c r="C18" i="15"/>
  <c r="C15" i="15"/>
  <c r="C17" i="44"/>
  <c r="C20" i="44"/>
  <c r="N24" i="1"/>
  <c r="M24" i="1" s="1"/>
  <c r="L6" i="1" s="1"/>
  <c r="D30" i="6"/>
  <c r="M38" i="71"/>
  <c r="K27" i="71" s="1"/>
  <c r="E42" i="71"/>
  <c r="E42" i="69"/>
  <c r="M38" i="69"/>
  <c r="K27" i="69" s="1"/>
  <c r="E42" i="72"/>
  <c r="M38" i="72"/>
  <c r="K27" i="72" s="1"/>
  <c r="C24" i="12"/>
  <c r="H27" i="6"/>
  <c r="D16" i="6"/>
  <c r="R23" i="6"/>
  <c r="R24" i="6"/>
  <c r="R20" i="6"/>
  <c r="R22" i="6"/>
  <c r="R25" i="6"/>
  <c r="R21" i="6"/>
  <c r="R26" i="6"/>
  <c r="R19" i="6"/>
  <c r="D27" i="6"/>
  <c r="A6" i="51"/>
  <c r="B7" i="63" s="1"/>
  <c r="A6" i="64"/>
  <c r="A20" i="51"/>
  <c r="B15" i="63" s="1"/>
  <c r="N5" i="54"/>
  <c r="B43" i="63" s="1"/>
  <c r="A20" i="64"/>
  <c r="I65" i="40"/>
  <c r="H67" i="40"/>
  <c r="H72" i="39"/>
  <c r="I70" i="39"/>
  <c r="N46" i="36"/>
  <c r="E3" i="67"/>
  <c r="B2" i="67"/>
  <c r="D4" i="46"/>
  <c r="B3" i="46"/>
  <c r="B4" i="46"/>
  <c r="D11" i="59" l="1"/>
  <c r="C10" i="59"/>
  <c r="C21" i="44"/>
  <c r="C22" i="44" s="1"/>
  <c r="C19" i="15"/>
  <c r="C20" i="15" s="1"/>
  <c r="C26" i="15" s="1"/>
  <c r="M6" i="1"/>
  <c r="D31" i="6"/>
  <c r="Q30" i="31"/>
  <c r="Q32" i="31"/>
  <c r="Q34" i="31"/>
  <c r="Q36" i="31"/>
  <c r="Q38" i="31"/>
  <c r="Q40" i="31"/>
  <c r="Q42" i="31"/>
  <c r="Q44" i="31"/>
  <c r="Q46" i="31"/>
  <c r="Q48" i="31"/>
  <c r="Q50" i="31"/>
  <c r="Q52" i="31"/>
  <c r="Q54" i="31"/>
  <c r="Q56" i="31"/>
  <c r="Q58" i="31"/>
  <c r="Q60" i="31"/>
  <c r="Q62" i="31"/>
  <c r="Q64" i="31"/>
  <c r="Q66" i="31"/>
  <c r="Q68" i="31"/>
  <c r="Q70" i="31"/>
  <c r="Q72" i="31"/>
  <c r="Q74" i="31"/>
  <c r="Q76" i="31"/>
  <c r="Q78" i="31"/>
  <c r="Q80" i="31"/>
  <c r="Q82" i="31"/>
  <c r="Q84" i="31"/>
  <c r="Q86" i="31"/>
  <c r="Q88" i="31"/>
  <c r="Q90" i="31"/>
  <c r="Q92" i="31"/>
  <c r="Q94" i="31"/>
  <c r="Q96" i="31"/>
  <c r="Q98" i="31"/>
  <c r="Q100" i="31"/>
  <c r="Q102" i="31"/>
  <c r="Q104" i="31"/>
  <c r="Q106" i="31"/>
  <c r="Q108" i="31"/>
  <c r="Q110" i="31"/>
  <c r="Q112" i="31"/>
  <c r="Q114" i="31"/>
  <c r="Q116" i="31"/>
  <c r="Q118" i="31"/>
  <c r="Q120" i="31"/>
  <c r="Q122" i="31"/>
  <c r="Q124" i="31"/>
  <c r="Q126" i="31"/>
  <c r="Q128" i="31"/>
  <c r="Q130" i="31"/>
  <c r="Q132" i="31"/>
  <c r="Q134" i="31"/>
  <c r="Q136" i="31"/>
  <c r="Q138" i="31"/>
  <c r="Q140" i="31"/>
  <c r="Q142" i="31"/>
  <c r="Q144" i="31"/>
  <c r="Q146" i="31"/>
  <c r="Q148" i="31"/>
  <c r="Q150" i="31"/>
  <c r="Q152" i="31"/>
  <c r="Q154" i="31"/>
  <c r="Q156" i="31"/>
  <c r="Q158" i="31"/>
  <c r="Q160" i="31"/>
  <c r="Q162" i="31"/>
  <c r="Q164" i="31"/>
  <c r="Q166" i="31"/>
  <c r="Q168" i="31"/>
  <c r="Q170" i="31"/>
  <c r="Q172" i="31"/>
  <c r="Q174" i="31"/>
  <c r="Q176" i="31"/>
  <c r="Q178" i="31"/>
  <c r="Q180" i="31"/>
  <c r="Q182" i="31"/>
  <c r="Q184" i="31"/>
  <c r="Q186" i="31"/>
  <c r="Q188" i="31"/>
  <c r="Q190" i="31"/>
  <c r="Q192" i="31"/>
  <c r="Q29" i="31"/>
  <c r="Q31" i="31"/>
  <c r="Q33" i="31"/>
  <c r="Q35" i="31"/>
  <c r="Q37" i="31"/>
  <c r="Q39" i="31"/>
  <c r="Q41" i="31"/>
  <c r="Q43" i="31"/>
  <c r="Q45" i="31"/>
  <c r="Q47" i="31"/>
  <c r="Q49" i="31"/>
  <c r="Q51" i="31"/>
  <c r="Q53" i="31"/>
  <c r="Q55" i="31"/>
  <c r="Q57" i="31"/>
  <c r="Q59" i="31"/>
  <c r="Q61" i="31"/>
  <c r="Q63" i="31"/>
  <c r="Q65" i="31"/>
  <c r="Q67" i="31"/>
  <c r="Q69" i="31"/>
  <c r="Q71" i="31"/>
  <c r="Q73" i="31"/>
  <c r="Q75" i="31"/>
  <c r="Q77" i="31"/>
  <c r="Q79" i="31"/>
  <c r="Q81" i="31"/>
  <c r="Q83" i="31"/>
  <c r="Q85" i="31"/>
  <c r="Q87" i="31"/>
  <c r="Q89" i="31"/>
  <c r="Q91" i="31"/>
  <c r="Q93" i="31"/>
  <c r="Q95" i="31"/>
  <c r="Q97" i="31"/>
  <c r="Q99" i="31"/>
  <c r="Q101" i="31"/>
  <c r="Q103" i="31"/>
  <c r="Q105" i="31"/>
  <c r="Q107" i="31"/>
  <c r="Q109" i="31"/>
  <c r="Q111" i="31"/>
  <c r="Q113" i="31"/>
  <c r="Q115" i="31"/>
  <c r="Q117" i="31"/>
  <c r="Q119" i="31"/>
  <c r="Q121" i="31"/>
  <c r="Q123" i="31"/>
  <c r="Q125" i="31"/>
  <c r="Q127" i="31"/>
  <c r="Q129" i="31"/>
  <c r="Q131" i="31"/>
  <c r="Q133" i="31"/>
  <c r="Q135" i="31"/>
  <c r="Q137" i="31"/>
  <c r="Q139" i="31"/>
  <c r="Q141" i="31"/>
  <c r="Q143" i="31"/>
  <c r="Q145" i="31"/>
  <c r="Q147" i="31"/>
  <c r="Q149" i="31"/>
  <c r="Q151" i="31"/>
  <c r="Q153" i="31"/>
  <c r="Q155" i="31"/>
  <c r="Q157" i="31"/>
  <c r="Q159" i="31"/>
  <c r="Q161" i="31"/>
  <c r="Q163" i="31"/>
  <c r="Q165" i="31"/>
  <c r="Q167" i="31"/>
  <c r="Q169" i="31"/>
  <c r="Q171" i="31"/>
  <c r="Q173" i="31"/>
  <c r="Q175" i="31"/>
  <c r="Q177" i="31"/>
  <c r="Q179" i="31"/>
  <c r="Q181" i="31"/>
  <c r="Q183" i="31"/>
  <c r="Q185" i="31"/>
  <c r="Q187" i="31"/>
  <c r="Q189" i="31"/>
  <c r="Q191" i="31"/>
  <c r="Q193" i="31"/>
  <c r="Q195" i="31"/>
  <c r="Q196" i="31"/>
  <c r="Q198" i="31"/>
  <c r="Q200" i="31"/>
  <c r="Q202" i="31"/>
  <c r="Q204" i="31"/>
  <c r="Q206" i="31"/>
  <c r="Q208" i="31"/>
  <c r="Q210" i="31"/>
  <c r="Q212" i="31"/>
  <c r="Q214" i="31"/>
  <c r="Q216" i="31"/>
  <c r="Q218" i="31"/>
  <c r="Q220" i="31"/>
  <c r="Q222" i="31"/>
  <c r="Q224" i="31"/>
  <c r="Q226" i="31"/>
  <c r="Q228" i="31"/>
  <c r="Q230" i="31"/>
  <c r="Q232" i="31"/>
  <c r="Q234" i="31"/>
  <c r="Q236" i="31"/>
  <c r="Q238" i="31"/>
  <c r="Q240" i="31"/>
  <c r="Q242" i="31"/>
  <c r="Q244" i="31"/>
  <c r="Q246" i="31"/>
  <c r="Q248" i="31"/>
  <c r="Q250" i="31"/>
  <c r="Q252" i="31"/>
  <c r="Q254" i="31"/>
  <c r="Q256" i="31"/>
  <c r="Q258" i="31"/>
  <c r="Q260" i="31"/>
  <c r="Q262" i="31"/>
  <c r="Q264" i="31"/>
  <c r="Q266" i="31"/>
  <c r="Q268" i="31"/>
  <c r="Q270" i="31"/>
  <c r="Q272" i="31"/>
  <c r="Q274" i="31"/>
  <c r="Q276" i="31"/>
  <c r="Q278" i="31"/>
  <c r="Q280" i="31"/>
  <c r="Q282" i="31"/>
  <c r="Q284" i="31"/>
  <c r="Q286" i="31"/>
  <c r="Q288" i="31"/>
  <c r="Q290" i="31"/>
  <c r="Q292" i="31"/>
  <c r="Q294" i="31"/>
  <c r="Q296" i="31"/>
  <c r="Q298" i="31"/>
  <c r="Q300" i="31"/>
  <c r="Q302" i="31"/>
  <c r="Q304" i="31"/>
  <c r="Q306" i="31"/>
  <c r="Q308" i="31"/>
  <c r="Q310" i="31"/>
  <c r="Q312" i="31"/>
  <c r="Q314" i="31"/>
  <c r="Q316" i="31"/>
  <c r="Q318" i="31"/>
  <c r="Q320" i="31"/>
  <c r="Q322" i="31"/>
  <c r="Q324" i="31"/>
  <c r="Q326" i="31"/>
  <c r="Q328" i="31"/>
  <c r="Q330" i="31"/>
  <c r="Q332" i="31"/>
  <c r="Q334" i="31"/>
  <c r="Q336" i="31"/>
  <c r="Q338" i="31"/>
  <c r="Q340" i="31"/>
  <c r="Q342" i="31"/>
  <c r="Q344" i="31"/>
  <c r="Q346" i="31"/>
  <c r="Q348" i="31"/>
  <c r="Q350" i="31"/>
  <c r="Q352" i="31"/>
  <c r="Q354" i="31"/>
  <c r="Q356" i="31"/>
  <c r="Q358" i="31"/>
  <c r="Q360" i="31"/>
  <c r="Q362" i="31"/>
  <c r="Q194" i="31"/>
  <c r="Q197" i="31"/>
  <c r="Q199" i="31"/>
  <c r="Q201" i="31"/>
  <c r="Q203" i="31"/>
  <c r="Q205" i="31"/>
  <c r="Q207" i="31"/>
  <c r="Q209" i="31"/>
  <c r="Q211" i="31"/>
  <c r="Q213" i="31"/>
  <c r="Q215" i="31"/>
  <c r="Q217" i="31"/>
  <c r="Q219" i="31"/>
  <c r="Q221" i="31"/>
  <c r="Q223" i="31"/>
  <c r="Q225" i="31"/>
  <c r="Q227" i="31"/>
  <c r="Q229" i="31"/>
  <c r="Q231" i="31"/>
  <c r="Q233" i="31"/>
  <c r="Q235" i="31"/>
  <c r="Q237" i="31"/>
  <c r="Q239" i="31"/>
  <c r="Q241" i="31"/>
  <c r="Q243" i="31"/>
  <c r="Q245" i="31"/>
  <c r="Q247" i="31"/>
  <c r="Q249" i="31"/>
  <c r="Q251" i="31"/>
  <c r="Q253" i="31"/>
  <c r="Q255" i="31"/>
  <c r="Q257" i="31"/>
  <c r="Q259" i="31"/>
  <c r="Q261" i="31"/>
  <c r="Q263" i="31"/>
  <c r="Q265" i="31"/>
  <c r="Q267" i="31"/>
  <c r="Q269" i="31"/>
  <c r="Q271" i="31"/>
  <c r="Q273" i="31"/>
  <c r="Q275" i="31"/>
  <c r="Q277" i="31"/>
  <c r="Q279" i="31"/>
  <c r="Q281" i="31"/>
  <c r="Q283" i="31"/>
  <c r="Q285" i="31"/>
  <c r="Q287" i="31"/>
  <c r="Q289" i="31"/>
  <c r="Q291" i="31"/>
  <c r="Q293" i="31"/>
  <c r="Q295" i="31"/>
  <c r="Q297" i="31"/>
  <c r="Q299" i="31"/>
  <c r="Q301" i="31"/>
  <c r="Q303" i="31"/>
  <c r="Q305" i="31"/>
  <c r="Q307" i="31"/>
  <c r="Q309" i="31"/>
  <c r="Q311" i="31"/>
  <c r="Q313" i="31"/>
  <c r="Q315" i="31"/>
  <c r="Q317" i="31"/>
  <c r="Q319" i="31"/>
  <c r="Q321" i="31"/>
  <c r="Q323" i="31"/>
  <c r="Q325" i="31"/>
  <c r="Q327" i="31"/>
  <c r="Q329" i="31"/>
  <c r="Q331" i="31"/>
  <c r="Q333" i="31"/>
  <c r="Q335" i="31"/>
  <c r="Q337" i="31"/>
  <c r="Q339" i="31"/>
  <c r="Q341" i="31"/>
  <c r="Q343" i="31"/>
  <c r="Q345" i="31"/>
  <c r="Q347" i="31"/>
  <c r="Q349" i="31"/>
  <c r="Q351" i="31"/>
  <c r="Q353" i="31"/>
  <c r="Q355" i="31"/>
  <c r="Q357" i="31"/>
  <c r="Q359" i="31"/>
  <c r="Q361" i="31"/>
  <c r="Q363" i="31"/>
  <c r="Q365" i="31"/>
  <c r="Q367" i="31"/>
  <c r="Q369" i="31"/>
  <c r="Q371" i="31"/>
  <c r="Q373" i="31"/>
  <c r="Q375" i="31"/>
  <c r="Q377" i="31"/>
  <c r="Q379" i="31"/>
  <c r="Q381" i="31"/>
  <c r="Q383" i="31"/>
  <c r="Q385" i="31"/>
  <c r="Q387" i="31"/>
  <c r="Q389" i="31"/>
  <c r="Q391" i="31"/>
  <c r="Q393" i="31"/>
  <c r="Q395" i="31"/>
  <c r="Q397" i="31"/>
  <c r="Q399" i="31"/>
  <c r="Q401" i="31"/>
  <c r="Q403" i="31"/>
  <c r="Q405" i="31"/>
  <c r="Q407" i="31"/>
  <c r="Q409" i="31"/>
  <c r="Q411" i="31"/>
  <c r="Q413" i="31"/>
  <c r="Q415" i="31"/>
  <c r="Q417" i="31"/>
  <c r="Q419" i="31"/>
  <c r="Q421" i="31"/>
  <c r="Q423" i="31"/>
  <c r="Q425" i="31"/>
  <c r="Q427" i="31"/>
  <c r="Q429" i="31"/>
  <c r="Q431" i="31"/>
  <c r="Q433" i="31"/>
  <c r="Q435" i="31"/>
  <c r="Q437" i="31"/>
  <c r="Q439" i="31"/>
  <c r="Q441" i="31"/>
  <c r="Q443" i="31"/>
  <c r="Q445" i="31"/>
  <c r="Q447" i="31"/>
  <c r="Q449" i="31"/>
  <c r="Q451" i="31"/>
  <c r="Q453" i="31"/>
  <c r="Q455" i="31"/>
  <c r="Q457" i="31"/>
  <c r="Q459" i="31"/>
  <c r="Q461" i="31"/>
  <c r="Q463" i="31"/>
  <c r="Q465" i="31"/>
  <c r="Q467" i="31"/>
  <c r="Q469" i="31"/>
  <c r="Q471" i="31"/>
  <c r="Q473" i="31"/>
  <c r="Q475" i="31"/>
  <c r="Q477" i="31"/>
  <c r="Q479" i="31"/>
  <c r="Q481" i="31"/>
  <c r="Q483" i="31"/>
  <c r="Q485" i="31"/>
  <c r="Q487" i="31"/>
  <c r="Q489" i="31"/>
  <c r="Q491" i="31"/>
  <c r="Q493" i="31"/>
  <c r="Q495" i="31"/>
  <c r="Q497" i="31"/>
  <c r="Q499" i="31"/>
  <c r="Q501" i="31"/>
  <c r="Q503" i="31"/>
  <c r="Q505" i="31"/>
  <c r="Q507" i="31"/>
  <c r="Q509" i="31"/>
  <c r="Q511" i="31"/>
  <c r="Q513" i="31"/>
  <c r="Q515" i="31"/>
  <c r="Q517" i="31"/>
  <c r="Q519" i="31"/>
  <c r="Q521" i="31"/>
  <c r="Q523" i="31"/>
  <c r="Q27" i="31"/>
  <c r="Q364" i="31"/>
  <c r="Q366" i="31"/>
  <c r="Q368" i="31"/>
  <c r="Q370" i="31"/>
  <c r="Q372" i="31"/>
  <c r="Q374" i="31"/>
  <c r="Q376" i="31"/>
  <c r="Q378" i="31"/>
  <c r="Q380" i="31"/>
  <c r="Q382" i="31"/>
  <c r="Q384" i="31"/>
  <c r="Q386" i="31"/>
  <c r="Q388" i="31"/>
  <c r="Q390" i="31"/>
  <c r="Q392" i="31"/>
  <c r="Q394" i="31"/>
  <c r="Q396" i="31"/>
  <c r="Q398" i="31"/>
  <c r="Q400" i="31"/>
  <c r="Q402" i="31"/>
  <c r="Q404" i="31"/>
  <c r="Q406" i="31"/>
  <c r="Q408" i="31"/>
  <c r="Q410" i="31"/>
  <c r="Q412" i="31"/>
  <c r="Q414" i="31"/>
  <c r="Q416" i="31"/>
  <c r="Q418" i="31"/>
  <c r="Q420" i="31"/>
  <c r="Q422" i="31"/>
  <c r="Q424" i="31"/>
  <c r="Q426" i="31"/>
  <c r="Q428" i="31"/>
  <c r="Q430" i="31"/>
  <c r="Q432" i="31"/>
  <c r="Q434" i="31"/>
  <c r="Q436" i="31"/>
  <c r="Q438" i="31"/>
  <c r="Q440" i="31"/>
  <c r="Q442" i="31"/>
  <c r="Q444" i="31"/>
  <c r="Q446" i="31"/>
  <c r="Q448" i="31"/>
  <c r="Q450" i="31"/>
  <c r="Q452" i="31"/>
  <c r="Q454" i="31"/>
  <c r="Q456" i="31"/>
  <c r="Q458" i="31"/>
  <c r="Q460" i="31"/>
  <c r="Q462" i="31"/>
  <c r="Q464" i="31"/>
  <c r="Q466" i="31"/>
  <c r="Q468" i="31"/>
  <c r="Q470" i="31"/>
  <c r="Q472" i="31"/>
  <c r="Q474" i="31"/>
  <c r="Q476" i="31"/>
  <c r="Q478" i="31"/>
  <c r="Q480" i="31"/>
  <c r="Q482" i="31"/>
  <c r="Q484" i="31"/>
  <c r="Q486" i="31"/>
  <c r="Q488" i="31"/>
  <c r="Q490" i="31"/>
  <c r="Q492" i="31"/>
  <c r="Q494" i="31"/>
  <c r="Q496" i="31"/>
  <c r="Q498" i="31"/>
  <c r="Q500" i="31"/>
  <c r="Q502" i="31"/>
  <c r="Q504" i="31"/>
  <c r="Q506" i="31"/>
  <c r="Q508" i="31"/>
  <c r="Q510" i="31"/>
  <c r="Q512" i="31"/>
  <c r="Q514" i="31"/>
  <c r="Q516" i="31"/>
  <c r="Q518" i="31"/>
  <c r="Q520" i="31"/>
  <c r="Q522" i="31"/>
  <c r="Q524" i="31"/>
  <c r="Q25" i="31"/>
  <c r="Q26" i="31"/>
  <c r="Q28" i="31"/>
  <c r="R27" i="6"/>
  <c r="R6" i="1"/>
  <c r="R16" i="1" s="1"/>
  <c r="I5" i="6"/>
  <c r="I6" i="6"/>
  <c r="O46" i="36"/>
  <c r="J7" i="36" s="1"/>
  <c r="H7" i="36"/>
  <c r="J65" i="40"/>
  <c r="I67" i="40"/>
  <c r="J70" i="39"/>
  <c r="I72" i="39"/>
  <c r="B3" i="67"/>
  <c r="B4" i="67"/>
  <c r="D10" i="59" l="1"/>
  <c r="C9" i="59"/>
  <c r="C28" i="44"/>
  <c r="M16" i="1"/>
  <c r="C15" i="43"/>
  <c r="O6" i="1"/>
  <c r="O16" i="1" s="1"/>
  <c r="P6" i="1"/>
  <c r="F7" i="36"/>
  <c r="K70" i="39"/>
  <c r="J72" i="39"/>
  <c r="U7" i="36"/>
  <c r="AB7" i="36"/>
  <c r="T36" i="36" s="1"/>
  <c r="G36" i="36" s="1"/>
  <c r="AC7" i="36"/>
  <c r="V36" i="36" s="1"/>
  <c r="I36" i="36" s="1"/>
  <c r="W7" i="36"/>
  <c r="J67" i="40"/>
  <c r="K65" i="40"/>
  <c r="S7" i="36"/>
  <c r="AA7" i="36"/>
  <c r="R36" i="36" s="1"/>
  <c r="T9" i="59" l="1"/>
  <c r="C8" i="59"/>
  <c r="D9" i="59"/>
  <c r="C15" i="12"/>
  <c r="P16" i="1"/>
  <c r="C13" i="12" s="1"/>
  <c r="C13" i="43"/>
  <c r="L16" i="1"/>
  <c r="N16" i="1"/>
  <c r="C29" i="43" s="1"/>
  <c r="R37" i="36"/>
  <c r="E36" i="36"/>
  <c r="K67" i="40"/>
  <c r="L65" i="40"/>
  <c r="G41" i="36"/>
  <c r="H41" i="36" s="1"/>
  <c r="G40" i="36"/>
  <c r="H40" i="36" s="1"/>
  <c r="I40" i="36"/>
  <c r="J40" i="36" s="1"/>
  <c r="I41" i="36"/>
  <c r="J41" i="36" s="1"/>
  <c r="L70" i="39"/>
  <c r="K72" i="39"/>
  <c r="C7" i="59" l="1"/>
  <c r="D8" i="59"/>
  <c r="C17" i="43"/>
  <c r="C14" i="43"/>
  <c r="C14" i="12"/>
  <c r="C17" i="12"/>
  <c r="L72" i="39"/>
  <c r="M70" i="39"/>
  <c r="M65" i="40"/>
  <c r="L67" i="40"/>
  <c r="E40" i="36"/>
  <c r="F40" i="36" s="1"/>
  <c r="E41" i="36"/>
  <c r="F41" i="36" s="1"/>
  <c r="C37" i="36"/>
  <c r="B3" i="36" s="1"/>
  <c r="B2" i="36" s="1"/>
  <c r="C36" i="36"/>
  <c r="D7" i="59" l="1"/>
  <c r="C6" i="59"/>
  <c r="C18" i="43"/>
  <c r="C19" i="43" s="1"/>
  <c r="C25" i="43" s="1"/>
  <c r="C24" i="43" s="1"/>
  <c r="C18" i="12"/>
  <c r="C23" i="12" s="1"/>
  <c r="C35" i="12" s="1"/>
  <c r="C33" i="12" s="1"/>
  <c r="N65" i="40"/>
  <c r="N67" i="40" s="1"/>
  <c r="M67" i="40"/>
  <c r="N70" i="39"/>
  <c r="N72" i="39" s="1"/>
  <c r="M72" i="39"/>
  <c r="D6" i="59" l="1"/>
  <c r="C5" i="59"/>
  <c r="J9" i="40"/>
  <c r="H9" i="40"/>
  <c r="F9" i="40"/>
  <c r="J9" i="39"/>
  <c r="H9" i="39"/>
  <c r="F9" i="39"/>
  <c r="T5" i="59" l="1"/>
  <c r="D5" i="59"/>
  <c r="M20" i="46" s="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C19" i="9"/>
  <c r="B4" i="39" l="1"/>
  <c r="B3" i="39"/>
  <c r="L43" i="9"/>
  <c r="F21" i="43"/>
  <c r="F26" i="12"/>
  <c r="F26" i="44"/>
  <c r="F24" i="15"/>
  <c r="C21" i="9"/>
  <c r="C20" i="9"/>
  <c r="C24" i="15" l="1"/>
  <c r="C23" i="15"/>
  <c r="C27" i="12"/>
  <c r="D26" i="12" s="1"/>
  <c r="C32" i="12" s="1"/>
  <c r="D30" i="12" s="1"/>
  <c r="C28" i="12"/>
  <c r="C26" i="12" s="1"/>
  <c r="C31" i="12" s="1"/>
  <c r="C30" i="12" s="1"/>
  <c r="C26" i="44"/>
  <c r="C25" i="44"/>
  <c r="C23" i="43"/>
  <c r="D21" i="43" s="1"/>
  <c r="C22" i="43"/>
  <c r="C21" i="43" s="1"/>
  <c r="C28" i="43" l="1"/>
  <c r="C30" i="43" s="1"/>
  <c r="C32" i="43" s="1"/>
  <c r="B2" i="43" s="1"/>
  <c r="B5" i="43" s="1"/>
  <c r="C31" i="44"/>
  <c r="C15" i="44" s="1"/>
  <c r="C36" i="12"/>
  <c r="B2" i="12" s="1"/>
  <c r="C29" i="15"/>
  <c r="Q50" i="15" s="1"/>
  <c r="D19" i="9"/>
  <c r="L44" i="9" l="1"/>
  <c r="G19" i="9"/>
  <c r="D22" i="9"/>
  <c r="B3" i="12"/>
  <c r="C33" i="15"/>
  <c r="C31" i="15" s="1"/>
  <c r="J59" i="15"/>
  <c r="J60" i="15" s="1"/>
  <c r="Q49" i="15" s="1"/>
  <c r="C38" i="44"/>
  <c r="J19" i="15"/>
  <c r="J17" i="15" s="1"/>
  <c r="C13" i="15"/>
  <c r="Q71" i="15" s="1"/>
  <c r="C35" i="44"/>
  <c r="C33" i="44" s="1"/>
  <c r="J21" i="44"/>
  <c r="J19" i="44" s="1"/>
  <c r="C36" i="15"/>
  <c r="J14" i="15"/>
  <c r="J13" i="15" s="1"/>
  <c r="J23" i="15" s="1"/>
  <c r="C56" i="15"/>
  <c r="C60" i="15" s="1"/>
  <c r="C58" i="15" s="1"/>
  <c r="J16" i="44"/>
  <c r="J24" i="44" s="1"/>
  <c r="Q51" i="44"/>
  <c r="B4" i="43"/>
  <c r="B4" i="12"/>
  <c r="B3" i="43"/>
  <c r="B5" i="12"/>
  <c r="Q72" i="44"/>
  <c r="C39" i="44"/>
  <c r="C43" i="44"/>
  <c r="D20" i="9"/>
  <c r="D21" i="9"/>
  <c r="G20" i="9" l="1"/>
  <c r="R24" i="31" s="1"/>
  <c r="R27" i="31" s="1"/>
  <c r="S27" i="31" s="1"/>
  <c r="D17" i="66" s="1"/>
  <c r="N68" i="72" s="1"/>
  <c r="N69" i="72" s="1"/>
  <c r="G21" i="9"/>
  <c r="N43" i="9"/>
  <c r="C32" i="9"/>
  <c r="G22" i="9"/>
  <c r="L46" i="15"/>
  <c r="J22" i="15"/>
  <c r="J15" i="44"/>
  <c r="J25" i="44" s="1"/>
  <c r="C37" i="15"/>
  <c r="C30" i="15" s="1"/>
  <c r="C39" i="15" s="1"/>
  <c r="C40" i="15" s="1"/>
  <c r="C63" i="15"/>
  <c r="J35" i="15"/>
  <c r="C32" i="44"/>
  <c r="C42" i="44" s="1"/>
  <c r="Q71" i="44" s="1"/>
  <c r="Q70" i="44" s="1"/>
  <c r="C55" i="15"/>
  <c r="C64" i="15" s="1"/>
  <c r="J18" i="44"/>
  <c r="J27" i="44" s="1"/>
  <c r="J16" i="15"/>
  <c r="J25" i="15" s="1"/>
  <c r="M84" i="72" l="1"/>
  <c r="N84" i="72" s="1"/>
  <c r="M88" i="72"/>
  <c r="N88" i="72" s="1"/>
  <c r="M86" i="72"/>
  <c r="N86" i="72" s="1"/>
  <c r="M83" i="72"/>
  <c r="N83" i="72" s="1"/>
  <c r="M87" i="72"/>
  <c r="N87" i="72" s="1"/>
  <c r="M85" i="72"/>
  <c r="N85" i="72" s="1"/>
  <c r="D8" i="70"/>
  <c r="D63" i="72"/>
  <c r="G17" i="66"/>
  <c r="F17" i="66"/>
  <c r="E17" i="66"/>
  <c r="S24" i="31"/>
  <c r="R26" i="31"/>
  <c r="S26" i="31" s="1"/>
  <c r="D16" i="66" s="1"/>
  <c r="N68" i="71" s="1"/>
  <c r="N69" i="71" s="1"/>
  <c r="R25" i="31"/>
  <c r="S25" i="31" s="1"/>
  <c r="C42" i="9"/>
  <c r="C33" i="9"/>
  <c r="O38" i="9"/>
  <c r="O43" i="9"/>
  <c r="C34" i="9"/>
  <c r="C35" i="9"/>
  <c r="F42" i="9" s="1"/>
  <c r="C57" i="15"/>
  <c r="C66" i="15" s="1"/>
  <c r="C67" i="15" s="1"/>
  <c r="C70" i="15" s="1"/>
  <c r="C44" i="44"/>
  <c r="C45" i="44" s="1"/>
  <c r="L52" i="44" s="1"/>
  <c r="J39" i="15"/>
  <c r="J40" i="15" s="1"/>
  <c r="Q70" i="15"/>
  <c r="Q69" i="15" s="1"/>
  <c r="Q57" i="15"/>
  <c r="B2" i="15"/>
  <c r="B3" i="15" s="1"/>
  <c r="Q48" i="15"/>
  <c r="Q54" i="15" s="1"/>
  <c r="Q66" i="15"/>
  <c r="C43" i="15"/>
  <c r="J42" i="15"/>
  <c r="J43" i="15" s="1"/>
  <c r="L51" i="15"/>
  <c r="D14" i="66" l="1"/>
  <c r="D6" i="70" s="1"/>
  <c r="D63" i="9"/>
  <c r="G14" i="66"/>
  <c r="N89" i="72"/>
  <c r="O89" i="72" s="1"/>
  <c r="D7" i="70"/>
  <c r="D63" i="71"/>
  <c r="L57" i="15"/>
  <c r="L60" i="15" s="1"/>
  <c r="Q67" i="15" s="1"/>
  <c r="Q76" i="15" s="1"/>
  <c r="Q68" i="15"/>
  <c r="C96" i="72"/>
  <c r="C91" i="72" s="1"/>
  <c r="D71" i="72"/>
  <c r="D66" i="72" s="1"/>
  <c r="N72" i="72" s="1"/>
  <c r="D70" i="72"/>
  <c r="C111" i="72"/>
  <c r="C104" i="72" s="1"/>
  <c r="C103" i="72"/>
  <c r="C90" i="72"/>
  <c r="C82" i="72"/>
  <c r="C81" i="72" s="1"/>
  <c r="C85" i="72" s="1"/>
  <c r="C86" i="72" s="1"/>
  <c r="D72" i="72" s="1"/>
  <c r="D73" i="72"/>
  <c r="N73" i="72" s="1"/>
  <c r="G16" i="66"/>
  <c r="G15" i="66"/>
  <c r="D63" i="69"/>
  <c r="F16" i="66"/>
  <c r="E16" i="66"/>
  <c r="F15" i="66"/>
  <c r="E15" i="66"/>
  <c r="S22" i="31"/>
  <c r="B2" i="44"/>
  <c r="B3" i="44" s="1"/>
  <c r="C46" i="15"/>
  <c r="N38" i="9"/>
  <c r="K28" i="9" s="1"/>
  <c r="D42" i="9"/>
  <c r="Q5" i="54" s="1"/>
  <c r="B47" i="63" s="1"/>
  <c r="M38" i="9"/>
  <c r="K27" i="9" s="1"/>
  <c r="E42" i="9"/>
  <c r="P5" i="54" s="1"/>
  <c r="B46" i="63" s="1"/>
  <c r="K25" i="9"/>
  <c r="K26" i="9"/>
  <c r="C44" i="9"/>
  <c r="R5" i="54"/>
  <c r="B48" i="63" s="1"/>
  <c r="N68" i="9"/>
  <c r="Q69" i="44"/>
  <c r="L58" i="44"/>
  <c r="L61" i="44" s="1"/>
  <c r="M88" i="71" l="1"/>
  <c r="N88" i="71" s="1"/>
  <c r="Q58" i="15"/>
  <c r="Q63" i="15" s="1"/>
  <c r="C113" i="72"/>
  <c r="C114" i="72" s="1"/>
  <c r="E114" i="72" s="1"/>
  <c r="E115" i="72" s="1"/>
  <c r="C97" i="72"/>
  <c r="D71" i="71"/>
  <c r="D66" i="71" s="1"/>
  <c r="N72" i="71" s="1"/>
  <c r="C111" i="71"/>
  <c r="C104" i="71" s="1"/>
  <c r="D73" i="71"/>
  <c r="N73" i="71" s="1"/>
  <c r="C96" i="71"/>
  <c r="C91" i="71" s="1"/>
  <c r="D70" i="71"/>
  <c r="C103" i="71"/>
  <c r="C82" i="71"/>
  <c r="C81" i="71" s="1"/>
  <c r="C85" i="71" s="1"/>
  <c r="C86" i="71" s="1"/>
  <c r="D72" i="71" s="1"/>
  <c r="C90" i="71"/>
  <c r="C111" i="69"/>
  <c r="C104" i="69" s="1"/>
  <c r="C96" i="69"/>
  <c r="C91" i="69" s="1"/>
  <c r="D70" i="69"/>
  <c r="C103" i="69"/>
  <c r="C82" i="69"/>
  <c r="C81" i="69" s="1"/>
  <c r="C85" i="69" s="1"/>
  <c r="C86" i="69" s="1"/>
  <c r="D72" i="69" s="1"/>
  <c r="D71" i="69"/>
  <c r="D66" i="69" s="1"/>
  <c r="N72" i="69" s="1"/>
  <c r="C90" i="69"/>
  <c r="D73" i="69"/>
  <c r="N73" i="69" s="1"/>
  <c r="B20" i="31"/>
  <c r="R22" i="31"/>
  <c r="B21" i="31" s="1"/>
  <c r="B5" i="44"/>
  <c r="B4" i="44"/>
  <c r="E14" i="66"/>
  <c r="F14" i="66"/>
  <c r="D73" i="9"/>
  <c r="N73" i="9" s="1"/>
  <c r="C96" i="9"/>
  <c r="C91" i="9" s="1"/>
  <c r="C103" i="9"/>
  <c r="C90" i="9"/>
  <c r="C111" i="9"/>
  <c r="C104" i="9" s="1"/>
  <c r="C82" i="9"/>
  <c r="C81" i="9" s="1"/>
  <c r="C85" i="9" s="1"/>
  <c r="C86" i="9" s="1"/>
  <c r="D72" i="9" s="1"/>
  <c r="D70" i="9"/>
  <c r="D71" i="9"/>
  <c r="D66" i="9" s="1"/>
  <c r="N72" i="9" s="1"/>
  <c r="O39" i="9"/>
  <c r="N69" i="9"/>
  <c r="D44" i="9"/>
  <c r="E44" i="9"/>
  <c r="F44" i="9"/>
  <c r="Q59" i="44"/>
  <c r="Q64" i="44" s="1"/>
  <c r="Q68" i="44"/>
  <c r="Q77" i="44" s="1"/>
  <c r="M84" i="71" l="1"/>
  <c r="N84" i="71" s="1"/>
  <c r="M87" i="71"/>
  <c r="N87" i="71" s="1"/>
  <c r="M86" i="71"/>
  <c r="N86" i="71" s="1"/>
  <c r="M85" i="71"/>
  <c r="N85" i="71" s="1"/>
  <c r="M83" i="71"/>
  <c r="N83" i="71" s="1"/>
  <c r="C97" i="71"/>
  <c r="C98" i="71" s="1"/>
  <c r="E98" i="71" s="1"/>
  <c r="E99" i="71" s="1"/>
  <c r="C113" i="71"/>
  <c r="C114" i="71" s="1"/>
  <c r="E114" i="71" s="1"/>
  <c r="E115" i="71" s="1"/>
  <c r="C97" i="69"/>
  <c r="C115" i="72"/>
  <c r="C98" i="72"/>
  <c r="E98" i="72" s="1"/>
  <c r="E99" i="72" s="1"/>
  <c r="C113" i="69"/>
  <c r="C98" i="69"/>
  <c r="E98" i="69" s="1"/>
  <c r="E99" i="69" s="1"/>
  <c r="C97" i="9"/>
  <c r="M84" i="9"/>
  <c r="N84" i="9" s="1"/>
  <c r="M83" i="9"/>
  <c r="N83" i="9" s="1"/>
  <c r="M86" i="9"/>
  <c r="N86" i="9" s="1"/>
  <c r="M87" i="9"/>
  <c r="N87" i="9" s="1"/>
  <c r="M85" i="9"/>
  <c r="N85" i="9" s="1"/>
  <c r="M88" i="9"/>
  <c r="N88" i="9" s="1"/>
  <c r="K29" i="9"/>
  <c r="K30" i="9" s="1"/>
  <c r="R6" i="54"/>
  <c r="B50" i="63" s="1"/>
  <c r="C113" i="9"/>
  <c r="C98" i="9"/>
  <c r="E98" i="9" s="1"/>
  <c r="E99" i="9" s="1"/>
  <c r="D76" i="72" l="1"/>
  <c r="D74" i="72" s="1"/>
  <c r="N74" i="72" s="1"/>
  <c r="I17" i="66" s="1"/>
  <c r="N89" i="71"/>
  <c r="O89" i="71" s="1"/>
  <c r="O77" i="72"/>
  <c r="O78" i="72" s="1"/>
  <c r="C99" i="72"/>
  <c r="C99" i="71"/>
  <c r="C115" i="71"/>
  <c r="C99" i="69"/>
  <c r="C114" i="69"/>
  <c r="E114" i="69" s="1"/>
  <c r="E115" i="69" s="1"/>
  <c r="C99" i="9"/>
  <c r="N89" i="9"/>
  <c r="O89" i="9" s="1"/>
  <c r="C114" i="9"/>
  <c r="E114" i="9" s="1"/>
  <c r="E115" i="9" s="1"/>
  <c r="E8" i="70" l="1"/>
  <c r="F8" i="70" s="1"/>
  <c r="Q77" i="72"/>
  <c r="O79" i="72"/>
  <c r="D76" i="71"/>
  <c r="D74" i="71" s="1"/>
  <c r="N74" i="71" s="1"/>
  <c r="I16" i="66" s="1"/>
  <c r="C115" i="69"/>
  <c r="D76" i="69" s="1"/>
  <c r="D74" i="69" s="1"/>
  <c r="N74" i="69" s="1"/>
  <c r="C115" i="9"/>
  <c r="D76" i="9" l="1"/>
  <c r="D74" i="9" s="1"/>
  <c r="N74" i="9" s="1"/>
  <c r="O77" i="9" s="1"/>
  <c r="O78" i="9" s="1"/>
  <c r="G116" i="9"/>
  <c r="I14" i="66" s="1"/>
  <c r="O81" i="72"/>
  <c r="O80" i="72"/>
  <c r="O77" i="71"/>
  <c r="O78" i="71" s="1"/>
  <c r="E7" i="70"/>
  <c r="F7" i="70" s="1"/>
  <c r="O77" i="69"/>
  <c r="O78" i="69" s="1"/>
  <c r="E6" i="70" l="1"/>
  <c r="F6" i="70" s="1"/>
  <c r="Q77" i="71"/>
  <c r="Q77" i="9"/>
  <c r="Q77" i="69"/>
  <c r="O79" i="69"/>
  <c r="O81" i="69" s="1"/>
  <c r="O79" i="71"/>
  <c r="O81" i="71" s="1"/>
  <c r="O79" i="9"/>
  <c r="O80" i="69" l="1"/>
  <c r="O80" i="71"/>
  <c r="O81" i="9"/>
  <c r="B8" i="66"/>
  <c r="O80" i="9"/>
  <c r="B18" i="66" l="1"/>
  <c r="B1" i="66" s="1"/>
  <c r="C7" i="66" l="1"/>
  <c r="C8" i="66"/>
  <c r="C18" i="66" l="1"/>
  <c r="B2" i="66" s="1"/>
  <c r="D7" i="66" l="1"/>
  <c r="D8" i="66"/>
  <c r="E30" i="66" l="1"/>
  <c r="D18" i="66" l="1"/>
  <c r="E18" i="66" l="1"/>
  <c r="F18" i="66"/>
  <c r="B5" i="66"/>
  <c r="G18" i="66"/>
  <c r="B6" i="66" s="1"/>
  <c r="D9" i="70"/>
  <c r="D10" i="70" s="1"/>
  <c r="C6" i="66" l="1"/>
  <c r="D6" i="66"/>
  <c r="C5" i="66"/>
  <c r="D5" i="66"/>
  <c r="E9" i="70" l="1"/>
  <c r="F9" i="70" s="1"/>
  <c r="F10" i="7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<sst xmlns="http://schemas.openxmlformats.org/spreadsheetml/2006/main" count="8588" uniqueCount="3176">
  <si>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</si>
  <si>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</si>
  <si>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</si>
  <si>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</si>
  <si>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</si>
  <si>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</si>
  <si>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</si>
  <si>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</si>
  <si>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</si>
  <si>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</si>
  <si>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</si>
  <si>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</si>
  <si>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</si>
  <si>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</si>
  <si>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</si>
  <si>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</si>
  <si>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</si>
  <si>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</si>
  <si>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</si>
  <si>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</si>
  <si>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</si>
  <si>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</si>
  <si>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</si>
  <si>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</si>
  <si>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</si>
  <si>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</si>
  <si>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</si>
  <si>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</si>
  <si>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</si>
  <si>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</si>
  <si>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</si>
  <si>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</si>
  <si>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</si>
  <si>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</si>
  <si>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</si>
  <si>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</si>
  <si>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</si>
  <si>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</si>
  <si>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</si>
  <si>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</si>
  <si>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</si>
  <si>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</si>
  <si>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</si>
  <si>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</si>
  <si>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</si>
  <si>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</si>
  <si>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</si>
  <si>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</si>
  <si>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</si>
  <si>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</si>
  <si>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</si>
  <si>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</si>
  <si>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</si>
  <si>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</si>
  <si>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</si>
  <si>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</si>
  <si>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</si>
  <si>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</si>
  <si>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</si>
  <si>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</si>
  <si>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</si>
  <si>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</si>
  <si>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</si>
  <si>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</si>
  <si>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</si>
  <si>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</si>
  <si>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</si>
  <si>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</si>
  <si>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</si>
  <si>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</si>
  <si>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</si>
  <si>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</si>
  <si>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</si>
  <si>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</si>
  <si>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</si>
  <si>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</si>
  <si>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</si>
  <si>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</si>
  <si>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</si>
  <si>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</si>
  <si>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</si>
  <si>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</si>
  <si>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</si>
  <si>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</si>
  <si>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</si>
  <si>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</si>
  <si>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</si>
  <si>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</si>
  <si>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</si>
  <si>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</si>
  <si>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</si>
  <si>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</si>
  <si>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</si>
  <si>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</si>
  <si>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</si>
  <si>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</si>
  <si>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</si>
  <si>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</si>
  <si>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</si>
  <si>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</si>
  <si>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</si>
  <si>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</si>
  <si>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</si>
  <si>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</si>
  <si>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</si>
  <si>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</si>
  <si>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</si>
  <si>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</si>
  <si>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</si>
  <si>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</si>
  <si>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</si>
  <si>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</si>
  <si>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</si>
  <si>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</si>
  <si>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</si>
  <si>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</si>
  <si>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</si>
  <si>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</si>
  <si>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</si>
  <si>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</si>
  <si>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</si>
  <si>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</si>
  <si>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</si>
  <si>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</si>
  <si>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</si>
  <si>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</si>
  <si>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</si>
  <si>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</si>
  <si>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</si>
  <si>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</si>
  <si>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</si>
  <si>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</si>
  <si>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</si>
  <si>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</si>
  <si>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</si>
  <si>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</si>
  <si>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</si>
  <si>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</si>
  <si>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</si>
  <si>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</si>
  <si>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</si>
  <si>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</si>
  <si>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</si>
  <si>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</si>
  <si>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</si>
  <si>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</si>
  <si>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</si>
  <si>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</si>
  <si>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</si>
  <si>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</si>
  <si>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</si>
  <si>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</si>
  <si>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</si>
  <si>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</si>
  <si>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</si>
  <si>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</si>
  <si>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</si>
  <si>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</si>
  <si>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</si>
  <si>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</si>
  <si>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</si>
  <si>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</si>
  <si>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</si>
  <si>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</si>
  <si>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</si>
  <si>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</si>
  <si>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</si>
  <si>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</si>
  <si>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</si>
  <si>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</si>
  <si>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</si>
  <si>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</si>
  <si>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</si>
  <si>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</si>
  <si>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</si>
  <si>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</si>
  <si>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</si>
  <si>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</si>
  <si>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</si>
  <si>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</si>
  <si>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</si>
  <si>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</si>
  <si>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</si>
  <si>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</si>
  <si>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</si>
  <si>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</si>
  <si>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</si>
  <si>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</si>
  <si>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</si>
  <si>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</si>
  <si>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</si>
  <si>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</si>
  <si>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</si>
  <si>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</si>
  <si>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</si>
  <si>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</si>
  <si>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</si>
  <si>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</si>
  <si>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</si>
  <si>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</si>
  <si>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</si>
  <si>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</si>
  <si>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</si>
  <si>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</si>
  <si>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</si>
  <si>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</si>
  <si>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</si>
  <si>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</si>
  <si>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</si>
  <si>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</si>
  <si>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</si>
  <si>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</si>
  <si>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</si>
  <si>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</si>
  <si>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</si>
  <si>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</si>
  <si>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</si>
  <si>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</si>
  <si>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</si>
  <si>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</si>
  <si>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</si>
  <si>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</si>
  <si>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</si>
  <si>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</si>
  <si>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</si>
  <si>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</si>
  <si>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</si>
  <si>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</si>
  <si>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</si>
  <si>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</si>
  <si>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</si>
  <si>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</si>
  <si>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</si>
  <si>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</si>
  <si>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</si>
  <si>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</si>
  <si>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</si>
  <si>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</si>
  <si>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</si>
  <si>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</si>
  <si>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</si>
  <si>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</si>
  <si>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</si>
  <si>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</si>
  <si>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</si>
  <si>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</si>
  <si>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</si>
  <si>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</si>
  <si>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</si>
  <si>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</si>
  <si>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</si>
  <si>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</si>
  <si>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</si>
  <si>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</si>
  <si>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</si>
  <si>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</si>
  <si>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</si>
  <si>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</si>
  <si>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</si>
  <si>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</si>
  <si>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</si>
  <si>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</si>
  <si>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</si>
  <si>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</si>
  <si>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</si>
  <si>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</si>
  <si>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</si>
  <si>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</si>
  <si>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</si>
  <si>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</si>
  <si>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</si>
  <si>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</si>
  <si>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</si>
  <si>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</si>
  <si>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</si>
  <si>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</si>
  <si>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</si>
  <si>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</si>
  <si>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</si>
  <si>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</si>
  <si>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</si>
  <si>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</si>
  <si>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</si>
  <si>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</si>
  <si>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</si>
  <si>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</si>
  <si>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</si>
  <si>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</si>
  <si>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</si>
  <si>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</si>
  <si>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</si>
  <si>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</si>
  <si>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</si>
  <si>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</si>
  <si>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</si>
  <si>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</si>
  <si>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</si>
  <si>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</si>
  <si>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</si>
  <si>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</si>
  <si>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</si>
  <si>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</si>
  <si>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</si>
  <si>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</si>
  <si>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</si>
  <si>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</si>
  <si>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</si>
  <si>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</si>
  <si>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</si>
  <si>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</si>
  <si>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</si>
  <si>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</si>
  <si>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</si>
  <si>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</si>
  <si>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</si>
  <si>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</si>
  <si>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</si>
  <si>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</si>
  <si>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</si>
  <si>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</si>
  <si>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</si>
  <si>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</si>
  <si>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</si>
  <si>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</si>
  <si>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</si>
  <si>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</si>
  <si>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</si>
  <si>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</si>
  <si>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</si>
  <si>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</si>
  <si>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</si>
  <si>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</si>
  <si>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</si>
  <si>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</si>
  <si>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</si>
  <si>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</si>
  <si>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</si>
  <si>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</si>
  <si>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</si>
  <si>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</si>
  <si>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</si>
  <si>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</si>
  <si>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</si>
  <si>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</si>
  <si>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</si>
  <si>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</si>
  <si>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</si>
  <si>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</si>
  <si>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</si>
  <si>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</si>
  <si>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</si>
  <si>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</si>
  <si>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</si>
  <si>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</si>
  <si>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</si>
  <si>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</si>
  <si>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</si>
  <si>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</si>
  <si>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</si>
  <si>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</si>
  <si>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</si>
  <si>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</si>
  <si>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</si>
  <si>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</si>
  <si>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</si>
  <si>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</si>
  <si>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</si>
  <si>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</si>
  <si>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</si>
  <si>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</si>
  <si>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</si>
  <si>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</si>
  <si>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</si>
  <si>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</si>
  <si>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</si>
  <si>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</si>
  <si>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</si>
  <si>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</si>
  <si>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</si>
  <si>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</si>
  <si>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</si>
  <si>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</si>
  <si>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</si>
  <si>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</si>
  <si>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</si>
  <si>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</si>
  <si>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</si>
  <si>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</si>
  <si>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</si>
  <si>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</si>
  <si>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</si>
  <si>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</si>
  <si>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</si>
  <si>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</si>
  <si>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</si>
  <si>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</si>
  <si>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</si>
  <si>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</si>
  <si>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</si>
  <si>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</si>
  <si>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</si>
  <si>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</si>
  <si>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</si>
  <si>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</si>
  <si>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</si>
  <si>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</si>
  <si>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</si>
  <si>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</si>
  <si>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</si>
  <si>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</si>
  <si>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</si>
  <si>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</si>
  <si>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</si>
  <si>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</si>
  <si>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</si>
  <si>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</si>
  <si>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</si>
  <si>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</si>
  <si>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</si>
  <si>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</si>
  <si>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</si>
  <si>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</si>
  <si>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</si>
  <si>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</si>
  <si>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</si>
  <si>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</si>
  <si>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</si>
  <si>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</si>
  <si>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</si>
  <si>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</si>
  <si>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</si>
  <si>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</si>
  <si>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</si>
  <si>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</si>
  <si>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</si>
  <si>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</si>
  <si>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</si>
  <si>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</si>
  <si>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</si>
  <si>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</si>
  <si>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</si>
  <si>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</si>
  <si>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</si>
  <si>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</si>
  <si>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</si>
  <si>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</si>
  <si>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</si>
  <si>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</si>
  <si>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</si>
  <si>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</si>
  <si>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</si>
  <si>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</si>
  <si>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</si>
  <si>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</si>
  <si>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</si>
  <si>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</si>
  <si>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</si>
  <si>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</si>
  <si>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</si>
  <si>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</si>
  <si>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</si>
  <si>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</si>
  <si>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</si>
  <si>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</si>
  <si>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</si>
  <si>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</si>
  <si>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</si>
  <si>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</si>
  <si>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</si>
  <si>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</si>
  <si>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</si>
  <si>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</si>
  <si>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</si>
  <si>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</si>
  <si>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</si>
  <si>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</si>
  <si>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</si>
  <si>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</si>
  <si>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</si>
  <si>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</si>
  <si>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</si>
  <si>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</si>
  <si>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</si>
  <si>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</si>
  <si>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</si>
  <si>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</si>
  <si>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</si>
  <si>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</si>
  <si>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</si>
  <si>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</si>
  <si>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</si>
  <si>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</si>
  <si>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</si>
  <si>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</si>
  <si>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</si>
  <si>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</si>
  <si>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</si>
  <si>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</si>
  <si>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</si>
  <si>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</si>
  <si>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</si>
  <si>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</si>
  <si>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</si>
  <si>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</si>
  <si>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</si>
  <si>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</si>
  <si>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</si>
  <si>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</si>
  <si>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</si>
  <si>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</si>
  <si>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</si>
  <si>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</si>
  <si>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</si>
  <si>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</si>
  <si>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</si>
  <si>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</si>
  <si>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</si>
  <si>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</si>
  <si>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</si>
  <si>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</si>
  <si>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</si>
  <si>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</si>
  <si>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</si>
  <si>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</si>
  <si>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</si>
  <si>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</si>
  <si>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</si>
  <si>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</si>
  <si>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</si>
  <si>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</si>
  <si>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</si>
  <si>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</si>
  <si>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</si>
  <si>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</si>
  <si>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</si>
  <si>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</si>
  <si>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</si>
  <si>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</si>
  <si>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</si>
  <si>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</si>
  <si>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</si>
  <si>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</si>
  <si>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</si>
  <si>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</si>
  <si>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</si>
  <si>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</si>
  <si>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</si>
  <si>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</si>
  <si>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</si>
  <si>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</si>
  <si>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</si>
  <si>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</si>
  <si>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</si>
  <si>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</si>
  <si>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</si>
  <si>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</si>
  <si>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</si>
  <si>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</si>
  <si>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</si>
  <si>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</si>
  <si>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</si>
  <si>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</si>
  <si>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</si>
  <si>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</si>
  <si>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</si>
  <si>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</si>
  <si>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</si>
  <si>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</si>
  <si>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</si>
  <si>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</si>
  <si>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</si>
  <si>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</si>
  <si>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</si>
  <si>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</si>
  <si>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</si>
  <si>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</si>
  <si>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</si>
  <si>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</si>
  <si>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</si>
  <si>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</si>
  <si>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</si>
  <si>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</si>
  <si>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</si>
  <si>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</si>
  <si>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</si>
  <si>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</si>
  <si>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</si>
  <si>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</si>
  <si>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</si>
  <si>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</si>
  <si>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</si>
  <si>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</si>
  <si>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</si>
  <si>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</si>
  <si>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</si>
  <si>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</si>
  <si>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</si>
  <si>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</si>
  <si>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</si>
  <si>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</si>
  <si>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</si>
  <si>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</si>
  <si>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</si>
  <si>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</si>
  <si>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</si>
  <si>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</si>
  <si>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</si>
  <si>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</si>
  <si>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</si>
  <si>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</si>
  <si>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</si>
  <si>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</si>
  <si>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</si>
  <si>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</si>
  <si>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</si>
  <si>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</si>
  <si>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</si>
  <si>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</si>
  <si>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</si>
  <si>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</si>
  <si>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</si>
  <si>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</si>
  <si>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</si>
  <si>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</si>
  <si>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</si>
  <si>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</si>
  <si>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</si>
  <si>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</si>
  <si>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</si>
  <si>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</si>
  <si>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</si>
  <si>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</si>
  <si>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</si>
  <si>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</si>
  <si>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</si>
  <si>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</si>
  <si>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</si>
  <si>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</si>
  <si>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</si>
  <si>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</si>
  <si>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</si>
  <si>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</si>
  <si>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</si>
  <si>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</si>
  <si>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</si>
  <si>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</si>
  <si>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</si>
  <si>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</si>
  <si>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</si>
  <si>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</si>
  <si>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</si>
  <si>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</si>
  <si>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</si>
  <si>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</si>
  <si>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</si>
  <si>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</si>
  <si>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</si>
  <si>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</si>
  <si>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</si>
  <si>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</si>
  <si>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</si>
  <si>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</si>
  <si>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</si>
  <si>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</si>
  <si>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</si>
  <si>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</si>
  <si>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</si>
  <si>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</si>
  <si>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</si>
  <si>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</si>
  <si>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</si>
  <si>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</si>
  <si>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</si>
  <si>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</si>
  <si>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</si>
  <si>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</si>
  <si>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</si>
  <si>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</si>
  <si>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</si>
  <si>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</si>
  <si>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</si>
  <si>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</si>
  <si>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</si>
  <si>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</si>
  <si>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</si>
  <si>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</si>
  <si>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</si>
  <si>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</si>
  <si>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</si>
  <si>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</si>
  <si>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</si>
  <si>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</si>
  <si>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</si>
  <si>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</si>
  <si>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</si>
  <si>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</si>
  <si>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</si>
  <si>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</si>
  <si>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</si>
  <si>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</si>
  <si>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</si>
  <si>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</si>
  <si>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</si>
  <si>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</si>
  <si>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</si>
  <si>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</si>
  <si>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</si>
  <si>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</si>
  <si>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</si>
  <si>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</si>
  <si>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</si>
  <si>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</si>
  <si>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</si>
  <si>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</si>
  <si>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</si>
  <si>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</si>
  <si>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</si>
  <si>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</si>
  <si>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</si>
  <si>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</si>
  <si>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</si>
  <si>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</si>
  <si>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</si>
  <si>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</si>
  <si>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</si>
  <si>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</si>
  <si>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</si>
  <si>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</si>
  <si>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</si>
  <si>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</si>
  <si>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</si>
  <si>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</si>
  <si>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</si>
  <si>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</si>
  <si>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</si>
  <si>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</si>
  <si>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</si>
  <si>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</si>
  <si>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</si>
  <si>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</si>
  <si>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</si>
  <si>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</si>
  <si>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</si>
  <si>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</si>
  <si>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</si>
  <si>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</si>
  <si>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</si>
  <si>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</si>
  <si>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</si>
  <si>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</si>
  <si>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</si>
  <si>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</si>
  <si>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</si>
  <si>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</si>
  <si>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</si>
  <si>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</si>
  <si>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</si>
  <si>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</si>
  <si>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</si>
  <si>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</si>
  <si>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</si>
  <si>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</si>
  <si>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</si>
  <si>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</si>
  <si>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</si>
  <si>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</si>
  <si>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</si>
  <si>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</si>
  <si>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</si>
  <si>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</si>
  <si>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</si>
  <si>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</si>
  <si>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</si>
  <si>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</si>
  <si>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</si>
  <si>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</si>
  <si>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</si>
  <si>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</si>
  <si>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</si>
  <si>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</si>
  <si>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</si>
  <si>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</si>
  <si>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</si>
  <si>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</si>
  <si>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</si>
  <si>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</si>
  <si>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</si>
  <si>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</si>
  <si>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</si>
  <si>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</si>
  <si>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</si>
  <si>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</si>
  <si>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</si>
  <si>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</si>
  <si>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</si>
  <si>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</si>
  <si>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</si>
  <si>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</si>
  <si>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</si>
  <si>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</si>
  <si>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</si>
  <si>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</si>
  <si>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</si>
  <si>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</si>
  <si>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</si>
  <si>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</si>
  <si>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</si>
  <si>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</si>
  <si>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</si>
  <si>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</si>
  <si>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</si>
  <si>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</si>
  <si>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</si>
  <si>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</si>
  <si>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</si>
  <si>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</si>
  <si>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</si>
  <si>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</si>
  <si>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</si>
  <si>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</si>
  <si>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</si>
  <si>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</si>
  <si>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</si>
  <si>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</si>
  <si>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</si>
  <si>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</si>
  <si>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</si>
  <si>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</si>
  <si>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</si>
  <si>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</si>
  <si>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</si>
  <si>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</si>
  <si>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</si>
  <si>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</si>
  <si>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</si>
  <si>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</si>
  <si>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</si>
  <si>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</si>
  <si>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</si>
  <si>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</si>
  <si>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</si>
  <si>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</si>
  <si>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</si>
  <si>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</si>
  <si>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</si>
  <si>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</si>
  <si>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</si>
  <si>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</si>
  <si>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</si>
  <si>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</si>
  <si>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</si>
  <si>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</si>
  <si>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</si>
  <si>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</si>
  <si>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</si>
  <si>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</si>
  <si>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</si>
  <si>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</si>
  <si>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</si>
  <si>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</si>
  <si>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</si>
  <si>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</si>
  <si>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</si>
  <si>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</si>
  <si>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</si>
  <si>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</si>
  <si>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</si>
  <si>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</si>
  <si>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</si>
  <si>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</si>
  <si>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</si>
  <si>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</si>
  <si>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</si>
  <si>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</si>
  <si>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</si>
  <si>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</si>
  <si>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</si>
  <si>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</si>
  <si>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</si>
  <si>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</si>
  <si>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</si>
  <si>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</si>
  <si>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</si>
  <si>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</si>
  <si>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</si>
  <si>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</si>
  <si>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</si>
  <si>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</si>
  <si>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</si>
  <si>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</si>
  <si>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</si>
  <si>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</si>
  <si>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</si>
  <si>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</si>
  <si>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</si>
  <si>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</si>
  <si>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</si>
  <si>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</si>
  <si>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</si>
  <si>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</si>
  <si>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</si>
  <si>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</si>
  <si>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</si>
  <si>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</si>
  <si>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</si>
  <si>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</si>
  <si>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</si>
  <si>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</si>
  <si>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</si>
  <si>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</si>
  <si>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</si>
  <si>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</si>
  <si>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</si>
  <si>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</si>
  <si>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</si>
  <si>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</si>
  <si>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</si>
  <si>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</si>
  <si>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</si>
  <si>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</si>
  <si>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</si>
  <si>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</si>
  <si>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</si>
  <si>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</si>
  <si>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</si>
  <si>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</si>
  <si>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</si>
  <si>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</si>
  <si>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</si>
  <si>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</si>
  <si>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</si>
  <si>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</si>
  <si>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</si>
  <si>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</si>
  <si>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</si>
  <si>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</si>
  <si>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</si>
  <si>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</si>
  <si>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</si>
  <si>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</si>
  <si>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</si>
  <si>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</si>
  <si>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</si>
  <si>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</si>
  <si>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</si>
  <si>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</si>
  <si>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</si>
  <si>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</si>
  <si>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</si>
  <si>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</si>
  <si>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</si>
  <si>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</si>
  <si>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</si>
  <si>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</si>
  <si>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</si>
  <si>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</si>
  <si>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</si>
  <si>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</si>
  <si>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</si>
  <si>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</si>
  <si>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</si>
  <si>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</si>
  <si>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</si>
  <si>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</si>
  <si>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</si>
  <si>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</si>
  <si>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</si>
  <si>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</si>
  <si>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</si>
  <si>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</si>
  <si>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</si>
  <si>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</si>
  <si>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</si>
  <si>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</si>
  <si>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</si>
  <si>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</si>
  <si>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</si>
  <si>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</si>
  <si>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</si>
  <si>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</si>
  <si>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</si>
  <si>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</si>
  <si>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</si>
  <si>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</si>
  <si>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</si>
  <si>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</si>
  <si>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</si>
  <si>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</si>
  <si>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</si>
  <si>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</si>
  <si>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</si>
  <si>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</si>
  <si>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</si>
  <si>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</si>
  <si>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</si>
  <si>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</si>
  <si>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</si>
  <si>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</si>
  <si>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</si>
  <si>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</si>
  <si>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</si>
  <si>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</si>
  <si>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</si>
  <si>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</si>
  <si>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</si>
  <si>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</si>
  <si>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</si>
  <si>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</si>
  <si>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</si>
  <si>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</si>
  <si>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</si>
  <si>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</si>
  <si>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</si>
  <si>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</si>
  <si>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</si>
  <si>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</si>
  <si>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</si>
  <si>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</si>
  <si>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</si>
  <si>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</si>
  <si>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</si>
  <si>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</si>
  <si>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</si>
  <si>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</si>
  <si>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</si>
  <si>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</si>
  <si>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</si>
  <si>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</si>
  <si>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</si>
  <si>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</si>
  <si>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</si>
  <si>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</si>
  <si>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</si>
  <si>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</si>
  <si>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</si>
  <si>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</si>
  <si>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</si>
  <si>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</si>
  <si>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</si>
  <si>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</si>
  <si>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</si>
  <si>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</si>
  <si>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</si>
  <si>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</si>
  <si>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</si>
  <si>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</si>
  <si>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</si>
  <si>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</si>
  <si>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</si>
  <si>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</si>
  <si>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</si>
  <si>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</si>
  <si>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</si>
  <si>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</si>
  <si>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</si>
  <si>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</si>
  <si>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</si>
  <si>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</si>
  <si>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</si>
  <si>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</si>
  <si>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</si>
  <si>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</si>
  <si>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</si>
  <si>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</si>
  <si>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</si>
  <si>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</si>
  <si>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</si>
  <si>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</si>
  <si>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</si>
  <si>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</si>
  <si>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</si>
  <si>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</si>
  <si>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</si>
  <si>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</si>
  <si>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</si>
  <si>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</si>
  <si>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</si>
  <si>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</si>
  <si>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</si>
  <si>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</si>
  <si>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</si>
  <si>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</si>
  <si>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</si>
  <si>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</si>
  <si>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</si>
  <si>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</si>
  <si>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</si>
  <si>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</si>
  <si>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</si>
  <si>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</si>
  <si>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</si>
  <si>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</si>
  <si>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</si>
  <si>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</si>
  <si>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</si>
  <si>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</si>
  <si>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</si>
  <si>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</si>
  <si>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</si>
  <si>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</si>
  <si>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</si>
  <si>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</si>
  <si>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</si>
  <si>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</si>
  <si>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</si>
  <si>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</si>
  <si>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</si>
  <si>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</si>
  <si>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</si>
  <si>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</si>
  <si>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</si>
  <si>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</si>
  <si>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</si>
  <si>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</si>
  <si>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</si>
  <si>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</si>
  <si>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</si>
  <si>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</si>
  <si>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</si>
  <si>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</si>
  <si>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</si>
  <si>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</si>
  <si>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</si>
  <si>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</si>
  <si>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</si>
  <si>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</si>
  <si>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</si>
  <si>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</si>
  <si>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</si>
  <si>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</si>
  <si>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</si>
  <si>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</si>
  <si>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</si>
  <si>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</si>
  <si>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</si>
  <si>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</si>
  <si>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</si>
  <si>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</si>
  <si>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</si>
  <si>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</si>
  <si>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</si>
  <si>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</si>
  <si>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</si>
  <si>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</si>
  <si>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</si>
  <si>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</si>
  <si>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</si>
  <si>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</si>
  <si>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</si>
  <si>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</si>
  <si>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</si>
  <si>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</si>
  <si>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</si>
  <si>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</si>
  <si>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</si>
  <si>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</si>
  <si>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</si>
  <si>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</si>
  <si>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</si>
  <si>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</si>
  <si>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</si>
  <si>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</si>
  <si>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</si>
  <si>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</si>
  <si>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</si>
  <si>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</si>
  <si>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</si>
  <si>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</si>
  <si>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</si>
  <si>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</si>
  <si>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</si>
  <si>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</si>
  <si>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</si>
  <si>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</si>
  <si>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</si>
  <si>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</si>
  <si>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</si>
  <si>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</si>
  <si>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</si>
  <si>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</si>
  <si>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</si>
  <si>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</si>
  <si>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</si>
  <si>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</si>
  <si>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</si>
  <si>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</si>
  <si>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</si>
  <si>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</si>
  <si>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</si>
  <si>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</si>
  <si>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</si>
  <si>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</si>
  <si>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</si>
  <si>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</si>
  <si>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</si>
  <si>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</si>
  <si>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</si>
  <si>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</si>
  <si>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</si>
  <si>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</si>
  <si>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</si>
  <si>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</si>
  <si>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</si>
  <si>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</si>
  <si>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</si>
  <si>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</si>
  <si>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</si>
  <si>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</si>
  <si>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</si>
  <si>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</si>
  <si>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</si>
  <si>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</si>
  <si>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</si>
  <si>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</si>
  <si>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</si>
  <si>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</si>
  <si>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</si>
  <si>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</si>
  <si>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</si>
  <si>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</si>
  <si>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</si>
  <si>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</si>
  <si>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</si>
  <si>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</si>
  <si>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</si>
  <si>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</si>
  <si>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</si>
  <si>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</si>
  <si>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</si>
  <si>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</si>
  <si>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</si>
  <si>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</si>
  <si>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</si>
  <si>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</si>
  <si>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</si>
  <si>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</si>
  <si>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</si>
  <si>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</si>
  <si>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</si>
  <si>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</si>
  <si>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</si>
  <si>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</si>
  <si>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</si>
  <si>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</si>
  <si>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</si>
  <si>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</si>
  <si>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</si>
  <si>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</si>
  <si>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</si>
  <si>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</si>
  <si>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</si>
  <si>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</si>
  <si>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</si>
  <si>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</si>
  <si>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</si>
  <si>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</si>
  <si>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</si>
  <si>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</si>
  <si>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</si>
  <si>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</si>
  <si>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</si>
  <si>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</si>
  <si>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</si>
  <si>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</si>
  <si>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</si>
  <si>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</si>
  <si>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</si>
  <si>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</si>
  <si>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</si>
  <si>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</si>
  <si>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</si>
  <si>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</si>
  <si>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</si>
  <si>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</si>
  <si>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</si>
  <si>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</si>
  <si>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</si>
  <si>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</si>
  <si>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</si>
  <si>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</si>
  <si>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</si>
  <si>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</si>
  <si>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</si>
  <si>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</si>
  <si>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</si>
  <si>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</si>
  <si>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</si>
  <si>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</si>
  <si>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</si>
  <si>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</si>
  <si>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</si>
  <si>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</si>
  <si>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</si>
  <si>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</si>
  <si>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</si>
  <si>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</si>
  <si>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</si>
  <si>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</si>
  <si>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</si>
  <si>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</si>
  <si>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</si>
  <si>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</si>
  <si>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</si>
  <si>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</si>
  <si>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</si>
  <si>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</si>
  <si>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</si>
  <si>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</si>
  <si>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</si>
  <si>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</si>
  <si>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</si>
  <si>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</si>
  <si>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</si>
  <si>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</si>
  <si>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</si>
  <si>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</si>
  <si>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</si>
  <si>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</si>
  <si>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</si>
  <si>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</si>
  <si>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</si>
  <si>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</si>
  <si>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</si>
  <si>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</si>
  <si>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</si>
  <si>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</si>
  <si>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</si>
  <si>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</si>
  <si>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</si>
  <si>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</si>
  <si>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</si>
  <si>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</si>
  <si>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</si>
  <si>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</si>
  <si>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</si>
  <si>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</si>
  <si>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</si>
  <si>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</si>
  <si>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</si>
  <si>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</si>
  <si>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</si>
  <si>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</si>
  <si>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</si>
  <si>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</si>
  <si>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</si>
  <si>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</si>
  <si>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</si>
  <si>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</si>
  <si>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</si>
  <si>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</si>
  <si>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</si>
  <si>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</si>
  <si>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</si>
  <si>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</si>
  <si>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</si>
  <si>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</si>
  <si>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</si>
  <si>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</si>
  <si>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</si>
  <si>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</si>
  <si>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</si>
  <si>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</si>
  <si>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</si>
  <si>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</si>
  <si>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</si>
  <si>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</si>
  <si>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</si>
  <si>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</si>
  <si>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</si>
  <si>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</si>
  <si>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</si>
  <si>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</si>
  <si>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</si>
  <si>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</si>
  <si>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</si>
  <si>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</si>
  <si>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</si>
  <si>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</si>
  <si>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</si>
  <si>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</si>
  <si>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</si>
  <si>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</si>
  <si>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</si>
  <si>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</si>
  <si>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</si>
  <si>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</si>
  <si>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</si>
  <si>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</si>
  <si>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</si>
  <si>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</si>
  <si>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</si>
  <si>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</si>
  <si>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</si>
  <si>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</si>
  <si>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</si>
  <si>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</si>
  <si>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</si>
  <si>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</si>
  <si>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</si>
  <si>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</si>
  <si>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</si>
  <si>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</si>
  <si>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</si>
  <si>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</si>
  <si>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</si>
  <si>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</si>
  <si>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</si>
  <si>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</si>
  <si>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</si>
  <si>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</si>
  <si>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</si>
  <si>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</si>
  <si>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</si>
  <si>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</si>
  <si>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</si>
  <si>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</si>
  <si>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</si>
  <si>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</si>
  <si>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</si>
  <si>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</si>
  <si>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</si>
  <si>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</si>
  <si>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</si>
  <si>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</si>
  <si>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</si>
  <si>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</si>
  <si>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</si>
  <si>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</si>
  <si>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</si>
  <si>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</si>
  <si>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</si>
  <si>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</si>
  <si>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</si>
  <si>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</si>
  <si>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</si>
  <si>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</si>
  <si>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</si>
  <si>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</si>
  <si>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</si>
  <si>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</si>
  <si>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</si>
  <si>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</si>
  <si>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</si>
  <si>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</si>
  <si>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</si>
  <si>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</si>
  <si>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</si>
  <si>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</si>
  <si>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</si>
  <si>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</si>
  <si>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</si>
  <si>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</si>
  <si>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</si>
  <si>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</si>
  <si>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</si>
  <si>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</si>
  <si>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</si>
  <si>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</si>
  <si>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</si>
  <si>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</si>
  <si>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</si>
  <si>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</si>
  <si>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</si>
  <si>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</si>
  <si>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</si>
  <si>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</si>
  <si>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</si>
  <si>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</si>
  <si>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</si>
  <si>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</si>
  <si>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</si>
  <si>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</si>
  <si>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</si>
  <si>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</si>
  <si>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</si>
  <si>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</si>
  <si>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</si>
  <si>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</si>
  <si>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</si>
  <si>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</si>
  <si>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</si>
  <si>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</si>
  <si>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</si>
  <si>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</si>
  <si>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</si>
  <si>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</si>
  <si>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</si>
  <si>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</si>
  <si>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</si>
  <si>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</si>
  <si>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</si>
  <si>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</si>
  <si>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</si>
  <si>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</si>
  <si>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</si>
  <si>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</si>
  <si>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</si>
  <si>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</si>
  <si>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</si>
  <si>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</si>
  <si>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</si>
  <si>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</si>
  <si>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</si>
  <si>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</si>
  <si>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</si>
  <si>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</si>
  <si>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</si>
  <si>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</si>
  <si>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</si>
  <si>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</si>
  <si>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</si>
  <si>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</si>
  <si>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</si>
  <si>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</si>
  <si>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</si>
  <si>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</si>
  <si>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</si>
  <si>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</si>
  <si>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</si>
  <si>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</si>
  <si>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</si>
  <si>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</si>
  <si>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</si>
  <si>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</si>
  <si>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</si>
  <si>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</si>
  <si>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</si>
  <si>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</si>
  <si>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</si>
  <si>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</si>
  <si>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</si>
  <si>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</si>
  <si>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</si>
  <si>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</si>
  <si>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</si>
  <si>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</si>
  <si>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</si>
  <si>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</si>
  <si>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</si>
  <si>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</si>
  <si>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</si>
  <si>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</si>
  <si>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</si>
  <si>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</si>
  <si>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</si>
  <si>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</si>
  <si>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</si>
  <si>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</si>
  <si>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</si>
  <si>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</si>
  <si>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</si>
  <si>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</si>
  <si>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</si>
  <si>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</si>
  <si>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</si>
  <si>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</si>
  <si>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</si>
  <si>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</si>
  <si>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</si>
  <si>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</si>
  <si>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</si>
  <si>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</si>
  <si>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</si>
  <si>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</si>
  <si>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</si>
  <si>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</si>
  <si>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</si>
  <si>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</si>
  <si>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</si>
  <si>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</si>
  <si>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</si>
  <si>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</si>
  <si>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</si>
  <si>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</si>
  <si>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</si>
  <si>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</si>
  <si>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</si>
  <si>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</si>
  <si>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</si>
  <si>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</si>
  <si>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</si>
  <si>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</si>
  <si>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</si>
  <si>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</si>
  <si>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</si>
  <si>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</si>
  <si>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</si>
  <si>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</si>
  <si>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</si>
  <si>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</si>
  <si>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</si>
  <si>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</si>
  <si>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</si>
  <si>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</si>
  <si>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</si>
  <si>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</si>
  <si>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</si>
  <si>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</si>
  <si>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</si>
  <si>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</si>
  <si>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</si>
  <si>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</si>
  <si>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</si>
  <si>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</si>
  <si>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</si>
  <si>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</si>
  <si>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</si>
  <si>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</si>
  <si>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</si>
  <si>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</si>
  <si>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</si>
  <si>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</si>
  <si>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</si>
  <si>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</si>
  <si>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</si>
  <si>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</si>
  <si>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</si>
  <si>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</si>
  <si>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</si>
  <si>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</si>
  <si>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</si>
  <si>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</si>
  <si>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</si>
  <si>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</si>
  <si>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</si>
  <si>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</si>
  <si>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</si>
  <si>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</si>
  <si>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</si>
  <si>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</si>
  <si>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</si>
  <si>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</si>
  <si>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</si>
  <si>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</si>
  <si>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</si>
  <si>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</si>
  <si>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</si>
  <si>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</si>
  <si>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</si>
  <si>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</si>
  <si>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</si>
  <si>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</si>
  <si>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</si>
  <si>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</si>
  <si>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</si>
  <si>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</si>
  <si>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</si>
  <si>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</si>
  <si>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</si>
  <si>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</si>
  <si>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</si>
  <si>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</si>
  <si>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</si>
  <si>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</si>
  <si>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</si>
  <si>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</si>
  <si>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</si>
  <si>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</si>
  <si>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</si>
  <si>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</si>
  <si>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</si>
  <si>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</si>
  <si>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</si>
  <si>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</si>
  <si>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</si>
  <si>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</si>
  <si>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</si>
  <si>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</si>
  <si>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</si>
  <si>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</si>
  <si>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</si>
  <si>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</si>
  <si>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</si>
  <si>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</si>
  <si>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</si>
  <si>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</si>
  <si>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</si>
  <si>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</si>
  <si>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</si>
  <si>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</si>
  <si>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</si>
  <si>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</si>
  <si>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</si>
  <si>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</si>
  <si>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</si>
  <si>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</si>
  <si>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</si>
  <si>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</si>
  <si>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</si>
  <si>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</si>
  <si>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</si>
  <si>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</si>
  <si>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</si>
  <si>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</si>
  <si>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</si>
  <si>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</si>
  <si>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</si>
  <si>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</si>
  <si>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</si>
  <si>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</si>
  <si>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</si>
  <si>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</si>
  <si>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</si>
  <si>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</si>
  <si>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</si>
  <si>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</si>
  <si>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</si>
  <si>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</si>
  <si>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</si>
  <si>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</si>
  <si>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</si>
  <si>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</si>
  <si>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</si>
  <si>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</si>
  <si>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</si>
  <si>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</si>
  <si>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</si>
  <si>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</si>
  <si>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</si>
  <si>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</si>
  <si>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</si>
  <si>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</si>
  <si>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</si>
  <si>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</si>
  <si>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</si>
  <si>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</si>
  <si>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</si>
  <si>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</si>
  <si>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</si>
  <si>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</si>
  <si>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</si>
  <si>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</si>
  <si>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</si>
  <si>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</si>
  <si>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</si>
  <si>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</si>
  <si>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</si>
  <si>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</si>
  <si>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</si>
  <si>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</si>
  <si>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</si>
  <si>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</si>
  <si>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</si>
  <si>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</si>
  <si>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</si>
  <si>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</si>
  <si>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</si>
  <si>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</si>
  <si>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</si>
  <si>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</si>
  <si>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</si>
  <si>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</si>
  <si>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</si>
  <si>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</si>
  <si>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</si>
  <si>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</si>
  <si>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</si>
  <si>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</si>
  <si>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</si>
  <si>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</si>
  <si>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</si>
  <si>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</si>
  <si>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</si>
  <si>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</si>
  <si>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</si>
  <si>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</si>
  <si>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</si>
  <si>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</si>
  <si>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</si>
  <si>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</si>
  <si>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</si>
  <si>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</si>
  <si>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</si>
  <si>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</si>
  <si>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</si>
  <si>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</si>
  <si>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</si>
  <si>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</si>
  <si>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</si>
  <si>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</si>
  <si>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</si>
  <si>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</si>
  <si>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</si>
  <si>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</si>
  <si>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</si>
  <si>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</si>
  <si>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</si>
  <si>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</si>
  <si>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</si>
  <si>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</si>
  <si>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</si>
  <si>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</si>
  <si>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</si>
  <si>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</si>
  <si>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</si>
  <si>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</si>
  <si>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</si>
  <si>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</si>
  <si>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</si>
  <si>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</si>
  <si>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</si>
  <si>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</si>
  <si>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</si>
  <si>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</si>
  <si>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</si>
  <si>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</si>
  <si>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</si>
  <si>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</si>
  <si>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</si>
  <si>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</si>
  <si>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</si>
  <si>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</si>
  <si>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</si>
  <si>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</si>
  <si>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</si>
  <si>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</si>
  <si>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</si>
  <si>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</si>
  <si>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</si>
  <si>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</si>
  <si>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</si>
  <si>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</si>
  <si>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</si>
  <si>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</si>
  <si>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</si>
  <si>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</si>
  <si>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</si>
  <si>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</si>
  <si>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</si>
  <si>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</si>
  <si>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</si>
  <si>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</si>
  <si>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</si>
  <si>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</si>
  <si>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</si>
  <si>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</si>
  <si>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</si>
  <si>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</si>
  <si>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</si>
  <si>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</si>
  <si>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</si>
  <si>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</si>
  <si>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</si>
  <si>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</si>
  <si>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</si>
  <si>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</si>
  <si>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</si>
  <si>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</si>
  <si>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</si>
  <si>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</si>
  <si>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</si>
  <si>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</si>
  <si>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</si>
  <si>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</si>
  <si>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</si>
  <si>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</si>
  <si>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</si>
  <si>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</si>
  <si>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</si>
  <si>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</si>
  <si>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</si>
  <si>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</si>
  <si>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</si>
  <si>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</si>
  <si>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</si>
  <si>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</si>
  <si>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</si>
  <si>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</si>
  <si>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</si>
  <si>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</si>
  <si>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</si>
  <si>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</si>
  <si>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</si>
  <si>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</si>
  <si>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</si>
  <si>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</si>
  <si>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</si>
  <si>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</si>
  <si>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</si>
  <si>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</si>
  <si>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</si>
  <si>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</si>
  <si>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</si>
  <si>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</si>
  <si>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</si>
  <si>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</si>
  <si>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</si>
  <si>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</si>
  <si>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</si>
  <si>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</si>
  <si>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</si>
  <si>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</si>
  <si>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</si>
  <si>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</si>
  <si>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</si>
  <si>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</si>
  <si>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</si>
  <si>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</si>
  <si>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</si>
  <si>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</si>
  <si>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</si>
  <si>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</si>
  <si>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</si>
  <si>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</si>
  <si>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</si>
  <si>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</si>
  <si>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</si>
  <si>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</si>
  <si>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</si>
  <si>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</si>
  <si>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</si>
  <si>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</si>
  <si>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</si>
  <si>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</si>
  <si>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</si>
  <si>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</si>
  <si>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</si>
  <si>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</si>
  <si>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</si>
  <si>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</si>
  <si>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</si>
  <si>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</si>
  <si>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</si>
  <si>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</si>
  <si>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</si>
  <si>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</si>
  <si>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</si>
  <si>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</si>
  <si>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</si>
  <si>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</si>
  <si>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</si>
  <si>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</si>
  <si>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</si>
  <si>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</si>
  <si>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</si>
  <si>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</si>
  <si>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</si>
  <si>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</si>
  <si>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</si>
  <si>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</si>
  <si>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</si>
  <si>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</si>
  <si>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</si>
  <si>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</si>
  <si>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</si>
  <si>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</si>
  <si>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</si>
  <si>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</si>
  <si>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</si>
  <si>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</si>
  <si>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</si>
  <si>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</si>
  <si>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</si>
  <si>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</si>
  <si>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</si>
  <si>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</si>
  <si>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</si>
  <si>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</si>
  <si>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</si>
  <si>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</si>
  <si>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</si>
  <si>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</si>
  <si>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</si>
  <si>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</si>
  <si>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</si>
  <si>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</si>
  <si>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</si>
  <si>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</si>
  <si>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</si>
  <si>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</si>
  <si>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</si>
  <si>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</si>
  <si>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</si>
  <si>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</si>
  <si>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</si>
  <si>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</si>
  <si>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</si>
  <si>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</si>
  <si>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</si>
  <si>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</si>
  <si>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</si>
  <si>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</si>
  <si>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</si>
  <si>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</si>
  <si>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</si>
  <si>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</si>
  <si>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</si>
  <si>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</si>
  <si>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</si>
  <si>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</si>
  <si>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</si>
  <si>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</si>
  <si>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</si>
  <si>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</si>
  <si>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</si>
  <si>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</si>
  <si>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</si>
  <si>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</si>
  <si>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</si>
  <si>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</si>
  <si>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</si>
  <si>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</si>
  <si>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</si>
  <si>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</si>
  <si>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</si>
  <si>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</si>
  <si>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</si>
  <si>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</si>
  <si>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</si>
  <si>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</si>
  <si>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</si>
  <si>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</si>
  <si>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</si>
  <si>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</si>
  <si>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</si>
  <si>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</si>
  <si>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</si>
  <si>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</si>
  <si>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</si>
  <si>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</si>
  <si>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</si>
  <si>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</si>
  <si>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</si>
  <si>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</si>
  <si>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</si>
  <si>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</si>
  <si>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</si>
  <si>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</si>
  <si>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</si>
  <si>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</si>
  <si>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</si>
  <si>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</si>
  <si>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</si>
  <si>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</si>
  <si>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</si>
  <si>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</si>
  <si>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</si>
  <si>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</si>
  <si>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</si>
  <si>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</si>
  <si>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</si>
  <si>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</si>
  <si>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</si>
  <si>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</si>
  <si>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</si>
  <si>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</si>
  <si>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</si>
  <si>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</si>
  <si>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</si>
  <si>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</si>
  <si>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</si>
  <si>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</si>
  <si>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</si>
  <si>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</si>
  <si>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</si>
  <si>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</si>
  <si>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</si>
  <si>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</si>
  <si>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</si>
  <si>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</si>
  <si>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</si>
  <si>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</si>
  <si>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</si>
  <si>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</si>
  <si>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</si>
  <si>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</si>
  <si>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</si>
  <si>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</si>
  <si>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</si>
  <si>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</si>
  <si>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</si>
  <si>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</si>
  <si>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</si>
  <si>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</si>
  <si>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</si>
  <si>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</si>
  <si>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</si>
  <si>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</si>
  <si>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</si>
  <si>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</si>
  <si>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</si>
  <si>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</si>
  <si>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</si>
  <si>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</si>
  <si>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</si>
  <si>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</si>
  <si>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</si>
  <si>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</si>
  <si>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</si>
  <si>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</si>
  <si>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</si>
  <si>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</si>
  <si>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</si>
  <si>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</si>
  <si>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</si>
  <si>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</si>
  <si>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</si>
  <si>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</si>
  <si>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</si>
  <si>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</si>
  <si>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</si>
  <si>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</si>
  <si>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</si>
  <si>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</si>
  <si>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</si>
  <si>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</si>
  <si>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</si>
  <si>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</si>
  <si>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</si>
  <si>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</si>
  <si>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</si>
  <si>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</si>
  <si>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</si>
  <si>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</si>
  <si>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</si>
  <si>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</si>
  <si>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</si>
  <si>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</si>
  <si>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</si>
  <si>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</si>
  <si>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</si>
  <si>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</si>
  <si>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</si>
  <si>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</si>
  <si>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</si>
  <si>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</si>
  <si>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</si>
  <si>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</si>
  <si>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</si>
  <si>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</si>
  <si>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</si>
  <si>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</si>
  <si>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</si>
  <si>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</si>
  <si>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</si>
  <si>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</si>
  <si>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</si>
  <si>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</si>
  <si>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</si>
  <si>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</si>
  <si>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</si>
  <si>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</si>
  <si>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</si>
  <si>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</si>
  <si>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</si>
  <si>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</si>
  <si>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</si>
  <si>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</si>
  <si>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</si>
  <si>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</si>
  <si>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</si>
  <si>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</si>
  <si>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</si>
  <si>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</si>
  <si>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</si>
  <si>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</si>
  <si>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</si>
  <si>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</si>
  <si>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</si>
  <si>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</si>
  <si>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</si>
  <si>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</si>
  <si>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</si>
  <si>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</si>
  <si>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</si>
  <si>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</si>
  <si>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</si>
  <si>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</si>
  <si>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</si>
  <si>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</si>
  <si>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</si>
  <si>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</si>
  <si>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</si>
  <si>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</si>
  <si>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</si>
  <si>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</si>
  <si>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</si>
  <si>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</si>
  <si>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</si>
  <si>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</si>
  <si>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</si>
  <si>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</si>
  <si>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</si>
  <si>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</si>
  <si>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</si>
  <si>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</si>
  <si>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</si>
  <si>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</si>
  <si>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</si>
  <si>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</si>
  <si>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</si>
  <si>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</si>
  <si>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</si>
  <si>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</si>
  <si>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</si>
  <si>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</si>
  <si>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</si>
  <si>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</si>
  <si>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</si>
  <si>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</si>
  <si>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</si>
  <si>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</si>
  <si>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</si>
  <si>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</si>
  <si>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</si>
  <si>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</si>
  <si>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</si>
  <si>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</si>
  <si>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</si>
  <si>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</si>
  <si>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</si>
  <si>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</si>
  <si>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</si>
  <si>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</si>
  <si>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</si>
  <si>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</si>
  <si>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</si>
  <si>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</si>
  <si>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</si>
  <si>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</si>
  <si>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</si>
  <si>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</si>
  <si>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</si>
  <si>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</si>
  <si>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</si>
  <si>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</si>
  <si>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</si>
  <si>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</si>
  <si>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</si>
  <si>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</si>
  <si>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</si>
  <si>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</si>
  <si>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</si>
  <si>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</si>
  <si>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</si>
  <si>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</si>
  <si>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</si>
  <si>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</si>
  <si>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</si>
  <si>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</si>
  <si>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</si>
  <si>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</si>
  <si>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</si>
  <si>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</si>
  <si>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</si>
  <si>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</si>
  <si>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</si>
  <si>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</si>
  <si>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</si>
  <si>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</si>
  <si>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</si>
  <si>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</si>
  <si>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</si>
  <si>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</si>
  <si>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</si>
  <si>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</si>
  <si>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</si>
  <si>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</si>
  <si>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</si>
  <si>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</si>
  <si>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</si>
  <si>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</si>
  <si>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</si>
  <si>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</si>
  <si>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</si>
  <si>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</si>
  <si>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</si>
  <si>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</si>
  <si>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</si>
  <si>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</si>
  <si>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</si>
  <si>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</si>
  <si>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</si>
  <si>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</si>
  <si>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</si>
  <si>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</si>
  <si>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</si>
  <si>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</si>
  <si>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</si>
  <si>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</si>
  <si>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</si>
  <si>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</si>
  <si>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</si>
  <si>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</si>
  <si>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</si>
  <si>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</si>
  <si>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</si>
  <si>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</si>
  <si>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</si>
  <si>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</si>
  <si>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</si>
  <si>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</si>
  <si>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</si>
  <si>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</si>
  <si>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</si>
  <si>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</si>
  <si>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</si>
  <si>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</si>
  <si>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</si>
  <si>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</si>
  <si>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</si>
  <si>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</si>
  <si>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</si>
  <si>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</si>
  <si>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</si>
  <si>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</si>
  <si>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</si>
  <si>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</si>
  <si>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</si>
  <si>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</si>
  <si>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</si>
  <si>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</si>
  <si>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</si>
  <si>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</si>
  <si>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</si>
  <si>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</si>
  <si>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</si>
  <si>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</si>
  <si>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</si>
  <si>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</si>
  <si>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</si>
  <si>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</si>
  <si>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</si>
  <si>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</si>
  <si>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</si>
  <si>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</si>
  <si>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</si>
  <si>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</si>
  <si>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</si>
  <si>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</si>
  <si>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</si>
  <si>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</si>
  <si>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</si>
  <si>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</si>
  <si>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</si>
  <si>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</si>
  <si>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</si>
  <si>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</si>
  <si>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</si>
  <si>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</si>
  <si>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</si>
  <si>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</si>
  <si>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</si>
  <si>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</si>
  <si>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</si>
  <si>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</si>
  <si>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</si>
  <si>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</si>
  <si>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</si>
  <si>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</si>
  <si>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</si>
  <si>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</si>
  <si>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</si>
  <si>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</si>
  <si>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</si>
  <si>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</si>
  <si>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</si>
  <si>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</si>
  <si>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</si>
  <si>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</si>
  <si>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</si>
  <si>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</si>
  <si>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</si>
  <si>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</si>
  <si>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</si>
  <si>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</si>
  <si>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</si>
  <si>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</si>
  <si>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</si>
  <si>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</si>
  <si>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</si>
  <si>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</si>
  <si>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</si>
  <si>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</si>
  <si>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</si>
  <si>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</si>
  <si>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</si>
  <si>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</si>
  <si>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</si>
  <si>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</si>
  <si>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</si>
  <si>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</si>
  <si>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</si>
  <si>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</si>
  <si>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</si>
  <si>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</si>
  <si>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</si>
  <si>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</si>
  <si>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</si>
  <si>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</si>
  <si>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</si>
  <si>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</si>
  <si>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</si>
  <si>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</si>
  <si>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</si>
  <si>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</si>
  <si>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</si>
  <si>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</si>
  <si>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</si>
  <si>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</si>
  <si>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</si>
  <si>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</si>
  <si>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</si>
  <si>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</si>
  <si>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</si>
  <si>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</si>
  <si>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</si>
  <si>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</si>
  <si>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</si>
  <si>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</si>
  <si>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</si>
  <si>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</si>
  <si>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</si>
  <si>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</si>
  <si>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</si>
  <si>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</si>
  <si>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</si>
  <si>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</si>
  <si>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</si>
  <si>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</si>
  <si>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</si>
  <si>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</si>
  <si>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</si>
  <si>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</si>
  <si>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</si>
  <si>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</si>
  <si>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</si>
  <si>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</si>
  <si>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</si>
  <si>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</si>
  <si>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</si>
  <si>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</si>
  <si>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</si>
  <si>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</si>
  <si>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</si>
  <si>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</si>
  <si>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</si>
  <si>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</si>
  <si>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</si>
  <si>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</si>
  <si>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</si>
  <si>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</si>
  <si>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</si>
  <si>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</si>
  <si>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</si>
  <si>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</si>
  <si>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</si>
  <si>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</si>
  <si>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</si>
  <si>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</si>
  <si>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</si>
  <si>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</si>
  <si>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</si>
  <si>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</si>
  <si>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</si>
  <si>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</si>
  <si>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</si>
  <si>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</si>
  <si>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</si>
  <si>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</si>
  <si>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</si>
  <si>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</si>
  <si>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</si>
  <si>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</si>
  <si>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</si>
  <si>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</si>
  <si>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</si>
  <si>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</si>
  <si>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</si>
  <si>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</si>
  <si>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</si>
  <si>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</si>
  <si>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</si>
  <si>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</si>
  <si>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</si>
  <si>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</si>
  <si>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</si>
  <si>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</si>
  <si>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</si>
  <si>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</si>
  <si>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</si>
  <si>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</si>
  <si>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</si>
  <si>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</si>
  <si>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</si>
  <si>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</si>
  <si>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</si>
  <si>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</si>
  <si>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</si>
  <si>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</si>
  <si>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</si>
  <si>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</si>
  <si>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</si>
  <si>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</si>
  <si>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</si>
  <si>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</si>
  <si>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</si>
  <si>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</si>
  <si>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</si>
  <si>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</si>
  <si>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</si>
  <si>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</si>
  <si>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</si>
  <si>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</si>
  <si>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</si>
  <si>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</si>
  <si>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</si>
  <si>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</si>
  <si>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</si>
  <si>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</si>
  <si>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</si>
  <si>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</si>
  <si>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</si>
  <si>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</si>
  <si>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</si>
  <si>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</si>
  <si>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</si>
  <si>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</si>
  <si>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</si>
  <si>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</si>
  <si>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</si>
  <si>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</si>
  <si>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</si>
  <si>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</si>
  <si>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</si>
  <si>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</si>
  <si>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</si>
  <si>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</si>
  <si>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</si>
  <si>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</si>
  <si>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</si>
  <si>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</si>
  <si>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</si>
  <si>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</si>
  <si>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</si>
  <si>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</si>
  <si>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</si>
  <si>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</si>
  <si>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</si>
  <si>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</si>
  <si>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</si>
  <si>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</si>
  <si>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</si>
  <si>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</si>
  <si>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</si>
  <si>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</si>
  <si>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</si>
  <si>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</si>
  <si>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</si>
  <si>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</si>
  <si>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</si>
  <si>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</si>
  <si>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</si>
  <si>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</si>
  <si>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</si>
  <si>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</si>
  <si>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</si>
  <si>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</si>
  <si>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</si>
  <si>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</si>
  <si>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</si>
  <si>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</si>
  <si>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</si>
  <si>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</si>
  <si>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</si>
  <si>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</si>
  <si>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</si>
  <si>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</si>
  <si>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</si>
  <si>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</si>
  <si>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</si>
  <si>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</si>
  <si>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</si>
  <si>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</si>
  <si>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</si>
  <si>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</si>
  <si>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</si>
  <si>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</si>
  <si>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</si>
  <si>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</si>
  <si>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</si>
  <si>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</si>
  <si>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</si>
  <si>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</si>
  <si>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</si>
  <si>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</si>
  <si>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</si>
  <si>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</si>
  <si>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</si>
  <si>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</si>
  <si>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</si>
  <si>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</si>
  <si>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</si>
  <si>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</si>
  <si>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</si>
  <si>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</si>
  <si>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</si>
  <si>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</si>
  <si>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</si>
  <si>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</si>
  <si>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</si>
  <si>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</si>
  <si>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</si>
  <si>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</si>
  <si>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</si>
  <si>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</si>
  <si>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</si>
  <si>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</si>
  <si>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</si>
  <si>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</si>
  <si>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</si>
  <si>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</si>
  <si>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</si>
  <si>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</si>
  <si>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</si>
  <si>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</si>
  <si>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</si>
  <si>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</si>
  <si>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</si>
  <si>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</si>
  <si>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</si>
  <si>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</si>
  <si>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</si>
  <si>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</si>
  <si>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</si>
  <si>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</si>
  <si>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</si>
  <si>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</si>
  <si>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</si>
  <si>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</si>
  <si>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</si>
  <si>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</si>
  <si>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</si>
  <si>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</si>
  <si>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</si>
  <si>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</si>
  <si>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</si>
  <si>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</si>
  <si>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</si>
  <si>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</si>
  <si>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</si>
  <si>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</si>
  <si>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</si>
  <si>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</si>
  <si>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</si>
  <si>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</si>
  <si>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</si>
  <si>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</si>
  <si>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</si>
  <si>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</si>
  <si>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</si>
  <si>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</si>
  <si>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</si>
  <si>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</si>
  <si>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</si>
  <si>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</si>
  <si>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</si>
  <si>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</si>
  <si>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</si>
  <si>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</si>
  <si>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</si>
  <si>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</si>
  <si>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</si>
  <si>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</si>
  <si>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</si>
  <si>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</si>
  <si>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</si>
  <si>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</si>
  <si>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</si>
  <si>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</si>
  <si>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</si>
  <si>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</si>
  <si>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</si>
  <si>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</si>
  <si>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</si>
  <si>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</si>
  <si>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</si>
  <si>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</si>
  <si>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</si>
  <si>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</si>
  <si>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</si>
  <si>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</si>
  <si>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</si>
  <si>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</si>
  <si>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</si>
  <si>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</si>
  <si>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</si>
  <si>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</si>
  <si>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</si>
  <si>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</si>
  <si>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</si>
  <si>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</si>
  <si>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</si>
  <si>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</si>
  <si>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</si>
  <si>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</si>
  <si>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</si>
  <si>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</si>
  <si>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</si>
  <si>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</si>
  <si>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</si>
  <si>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</si>
  <si>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</si>
  <si>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</si>
  <si>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</si>
  <si>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</si>
  <si>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</si>
  <si>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</si>
  <si>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</si>
  <si>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</si>
  <si>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</si>
  <si>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</si>
  <si>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</si>
  <si>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</si>
  <si>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</si>
  <si>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</si>
  <si>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</si>
  <si>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</si>
  <si>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</si>
  <si>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</si>
  <si>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</si>
  <si>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</si>
  <si>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</si>
  <si>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</si>
  <si>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</si>
  <si>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</si>
  <si>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</si>
  <si>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</si>
  <si>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</si>
  <si>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</si>
  <si>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</si>
  <si>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</si>
  <si>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</si>
  <si>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</si>
  <si>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</si>
  <si>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</si>
  <si>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</si>
  <si>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</si>
  <si>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</si>
  <si>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</si>
  <si>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</si>
  <si>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</si>
  <si>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</si>
  <si>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</si>
  <si>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</si>
  <si>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</si>
  <si>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</si>
  <si>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</si>
  <si>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</si>
  <si>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</si>
  <si>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</si>
  <si>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</si>
  <si>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</si>
  <si>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</si>
  <si>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</si>
  <si>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</si>
  <si>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</si>
  <si>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</si>
  <si>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</si>
  <si>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</si>
  <si>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</si>
  <si>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</si>
  <si>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</si>
  <si>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</si>
  <si>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</si>
  <si>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</si>
  <si>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</si>
  <si>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</si>
  <si>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</si>
  <si>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</si>
  <si>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</si>
  <si>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</si>
  <si>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</si>
  <si>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</si>
  <si>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</si>
  <si>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</si>
  <si>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</si>
  <si>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</si>
  <si>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</si>
  <si>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</si>
  <si>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</si>
  <si>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</si>
  <si>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</si>
  <si>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</si>
  <si>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</si>
  <si>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</si>
  <si>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</si>
  <si>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</si>
  <si>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</si>
  <si>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</si>
  <si>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</si>
  <si>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</si>
  <si>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</si>
  <si>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</si>
  <si>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</si>
  <si>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</si>
  <si>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</si>
  <si>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</si>
  <si>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</si>
  <si>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</si>
  <si>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</si>
  <si>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</si>
  <si>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</si>
  <si>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</si>
  <si>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</si>
  <si>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</si>
  <si>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</si>
  <si>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</si>
  <si>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</si>
  <si>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</si>
  <si>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</si>
  <si>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</si>
  <si>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</si>
  <si>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</si>
  <si>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</si>
  <si>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</si>
  <si>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</si>
  <si>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</si>
  <si>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</si>
  <si>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</si>
  <si>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</si>
  <si>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</si>
  <si>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</si>
  <si>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</si>
  <si>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</si>
  <si>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</si>
  <si>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</si>
  <si>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</si>
  <si>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</si>
  <si>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</si>
  <si>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</si>
  <si>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</si>
  <si>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</si>
  <si>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</si>
  <si>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</si>
  <si>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</si>
  <si>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</si>
  <si>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</si>
  <si>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</si>
  <si>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</si>
  <si>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估价对象6</t>
  </si>
  <si>
    <t>估价对象7</t>
  </si>
  <si>
    <t>估价对象8</t>
  </si>
  <si>
    <t>估价对象9</t>
  </si>
  <si>
    <t>估价对象10</t>
  </si>
  <si>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</si>
  <si>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</si>
  <si>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</si>
  <si>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</si>
  <si>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</si>
  <si>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</si>
  <si>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</si>
  <si>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</si>
  <si>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</si>
  <si>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</si>
  <si>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</si>
  <si>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</si>
  <si>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</si>
  <si>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</si>
  <si>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</si>
  <si>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</si>
  <si>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</si>
  <si>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</si>
  <si>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</si>
  <si>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</si>
  <si>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</si>
  <si>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</si>
  <si>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</si>
  <si>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</si>
  <si>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</si>
  <si>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</si>
  <si>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</si>
  <si>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</si>
  <si>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</si>
  <si>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</si>
  <si>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</si>
  <si>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</si>
  <si>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</si>
  <si>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</si>
  <si>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</si>
  <si>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</si>
  <si>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</si>
  <si>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</si>
  <si>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</si>
  <si>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</si>
  <si>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</si>
  <si>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</si>
  <si>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</si>
  <si>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</si>
  <si>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</si>
  <si>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</si>
  <si>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</si>
  <si>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</si>
  <si>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</si>
  <si>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</si>
  <si>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</si>
  <si>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</si>
  <si>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</si>
  <si>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</si>
  <si>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</si>
  <si>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</si>
  <si>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</si>
  <si>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</si>
  <si>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</si>
  <si>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</si>
  <si>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</si>
  <si>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</si>
  <si>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</si>
  <si>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</si>
  <si>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</si>
  <si>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</si>
  <si>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</si>
  <si>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</si>
  <si>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</si>
  <si>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</si>
  <si>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</si>
  <si>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</si>
  <si>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</si>
  <si>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</si>
  <si>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</si>
  <si>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</si>
  <si>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</si>
  <si>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</si>
  <si>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</si>
  <si>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</si>
  <si>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</si>
  <si>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</si>
  <si>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</si>
  <si>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</si>
  <si>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</si>
  <si>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</si>
  <si>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</si>
  <si>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</si>
  <si>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</si>
  <si>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</si>
  <si>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</si>
  <si>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</si>
  <si>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</si>
  <si>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</si>
  <si>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</si>
  <si>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</si>
  <si>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</si>
  <si>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</si>
  <si>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</si>
  <si>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</si>
  <si>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</si>
  <si>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</si>
  <si>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</si>
  <si>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</si>
  <si>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</si>
  <si>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</si>
  <si>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</si>
  <si>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</si>
  <si>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</si>
  <si>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</si>
  <si>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</si>
  <si>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</si>
  <si>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</si>
  <si>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</si>
  <si>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</si>
  <si>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</si>
  <si>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</si>
  <si>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</si>
  <si>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</si>
  <si>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</si>
  <si>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</si>
  <si>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</si>
  <si>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</si>
  <si>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</si>
  <si>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</si>
  <si>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</si>
  <si>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</si>
  <si>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</si>
  <si>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</si>
  <si>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</si>
  <si>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</si>
  <si>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</si>
  <si>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</si>
  <si>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</si>
  <si>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</si>
  <si>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</si>
  <si>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</si>
  <si>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</si>
  <si>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</si>
  <si>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</si>
  <si>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</si>
  <si>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</si>
  <si>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</si>
  <si>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</si>
  <si>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</si>
  <si>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</si>
  <si>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</si>
  <si>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</si>
  <si>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</si>
  <si>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</si>
  <si>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</si>
  <si>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</si>
  <si>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</si>
  <si>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利息：取LPR</t>
  </si>
  <si>
    <t>抵押价格</t>
  </si>
  <si>
    <t>其他：</t>
  </si>
  <si>
    <t>企业</t>
  </si>
  <si>
    <t>一致</t>
  </si>
  <si>
    <t>符合</t>
  </si>
  <si>
    <t>地上</t>
  </si>
  <si>
    <t>住宅</t>
    <phoneticPr fontId="7" type="noConversion"/>
  </si>
  <si>
    <t>http://www.ms.gov.cn/info/5659/1052275.htm</t>
    <phoneticPr fontId="3"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</si>
  <si>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</si>
  <si>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</si>
  <si>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</si>
  <si>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</si>
  <si>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</si>
  <si>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</si>
  <si>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</si>
  <si>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</si>
  <si>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</si>
  <si>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</si>
  <si>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</si>
  <si>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</si>
  <si>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</si>
  <si>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</si>
  <si>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</si>
  <si>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G245以西(四至界限以红线图为准)</t>
  </si>
  <si>
    <t>眉山市</t>
  </si>
  <si>
    <t>住宅用地</t>
  </si>
  <si>
    <t>大于1并且小于2</t>
  </si>
  <si>
    <t>拍卖</t>
  </si>
  <si>
    <t>城镇住宅-普通商品住房用地</t>
  </si>
  <si>
    <t>2020-12-22</t>
  </si>
  <si>
    <t>彭山发展控股有限责任公司</t>
  </si>
  <si>
    <t>3星</t>
  </si>
  <si>
    <t>孟文路以西,区监管中心以北(四至界限以红线图为准)</t>
  </si>
  <si>
    <t>红星路以南,孟文路以西(四至界限以红线图为准)</t>
  </si>
  <si>
    <t>G245以西,中医医院以南(四至界限以红线图为准)</t>
  </si>
  <si>
    <t>5星</t>
  </si>
  <si>
    <t>江口街道</t>
  </si>
  <si>
    <t>大于1并且小于2.98</t>
  </si>
  <si>
    <t>2020-12-03</t>
  </si>
  <si>
    <t>眉山簏坤房地产开发有限公司</t>
  </si>
  <si>
    <t>1星</t>
  </si>
  <si>
    <t>锦江镇通江大道北侧</t>
  </si>
  <si>
    <t>大于1并且小于2.5</t>
  </si>
  <si>
    <t>2020-10-20</t>
  </si>
  <si>
    <t>眉山恒煦旅游开发有限公司</t>
  </si>
  <si>
    <t>东星航空大道西侧</t>
  </si>
  <si>
    <t>眉山德泽旅游开发有限公司</t>
  </si>
  <si>
    <t>眉山恒思旅游开发有限公司</t>
  </si>
  <si>
    <t>眉山恒嘉旅游开发有限公司</t>
  </si>
  <si>
    <t>大于1并且小于或等于2.5</t>
  </si>
  <si>
    <t>城镇住宅用地</t>
  </si>
  <si>
    <t>2020-09-22</t>
  </si>
  <si>
    <t>四川圆中嘉华健康产业有限公司</t>
  </si>
  <si>
    <t>2星</t>
  </si>
  <si>
    <t>大于1并且小于或等于2</t>
  </si>
  <si>
    <t>锦江镇</t>
  </si>
  <si>
    <t>大于2并且小于3</t>
  </si>
  <si>
    <t>2020-09-19</t>
  </si>
  <si>
    <t>眉山环天发展有限公司</t>
  </si>
  <si>
    <t>大于2并且小于2.2</t>
  </si>
  <si>
    <t>公义镇</t>
  </si>
  <si>
    <t>2020-09-17</t>
  </si>
  <si>
    <t>眉山市彭山工投产业发展有限公司</t>
  </si>
  <si>
    <t>迎宾大道以北,滨江大道以西,长乐路以东</t>
  </si>
  <si>
    <t>综合用地(含住宅)</t>
  </si>
  <si>
    <t>大于1并且小于1.5</t>
  </si>
  <si>
    <t>城镇住宅(兼容商服)用地</t>
  </si>
  <si>
    <t>2020-08-25</t>
  </si>
  <si>
    <t>成都绿城巴蜀投资有限公司</t>
  </si>
  <si>
    <t>迎宾大道以北,锦绣大道以西,成乐高速以东</t>
  </si>
  <si>
    <t>2020-06-09</t>
  </si>
  <si>
    <t>四川盛天房地产开发有限公司</t>
  </si>
  <si>
    <t>成都融基投资有限公司</t>
  </si>
  <si>
    <t>四川武阳文化旅游股份有限公司</t>
  </si>
  <si>
    <t>寂照街以北,G245以东,彭寂街以东,费山路以南</t>
  </si>
  <si>
    <t>古城北路以北,蔡山北路东段以南,彭山一中以东,武阳古街以西</t>
  </si>
  <si>
    <t>大于1并且小于3.05</t>
  </si>
  <si>
    <t>2020-06-02</t>
  </si>
  <si>
    <t>赤壁路与二环西路交叉口西南角,东临二环西路,南临公园绿地,西临公园绿地,北临赤壁路</t>
  </si>
  <si>
    <t>2020-05-27</t>
  </si>
  <si>
    <t>眉山市宏大建设投资有限责任公司</t>
  </si>
  <si>
    <t>锦江镇官厅村</t>
  </si>
  <si>
    <t>大于1并且小于2.4</t>
  </si>
  <si>
    <t>2020-04-30</t>
  </si>
  <si>
    <t>四川圆中润恒置业发展有限公司</t>
  </si>
  <si>
    <t>大于1并且小于1.7</t>
  </si>
  <si>
    <t>四川圆中康养城置业发展有限公司</t>
  </si>
  <si>
    <t>锦江镇白鹤村、官厅村交界处</t>
  </si>
  <si>
    <t>武阳镇</t>
  </si>
  <si>
    <t>2020-01-14</t>
  </si>
  <si>
    <t>成都环球融创文化旅游有限公司</t>
  </si>
  <si>
    <t>大于1并且小于1.02</t>
  </si>
  <si>
    <t>彭山区锦江乡</t>
  </si>
  <si>
    <t>大于1并且小于1.8</t>
  </si>
  <si>
    <t>2019-11-07</t>
  </si>
  <si>
    <t>眉山中法侨贝文化旅游开发有限公司</t>
  </si>
  <si>
    <t>大于1并且小于3</t>
  </si>
  <si>
    <t>彭山区保胜乡</t>
  </si>
  <si>
    <t>2019-09-27</t>
  </si>
  <si>
    <t>彭山发展控股责任有限公司</t>
  </si>
  <si>
    <t>彭山区牧马镇</t>
  </si>
  <si>
    <t>2019-08-23</t>
  </si>
  <si>
    <t>眉山环天房地产开发有限公司</t>
  </si>
  <si>
    <t>彭山区牧马镇白鹤村</t>
  </si>
  <si>
    <t>2019-08-13</t>
  </si>
  <si>
    <t>＞1.0,且＜2.0</t>
  </si>
  <si>
    <t>居住用地兼容商业用地(R2兼容B1)</t>
  </si>
  <si>
    <t>2019-01-14</t>
  </si>
  <si>
    <t>眉山中法华欧文化旅游开发有限公司</t>
  </si>
  <si>
    <t>＞1.0,且＜1.8</t>
  </si>
  <si>
    <t>＞1.0,且＜1.5</t>
  </si>
  <si>
    <t>中低价位、中小套型普通商品住房用地</t>
  </si>
  <si>
    <t>2019-01-03</t>
  </si>
  <si>
    <t>眉山恒博旅游开发有限公司</t>
  </si>
  <si>
    <t>凤鸣南路以东</t>
  </si>
  <si>
    <t>2018-11-09</t>
  </si>
  <si>
    <t>四川华西德顿塑料管道有限公司</t>
  </si>
  <si>
    <t>锦江乡永泉村</t>
  </si>
  <si>
    <t>2018-07-24</t>
  </si>
  <si>
    <t>眉山中法农业科技园开发有限公司</t>
  </si>
  <si>
    <t>锦江乡永泉村、天库村</t>
  </si>
  <si>
    <t>青龙镇,成绵乐铁路以东</t>
  </si>
  <si>
    <t>2018-01-09</t>
  </si>
  <si>
    <t>仁寿新煜房地产开发有限公司</t>
  </si>
  <si>
    <t>彭祖大道以东、凤鸣南路以西、武阳东路以南</t>
  </si>
  <si>
    <t>眉山市彭山区南星房地产开发有限公司</t>
  </si>
  <si>
    <t>青龙镇,成绵乐铁路以西</t>
  </si>
  <si>
    <t>四川煤田恒鑫房地产开发有限公司</t>
  </si>
  <si>
    <t>正常</t>
  </si>
  <si>
    <t>正常</t>
    <phoneticPr fontId="26" type="noConversion"/>
  </si>
  <si>
    <t>一般</t>
    <phoneticPr fontId="26" type="noConversion"/>
  </si>
  <si>
    <t>一般</t>
    <phoneticPr fontId="26" type="noConversion"/>
  </si>
  <si>
    <t>较好</t>
    <phoneticPr fontId="26" type="noConversion"/>
  </si>
  <si>
    <t>一般</t>
    <phoneticPr fontId="26" type="noConversion"/>
  </si>
  <si>
    <t>六通</t>
    <phoneticPr fontId="26" type="noConversion"/>
  </si>
  <si>
    <t>较规则</t>
    <phoneticPr fontId="26" type="noConversion"/>
  </si>
  <si>
    <t>三通</t>
    <phoneticPr fontId="26" type="noConversion"/>
  </si>
  <si>
    <t>三通</t>
    <phoneticPr fontId="26" type="noConversion"/>
  </si>
  <si>
    <t>比较法-住宅、综合</t>
  </si>
  <si>
    <t>剩余法-待开发</t>
  </si>
  <si>
    <t>楼面地价</t>
  </si>
  <si>
    <t>复地天府湾</t>
    <phoneticPr fontId="3" type="noConversion"/>
  </si>
  <si>
    <t>滨江丽城</t>
    <phoneticPr fontId="3" type="noConversion"/>
  </si>
  <si>
    <t>恒大金碧天下</t>
    <phoneticPr fontId="3" type="noConversion"/>
  </si>
  <si>
    <t>正常</t>
    <phoneticPr fontId="21" type="noConversion"/>
  </si>
  <si>
    <t>住宅</t>
    <phoneticPr fontId="21" type="noConversion"/>
  </si>
  <si>
    <t>60-70（含）</t>
  </si>
  <si>
    <t>一般</t>
    <phoneticPr fontId="21" type="noConversion"/>
  </si>
  <si>
    <t>六通</t>
    <phoneticPr fontId="21" type="noConversion"/>
  </si>
  <si>
    <t>高层</t>
    <phoneticPr fontId="21" type="noConversion"/>
  </si>
  <si>
    <t>高层</t>
    <phoneticPr fontId="21" type="noConversion"/>
  </si>
  <si>
    <t>钢混</t>
    <phoneticPr fontId="21" type="noConversion"/>
  </si>
  <si>
    <t>钢混</t>
    <phoneticPr fontId="21" type="noConversion"/>
  </si>
  <si>
    <t>精装</t>
    <phoneticPr fontId="21" type="noConversion"/>
  </si>
  <si>
    <t>毛坯</t>
    <phoneticPr fontId="21" type="noConversion"/>
  </si>
  <si>
    <t>赠送面积</t>
    <phoneticPr fontId="21" type="noConversion"/>
  </si>
  <si>
    <t>无</t>
    <phoneticPr fontId="21" type="noConversion"/>
  </si>
  <si>
    <t>有</t>
    <phoneticPr fontId="21" type="noConversion"/>
  </si>
  <si>
    <t>无</t>
    <phoneticPr fontId="21" type="noConversion"/>
  </si>
  <si>
    <t>有</t>
    <phoneticPr fontId="21" type="noConversion"/>
  </si>
  <si>
    <t>是</t>
    <phoneticPr fontId="21" type="noConversion"/>
  </si>
  <si>
    <t>否</t>
    <phoneticPr fontId="21" type="noConversion"/>
  </si>
  <si>
    <t>售价</t>
  </si>
  <si>
    <t>普装</t>
    <phoneticPr fontId="21" type="noConversion"/>
  </si>
  <si>
    <t>简装</t>
    <phoneticPr fontId="21" type="noConversion"/>
  </si>
  <si>
    <t>毛坯</t>
    <phoneticPr fontId="21" type="noConversion"/>
  </si>
  <si>
    <t>土地面积</t>
    <phoneticPr fontId="21" type="noConversion"/>
  </si>
  <si>
    <t>情况3</t>
  </si>
  <si>
    <t>自行开发建设</t>
  </si>
  <si>
    <t>非个人房产</t>
  </si>
  <si>
    <t>出让金+开发费</t>
  </si>
  <si>
    <t>评估值</t>
    <phoneticPr fontId="228" type="noConversion"/>
  </si>
  <si>
    <t>土增</t>
    <phoneticPr fontId="228" type="noConversion"/>
  </si>
  <si>
    <t>估价对象1（本表）-23</t>
    <phoneticPr fontId="228" type="noConversion"/>
  </si>
  <si>
    <t>估价对象3-24</t>
    <phoneticPr fontId="228" type="noConversion"/>
  </si>
  <si>
    <t>估价对象4-27</t>
    <phoneticPr fontId="228" type="noConversion"/>
  </si>
  <si>
    <t>估价对象5-20</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</si>
</sst>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8"/>
      <color theme="1"/>
      <name val="Arial"/>
      <family val="2"/>
    </font>
    <font>
      <sz val="8"/>
      <color theme="1"/>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6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177" fontId="76" fillId="13" borderId="0" xfId="0" applyNumberFormat="1" applyFont="1" applyFill="1" applyAlignment="1" applyProtection="1">
      <alignment horizontal="center" vertical="center"/>
      <protection locked="0"/>
    </xf>
    <xf numFmtId="0" fontId="86" fillId="0" borderId="0" xfId="16"/>
    <xf numFmtId="0" fontId="86" fillId="7" borderId="0" xfId="16" applyFill="1"/>
    <xf numFmtId="0" fontId="0" fillId="7" borderId="0" xfId="0" applyFill="1">
      <alignment vertical="center"/>
    </xf>
    <xf numFmtId="0" fontId="86" fillId="6" borderId="0" xfId="16" applyFill="1"/>
    <xf numFmtId="0" fontId="86" fillId="18" borderId="0" xfId="16" applyFill="1"/>
    <xf numFmtId="0" fontId="0" fillId="18" borderId="0" xfId="0" applyFill="1">
      <alignment vertical="center"/>
    </xf>
    <xf numFmtId="0" fontId="86" fillId="0" borderId="0" xfId="16"/>
    <xf numFmtId="49" fontId="81" fillId="2" borderId="33"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0" fontId="86" fillId="20" borderId="0" xfId="16" applyFill="1"/>
    <xf numFmtId="0" fontId="0" fillId="20" borderId="0" xfId="0" applyFill="1">
      <alignment vertical="center"/>
    </xf>
    <xf numFmtId="0" fontId="99" fillId="20" borderId="9" xfId="0" applyNumberFormat="1" applyFont="1" applyFill="1" applyBorder="1" applyAlignment="1" applyProtection="1">
      <alignment horizontal="center" vertical="center" wrapText="1"/>
      <protection locked="0"/>
    </xf>
    <xf numFmtId="0" fontId="280" fillId="0" borderId="157" xfId="0" applyFont="1" applyBorder="1" applyAlignment="1">
      <alignment vertical="center" wrapText="1"/>
    </xf>
    <xf numFmtId="0" fontId="280" fillId="0" borderId="158" xfId="0" applyFont="1" applyBorder="1" applyAlignment="1">
      <alignment vertical="center" wrapText="1"/>
    </xf>
    <xf numFmtId="0" fontId="280" fillId="0" borderId="159" xfId="0" applyFont="1" applyBorder="1" applyAlignment="1">
      <alignment vertical="center" wrapText="1"/>
    </xf>
    <xf numFmtId="0" fontId="280" fillId="0" borderId="160" xfId="0" applyFont="1" applyBorder="1" applyAlignment="1">
      <alignment vertical="center" wrapText="1"/>
    </xf>
    <xf numFmtId="0" fontId="281" fillId="0" borderId="160" xfId="0" applyFont="1" applyBorder="1" applyAlignment="1">
      <alignment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0</xdr:rowOff>
    </xdr:from>
    <xdr:to>
      <xdr:col>11</xdr:col>
      <xdr:colOff>132240</xdr:colOff>
      <xdr:row>113</xdr:row>
      <xdr:rowOff>65896</xdr:rowOff>
    </xdr:to>
    <xdr:pic>
      <xdr:nvPicPr>
        <xdr:cNvPr id="2" name="图片 1">
          <a:extLst>
            <a:ext uri="{FF2B5EF4-FFF2-40B4-BE49-F238E27FC236}">
              <a16:creationId xmlns=""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13201650"/>
          <a:ext cx="8885715" cy="6238096"/>
        </a:xfrm>
        <a:prstGeom prst="rect">
          <a:avLst/>
        </a:prstGeom>
      </xdr:spPr>
    </xdr:pic>
    <xdr:clientData/>
  </xdr:twoCellAnchor>
  <xdr:twoCellAnchor editAs="oneCell">
    <xdr:from>
      <xdr:col>0</xdr:col>
      <xdr:colOff>0</xdr:colOff>
      <xdr:row>114</xdr:row>
      <xdr:rowOff>0</xdr:rowOff>
    </xdr:from>
    <xdr:to>
      <xdr:col>12</xdr:col>
      <xdr:colOff>227392</xdr:colOff>
      <xdr:row>161</xdr:row>
      <xdr:rowOff>37089</xdr:rowOff>
    </xdr:to>
    <xdr:pic>
      <xdr:nvPicPr>
        <xdr:cNvPr id="3" name="图片 2">
          <a:extLst>
            <a:ext uri="{FF2B5EF4-FFF2-40B4-BE49-F238E27FC236}">
              <a16:creationId xmlns=""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0" y="19545300"/>
          <a:ext cx="9666667" cy="8095239"/>
        </a:xfrm>
        <a:prstGeom prst="rect">
          <a:avLst/>
        </a:prstGeom>
      </xdr:spPr>
    </xdr:pic>
    <xdr:clientData/>
  </xdr:twoCellAnchor>
  <xdr:twoCellAnchor editAs="oneCell">
    <xdr:from>
      <xdr:col>0</xdr:col>
      <xdr:colOff>0</xdr:colOff>
      <xdr:row>162</xdr:row>
      <xdr:rowOff>0</xdr:rowOff>
    </xdr:from>
    <xdr:to>
      <xdr:col>11</xdr:col>
      <xdr:colOff>17954</xdr:colOff>
      <xdr:row>207</xdr:row>
      <xdr:rowOff>37131</xdr:rowOff>
    </xdr:to>
    <xdr:pic>
      <xdr:nvPicPr>
        <xdr:cNvPr id="4" name="图片 3">
          <a:extLst>
            <a:ext uri="{FF2B5EF4-FFF2-40B4-BE49-F238E27FC236}">
              <a16:creationId xmlns="" xmlns:a16="http://schemas.microsoft.com/office/drawing/2014/main" id="{00000000-0008-0000-1500-000004000000}"/>
            </a:ext>
          </a:extLst>
        </xdr:cNvPr>
        <xdr:cNvPicPr>
          <a:picLocks noChangeAspect="1"/>
        </xdr:cNvPicPr>
      </xdr:nvPicPr>
      <xdr:blipFill>
        <a:blip xmlns:r="http://schemas.openxmlformats.org/officeDocument/2006/relationships" r:embed="rId3"/>
        <a:stretch>
          <a:fillRect/>
        </a:stretch>
      </xdr:blipFill>
      <xdr:spPr>
        <a:xfrm>
          <a:off x="0" y="27774900"/>
          <a:ext cx="8771429" cy="7752381"/>
        </a:xfrm>
        <a:prstGeom prst="rect">
          <a:avLst/>
        </a:prstGeom>
      </xdr:spPr>
    </xdr:pic>
    <xdr:clientData/>
  </xdr:twoCellAnchor>
  <xdr:twoCellAnchor editAs="oneCell">
    <xdr:from>
      <xdr:col>0</xdr:col>
      <xdr:colOff>0</xdr:colOff>
      <xdr:row>207</xdr:row>
      <xdr:rowOff>0</xdr:rowOff>
    </xdr:from>
    <xdr:to>
      <xdr:col>12</xdr:col>
      <xdr:colOff>132154</xdr:colOff>
      <xdr:row>252</xdr:row>
      <xdr:rowOff>141893</xdr:rowOff>
    </xdr:to>
    <xdr:pic>
      <xdr:nvPicPr>
        <xdr:cNvPr id="5" name="图片 4">
          <a:extLst>
            <a:ext uri="{FF2B5EF4-FFF2-40B4-BE49-F238E27FC236}">
              <a16:creationId xmlns="" xmlns:a16="http://schemas.microsoft.com/office/drawing/2014/main" id="{00000000-0008-0000-1500-000005000000}"/>
            </a:ext>
          </a:extLst>
        </xdr:cNvPr>
        <xdr:cNvPicPr>
          <a:picLocks noChangeAspect="1"/>
        </xdr:cNvPicPr>
      </xdr:nvPicPr>
      <xdr:blipFill>
        <a:blip xmlns:r="http://schemas.openxmlformats.org/officeDocument/2006/relationships" r:embed="rId4"/>
        <a:stretch>
          <a:fillRect/>
        </a:stretch>
      </xdr:blipFill>
      <xdr:spPr>
        <a:xfrm>
          <a:off x="0" y="35490150"/>
          <a:ext cx="9571429" cy="7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AppData/Local/Temp/HZ$D.176.3509/HZ$D.176.3511/2021&#30473;&#23665;-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30473;&#23665;-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2021-1-0113-P01DYPG2&#22235;&#24029;&#30465;&#30473;&#23665;&#24066;&#24429;&#23665;&#21306;&#19996;&#26143;&#33322;&#31354;&#22823;&#36947;&#35199;&#20391;&#65288;&#23447;&#22320;&#32534;&#21495;&#65306;2020&#65288;TP&#65289;-20&#65289;&#31561;1&#23447;&#20303;&#23429;&#29992;&#22320;&#20986;&#35753;&#22269;&#26377;&#24314;&#35774;&#29992;&#22320;&#20351;&#29992;&#26435;&#24066;&#22330;&#20215;&#26684;&#21672;&#358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结果表-23净值"/>
      <sheetName val="结果表-24净值"/>
      <sheetName val="结果表-27净值"/>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123171.43999999999</v>
          </cell>
          <cell r="C14">
            <v>21807.34</v>
          </cell>
        </row>
      </sheetData>
      <sheetData sheetId="17">
        <row r="74">
          <cell r="N74">
            <v>4853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结果表-23净值"/>
      <sheetName val="结果表-24净值"/>
      <sheetName val="结果表-27净值"/>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D14">
            <v>21302</v>
          </cell>
          <cell r="I14">
            <v>16480</v>
          </cell>
        </row>
      </sheetData>
      <sheetData sheetId="17">
        <row r="19">
          <cell r="K19">
            <v>2328</v>
          </cell>
        </row>
        <row r="115">
          <cell r="C115">
            <v>4822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结果表-23净值"/>
      <sheetName val="结果表-24净值"/>
      <sheetName val="结果表-27净值"/>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9">
          <cell r="F19">
            <v>91502.7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2635</v>
      </c>
      <c r="B1" s="2608" t="s">
        <v>2732</v>
      </c>
    </row>
    <row r="2" spans="1:55" s="2612" customFormat="1" ht="15" thickTop="1">
      <c r="A2" s="2610" t="s">
        <v>2639</v>
      </c>
      <c r="B2" s="2611" t="str">
        <f>'预评函-封皮'!B37</f>
        <v>出让国有建设用地使用权抵押价格预评估</v>
      </c>
      <c r="AX2" s="2613"/>
      <c r="AZ2" s="2613"/>
      <c r="BA2" s="2614"/>
      <c r="BC2" s="2614"/>
    </row>
    <row r="3" spans="1:55" s="2615" customFormat="1">
      <c r="A3" s="2594" t="s">
        <v>2640</v>
      </c>
      <c r="B3" s="2597">
        <f>'预评函-封皮'!B40</f>
        <v>0</v>
      </c>
    </row>
    <row r="4" spans="1:55" s="2596" customFormat="1">
      <c r="A4" s="2594" t="s">
        <v>2641</v>
      </c>
      <c r="B4" s="2595" t="str">
        <f>'预评函-封皮'!B46</f>
        <v>土地估价师、土地估价师</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2642</v>
      </c>
      <c r="B5" s="2617" t="str">
        <f>'预评函-封皮'!B49</f>
        <v>康正预评字号</v>
      </c>
    </row>
    <row r="6" spans="1:55" s="2618" customFormat="1" ht="15" thickTop="1">
      <c r="A6" s="2610" t="s">
        <v>2684</v>
      </c>
      <c r="B6" s="2611" t="str">
        <f>'预评函-1'!A4</f>
        <v>受贵公司委托，我公司对出让国有建设用地使用权抵押价格进行了预评估。</v>
      </c>
      <c r="AM6" s="2619"/>
    </row>
    <row r="7" spans="1:55" s="2593" customFormat="1">
      <c r="A7" s="2594" t="s">
        <v>2636</v>
      </c>
      <c r="B7" s="2595" t="str">
        <f>'预评函-1'!A6</f>
        <v>估价对象为使用的、位于出让国有建设用地使用权。根据《国有土地使用证》[]，估价对象（分摊）出让国有建设用地使用权面积为54426.77平方米。根据《建设工程规划许可证》[]、《出让合同》[]，估价对象规划建筑面积为136066.92平方米。</v>
      </c>
    </row>
    <row r="8" spans="1:55" s="2593" customFormat="1">
      <c r="A8" s="2594" t="s">
        <v>2637</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2687</v>
      </c>
      <c r="B9" s="259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2638</v>
      </c>
      <c r="B10" s="2595" t="str">
        <f>'预评函-1'!A11</f>
        <v>2021年3月3日</v>
      </c>
    </row>
    <row r="11" spans="1:55" s="2593" customFormat="1">
      <c r="A11" s="2594" t="s">
        <v>2644</v>
      </c>
      <c r="B11" s="2595" t="str">
        <f>'预评函-1'!A14</f>
        <v>根据《国有土地使用证》[]，本次评估估价对象证载（地类）用途为。</v>
      </c>
    </row>
    <row r="12" spans="1:55" s="2593" customFormat="1">
      <c r="A12" s="2594" t="s">
        <v>2645</v>
      </c>
      <c r="B12" s="2595" t="str">
        <f>'预评函-1'!A15</f>
        <v>本次评估设定用途即为证载用途。</v>
      </c>
    </row>
    <row r="13" spans="1:55" s="2593" customFormat="1">
      <c r="A13" s="2594" t="s">
        <v>2646</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2647</v>
      </c>
      <c r="B14" s="2595" t="str">
        <f>'预评函-1'!A18</f>
        <v>。本次评估设定土地开发程度为红线外市政基础设施达“七通”、宗地红线内场地平整。</v>
      </c>
    </row>
    <row r="15" spans="1:55" s="2593" customFormat="1">
      <c r="A15" s="2594" t="s">
        <v>2643</v>
      </c>
      <c r="B15" s="2595" t="str">
        <f>'预评函-1'!A20</f>
        <v>根据《国有土地使用证》[]，估价对象（分摊）出让国有建设用地使用权面积为54426.77平方米。根据《建设工程规划许可证》[]、《出让合同》[]，估价对象规划建筑面积为136066.92平方米。</v>
      </c>
    </row>
    <row r="16" spans="1:55" s="2593" customFormat="1">
      <c r="A16" s="2594" t="s">
        <v>2648</v>
      </c>
      <c r="B16" s="2595" t="str">
        <f>'预评函-1'!A22</f>
        <v>本次估价对象为出让国有建设用地使用权，《国有土地使用证》[]证载土地终止日期为住宅2090年12月16日。截至估价期日，出让国有建设用地使用权剩余土地使用年限为。</v>
      </c>
    </row>
    <row r="17" spans="1:48" s="2593" customFormat="1">
      <c r="A17" s="2594" t="s">
        <v>2649</v>
      </c>
      <c r="B17" s="2595" t="str">
        <f>'预评函-1'!A23</f>
        <v>本次评估设定估价对象剩余土地使用年限为。</v>
      </c>
    </row>
    <row r="18" spans="1:48" s="2593" customFormat="1">
      <c r="A18" s="2594" t="s">
        <v>2650</v>
      </c>
      <c r="B18" s="2595" t="str">
        <f>'预评函-1'!A25</f>
        <v>本次估价的“出让国有建设用地使用权价格”是指在估价对象土地所有权为国家所有，使用权性质为出让，在公开市场条件下、于估价期日2021年3月3日，在规划利用条件下、设定土地开发程度为红线外“七通”、宗地内场地，设定用途为，剩余土地使用年限为的出让国有建设用地使用权价格。</v>
      </c>
    </row>
    <row r="19" spans="1:48" s="2593" customFormat="1">
      <c r="A19" s="2594" t="s">
        <v>2651</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2652</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2653</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2654</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2655</v>
      </c>
      <c r="B23" s="2595" t="str">
        <f>'预评函-2'!K2</f>
        <v>估价期日：2021年3月3日</v>
      </c>
    </row>
    <row r="24" spans="1:48">
      <c r="A24" s="2594" t="s">
        <v>2656</v>
      </c>
      <c r="B24" s="2595" t="str">
        <f>'预评函-2'!R2</f>
        <v>估价期日的国有建设用地使用权性质：出让</v>
      </c>
    </row>
    <row r="25" spans="1:48">
      <c r="A25" s="2594" t="s">
        <v>2712</v>
      </c>
      <c r="B25" s="2595" t="str">
        <f>'预评函-2'!A3</f>
        <v>估价期日土地使用者</v>
      </c>
    </row>
    <row r="26" spans="1:48">
      <c r="A26" s="2594" t="s">
        <v>2688</v>
      </c>
      <c r="B26" s="2595" t="str">
        <f>'预评函-2'!A5</f>
        <v>中信开发</v>
      </c>
    </row>
    <row r="27" spans="1:48">
      <c r="A27" s="2594" t="s">
        <v>2713</v>
      </c>
      <c r="B27" s="2595" t="str">
        <f>'预评函-2'!B3</f>
        <v>宗地编号/不动产单元号</v>
      </c>
    </row>
    <row r="28" spans="1:48">
      <c r="A28" s="2594" t="s">
        <v>2689</v>
      </c>
      <c r="B28" s="2595" t="str">
        <f>'预评函-2'!B5</f>
        <v>11111111111</v>
      </c>
    </row>
    <row r="29" spans="1:48">
      <c r="A29" s="2594" t="s">
        <v>2715</v>
      </c>
      <c r="B29" s="2595">
        <f>'预评函-2'!C5</f>
        <v>22</v>
      </c>
    </row>
    <row r="30" spans="1:48">
      <c r="A30" s="2594" t="s">
        <v>2716</v>
      </c>
      <c r="B30" s="2595" t="str">
        <f>'预评函-2'!D3</f>
        <v>土地使用证编号/不动产权证书编号</v>
      </c>
    </row>
    <row r="31" spans="1:48">
      <c r="A31" s="2594" t="s">
        <v>2690</v>
      </c>
      <c r="B31" s="2595" t="str">
        <f>'预评函-2'!D5</f>
        <v>京国土字第111号</v>
      </c>
    </row>
    <row r="32" spans="1:48">
      <c r="A32" s="2594" t="s">
        <v>2691</v>
      </c>
      <c r="B32" s="2595">
        <f>'预评函-2'!E5</f>
        <v>0</v>
      </c>
      <c r="AV32" s="2599"/>
    </row>
    <row r="33" spans="1:2">
      <c r="A33" s="2594" t="s">
        <v>2692</v>
      </c>
      <c r="B33" s="2595">
        <f>'预评函-2'!F5</f>
        <v>258</v>
      </c>
    </row>
    <row r="34" spans="1:2">
      <c r="A34" s="2594" t="s">
        <v>2693</v>
      </c>
      <c r="B34" s="2595">
        <f>'预评函-2'!G5</f>
        <v>0</v>
      </c>
    </row>
    <row r="35" spans="1:2">
      <c r="A35" s="2594" t="s">
        <v>2694</v>
      </c>
      <c r="B35" s="2595">
        <f>'预评函-2'!H5</f>
        <v>1.5</v>
      </c>
    </row>
    <row r="36" spans="1:2">
      <c r="A36" s="2594" t="s">
        <v>2695</v>
      </c>
      <c r="B36" s="2595">
        <f>'预评函-2'!I5</f>
        <v>1.5</v>
      </c>
    </row>
    <row r="37" spans="1:2">
      <c r="A37" s="2594" t="s">
        <v>2696</v>
      </c>
      <c r="B37" s="2595">
        <f>'预评函-2'!J5</f>
        <v>1.5</v>
      </c>
    </row>
    <row r="38" spans="1:2">
      <c r="A38" s="2594" t="s">
        <v>2697</v>
      </c>
      <c r="B38" s="2595" t="str">
        <f>'预评函-2'!K5</f>
        <v>红线外七通、宗地红线内</v>
      </c>
    </row>
    <row r="39" spans="1:2">
      <c r="A39" s="2594" t="s">
        <v>2698</v>
      </c>
      <c r="B39" s="2595" t="str">
        <f>'预评函-2'!L5</f>
        <v>红线外七通、宗地红线内场地</v>
      </c>
    </row>
    <row r="40" spans="1:2">
      <c r="A40" s="2594" t="s">
        <v>2717</v>
      </c>
      <c r="B40" s="2595" t="str">
        <f>'预评函-2'!M3</f>
        <v>（剩余）土地使用年限/年</v>
      </c>
    </row>
    <row r="41" spans="1:2">
      <c r="A41" s="2594" t="s">
        <v>2699</v>
      </c>
      <c r="B41" s="2595">
        <f>'预评函-2'!M5</f>
        <v>0</v>
      </c>
    </row>
    <row r="42" spans="1:2">
      <c r="A42" s="2594" t="s">
        <v>2718</v>
      </c>
      <c r="B42" s="2595" t="str">
        <f>'预评函-2'!N3</f>
        <v>（分摊）出让国有建设用地使用权面积/㎡</v>
      </c>
    </row>
    <row r="43" spans="1:2">
      <c r="A43" s="2594" t="s">
        <v>2700</v>
      </c>
      <c r="B43" s="2595">
        <f>'预评函-2'!N5</f>
        <v>54426.77</v>
      </c>
    </row>
    <row r="44" spans="1:2">
      <c r="A44" s="2594" t="s">
        <v>2719</v>
      </c>
      <c r="B44" s="2595" t="str">
        <f>'预评函-2'!O3</f>
        <v>规划建筑面积/㎡</v>
      </c>
    </row>
    <row r="45" spans="1:2">
      <c r="A45" s="2594" t="s">
        <v>2701</v>
      </c>
      <c r="B45" s="2595">
        <f>'预评函-2'!O5</f>
        <v>136066.92000000001</v>
      </c>
    </row>
    <row r="46" spans="1:2">
      <c r="A46" s="2594" t="s">
        <v>2702</v>
      </c>
      <c r="B46" s="2595">
        <f ca="1">'预评函-2'!P5</f>
        <v>5730</v>
      </c>
    </row>
    <row r="47" spans="1:2">
      <c r="A47" s="2594" t="s">
        <v>2703</v>
      </c>
      <c r="B47" s="2595">
        <f ca="1">'预评函-2'!Q5</f>
        <v>2292</v>
      </c>
    </row>
    <row r="48" spans="1:2">
      <c r="A48" s="2594" t="s">
        <v>2704</v>
      </c>
      <c r="B48" s="2595">
        <f ca="1">'预评函-2'!R5</f>
        <v>31186</v>
      </c>
    </row>
    <row r="49" spans="1:2">
      <c r="A49" s="2594" t="s">
        <v>2720</v>
      </c>
      <c r="B49" s="2595" t="str">
        <f>'预评函-2'!A6</f>
        <v>抵押价格</v>
      </c>
    </row>
    <row r="50" spans="1:2">
      <c r="A50" s="2594" t="s">
        <v>2705</v>
      </c>
      <c r="B50" s="2595">
        <f ca="1">'预评函-2'!R6</f>
        <v>31186</v>
      </c>
    </row>
    <row r="51" spans="1:2">
      <c r="A51" s="2594" t="s">
        <v>2721</v>
      </c>
      <c r="B51" s="2595" t="str">
        <f>'预评函-2'!A7</f>
        <v>——</v>
      </c>
    </row>
    <row r="52" spans="1:2">
      <c r="A52" s="2594" t="s">
        <v>2706</v>
      </c>
      <c r="B52" s="2595" t="str">
        <f>'预评函-2'!R7</f>
        <v>——</v>
      </c>
    </row>
    <row r="53" spans="1:2">
      <c r="A53" s="2594" t="s">
        <v>2722</v>
      </c>
      <c r="B53" s="2595">
        <f>'预评函-2'!A8</f>
        <v>0</v>
      </c>
    </row>
    <row r="54" spans="1:2" s="2609" customFormat="1" ht="15" thickBot="1">
      <c r="A54" s="2616" t="s">
        <v>2707</v>
      </c>
      <c r="B54" s="2617" t="str">
        <f>'预评函-2'!R8</f>
        <v>——</v>
      </c>
    </row>
    <row r="55" spans="1:2" ht="15" thickTop="1">
      <c r="A55" s="2605" t="s">
        <v>2657</v>
      </c>
      <c r="B55" s="2606" t="str">
        <f>'预评函-3'!A2</f>
        <v>1.权利限制：根据估价对象《不动产权证书》原件、《国有土地使用权》复印件，截至估价期日，估价对象抵押权未见登记。未设定租赁等其他他项权利。</v>
      </c>
    </row>
    <row r="56" spans="1:2">
      <c r="A56" s="2594" t="s">
        <v>2658</v>
      </c>
      <c r="B56" s="2595" t="str">
        <f>'预评函-3'!A3</f>
        <v>2.基础设施条件：估价对象实际开发程度为红线外七通、宗地红线内；本次评估设定开发程度为红线外七通、宗地红线内场地。</v>
      </c>
    </row>
    <row r="57" spans="1:2">
      <c r="A57" s="2594" t="s">
        <v>2659</v>
      </c>
      <c r="B57" s="2595" t="str">
        <f>'预评函-3'!A4</f>
        <v>3.估价规划限制条件：详见《建设工程规划许可证》[]、《出让合同》[]。</v>
      </c>
    </row>
    <row r="58" spans="1:2" s="2609" customFormat="1" ht="15" thickBot="1">
      <c r="A58" s="2616" t="s">
        <v>2708</v>
      </c>
      <c r="B58" s="2617" t="str">
        <f>'预评函-3'!A5</f>
        <v>4.影响价格的其他限定条件：无。</v>
      </c>
    </row>
    <row r="59" spans="1:2" ht="15" thickTop="1">
      <c r="A59" s="2605" t="s">
        <v>2660</v>
      </c>
      <c r="B59" s="2606" t="str">
        <f>'预评函-3'!A8</f>
        <v>2.本《评估意见函》仅供金融机构进行内部审核使用，不做其他目的之用。</v>
      </c>
    </row>
    <row r="60" spans="1:2">
      <c r="A60" s="2594" t="s">
        <v>2661</v>
      </c>
      <c r="B60" s="2595" t="str">
        <f>'预评函-3'!A9</f>
        <v>3.抵押双方在办理抵押登记手续时，应使用本公司出具的正式《土地估价报告》，特提请报告使用者注意。</v>
      </c>
    </row>
    <row r="61" spans="1:2">
      <c r="A61" s="2594" t="s">
        <v>2663</v>
      </c>
      <c r="B61" s="2595" t="str">
        <f>'预评函-3'!A10</f>
        <v>4.估价师所知悉的法定优先受偿款情况为：</v>
      </c>
    </row>
    <row r="62" spans="1:2">
      <c r="A62" s="2594" t="s">
        <v>2662</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2664</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2665</v>
      </c>
      <c r="B64" s="2600" t="str">
        <f>'预评函-3'!A13</f>
        <v>（3）。</v>
      </c>
    </row>
    <row r="65" spans="1:2">
      <c r="A65" s="2594" t="s">
        <v>2666</v>
      </c>
      <c r="B65" s="2601" t="str">
        <f>'预评函-3'!A14</f>
        <v>综上，本次评估不存在估价师知悉的法定优先受偿款</v>
      </c>
    </row>
    <row r="66" spans="1:2">
      <c r="A66" s="2594" t="s">
        <v>2667</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2668</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2671</v>
      </c>
      <c r="B68" s="2620">
        <f>'预评函-3'!D30</f>
        <v>42558</v>
      </c>
    </row>
    <row r="69" spans="1:2" ht="15" thickTop="1">
      <c r="A69" s="2605" t="s">
        <v>2669</v>
      </c>
      <c r="B69" s="2606" t="str">
        <f>'预评函-3'!A20</f>
        <v>土地估价师</v>
      </c>
    </row>
    <row r="70" spans="1:2">
      <c r="A70" s="2594" t="s">
        <v>2669</v>
      </c>
      <c r="B70" s="2601">
        <f>'预评函-3'!B20</f>
        <v>0</v>
      </c>
    </row>
    <row r="71" spans="1:2">
      <c r="A71" s="2594" t="s">
        <v>2670</v>
      </c>
      <c r="B71" s="2595" t="str">
        <f>'预评函-3'!A21</f>
        <v>土地估价师</v>
      </c>
    </row>
    <row r="72" spans="1:2" s="2609" customFormat="1" ht="15" thickBot="1">
      <c r="A72" s="2616" t="s">
        <v>2670</v>
      </c>
      <c r="B72" s="2622">
        <f>'预评函-3'!B21</f>
        <v>0</v>
      </c>
    </row>
    <row r="73" spans="1:2" ht="15" thickTop="1">
      <c r="A73" s="2605" t="s">
        <v>2729</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2730</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2731</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2765</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B4" zoomScale="90" zoomScaleNormal="100" zoomScaleSheetLayoutView="90" workbookViewId="0">
      <selection activeCell="D17" sqref="D17"/>
    </sheetView>
  </sheetViews>
  <sheetFormatPr defaultColWidth="10" defaultRowHeight="14.25"/>
  <cols>
    <col min="1" max="1" width="15.375" style="1612" customWidth="1"/>
    <col min="2" max="2" width="11.375" style="1612" customWidth="1"/>
    <col min="3" max="3" width="12.625" style="1612" customWidth="1"/>
    <col min="4" max="4" width="10"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2"/>
  </cols>
  <sheetData>
    <row r="1" spans="1:21" ht="15" thickBot="1">
      <c r="A1" s="1585" t="s">
        <v>1925</v>
      </c>
      <c r="B1" s="3387" t="str">
        <f>IF(B10="北京市","北京市",C10)&amp;F10&amp;B16&amp;"国有建设用地使用权"&amp;B9&amp;"预评估"</f>
        <v>出让国有建设用地使用权抵押价格预评估</v>
      </c>
      <c r="C1" s="3388"/>
      <c r="D1" s="3388"/>
      <c r="E1" s="3388"/>
      <c r="F1" s="3388"/>
      <c r="G1" s="3388"/>
      <c r="H1" s="3388"/>
      <c r="I1" s="3389"/>
      <c r="J1" s="3073"/>
      <c r="K1" s="2309" t="str">
        <f>IF(B10="北京市","北京市",C10)&amp;F10&amp;B16&amp;"国有建设用地使用权"&amp;B9</f>
        <v>出让国有建设用地使用权抵押价格</v>
      </c>
      <c r="L1" s="3052"/>
      <c r="M1" s="3052"/>
      <c r="N1" s="3053"/>
      <c r="O1" s="3054"/>
      <c r="P1" s="3053"/>
      <c r="Q1" s="3053"/>
      <c r="R1" s="3053"/>
      <c r="S1" s="3053"/>
      <c r="T1" s="3053"/>
      <c r="U1" s="3053"/>
    </row>
    <row r="2" spans="1:21">
      <c r="A2" s="1586" t="s">
        <v>1926</v>
      </c>
      <c r="B2" s="1754"/>
      <c r="D2" s="3073"/>
      <c r="E2" s="3073"/>
      <c r="F2" s="3073"/>
      <c r="G2" s="3073"/>
      <c r="H2" s="3074"/>
      <c r="I2" s="3075"/>
      <c r="J2" s="3073"/>
      <c r="K2" s="2309" t="str">
        <f>IF(B10="北京市","北京市",C10)&amp;F10&amp;B16&amp;"国有建设用地使用权"</f>
        <v>出让国有建设用地使用权</v>
      </c>
      <c r="L2" s="3052"/>
      <c r="M2" s="3052"/>
      <c r="N2" s="3053"/>
      <c r="O2" s="3054"/>
      <c r="P2" s="3053"/>
      <c r="Q2" s="3053"/>
      <c r="R2" s="3053"/>
      <c r="S2" s="3053"/>
      <c r="T2" s="3053"/>
      <c r="U2" s="3053"/>
    </row>
    <row r="3" spans="1:21">
      <c r="A3" s="1587" t="s">
        <v>1927</v>
      </c>
      <c r="B3" s="1588"/>
      <c r="C3" s="2996" t="s">
        <v>1983</v>
      </c>
      <c r="D3" s="1588">
        <v>44258</v>
      </c>
      <c r="E3" s="3073"/>
      <c r="F3" s="3073"/>
      <c r="G3" s="3073"/>
      <c r="H3" s="3074"/>
      <c r="I3" s="3075"/>
      <c r="J3" s="3073"/>
      <c r="K3" s="3056"/>
      <c r="L3" s="3052"/>
      <c r="M3" s="3052"/>
      <c r="N3" s="3053"/>
      <c r="O3" s="3054"/>
      <c r="P3" s="3053"/>
      <c r="Q3" s="3053"/>
      <c r="R3" s="3053"/>
      <c r="S3" s="3053"/>
      <c r="T3" s="3053"/>
      <c r="U3" s="3053"/>
    </row>
    <row r="4" spans="1:21" ht="29.25" thickBot="1">
      <c r="A4" s="1590" t="s">
        <v>1928</v>
      </c>
      <c r="B4" s="1755" t="s">
        <v>2862</v>
      </c>
      <c r="C4" s="1758">
        <f>SUMIF(土地估价师,B4,估价师及机构信息!E3:E16)</f>
        <v>0</v>
      </c>
      <c r="D4" s="1755" t="s">
        <v>2862</v>
      </c>
      <c r="E4" s="1758">
        <f>SUMIF(土地估价师,D4,估价师及机构信息!E3:E16)</f>
        <v>0</v>
      </c>
      <c r="F4" s="1755" t="s">
        <v>942</v>
      </c>
      <c r="G4" s="1758">
        <f>SUMIF(土地估价师,F4,估价师及机构信息!E3:E16)</f>
        <v>0</v>
      </c>
      <c r="H4" s="1755" t="s">
        <v>942</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1" t="s">
        <v>1929</v>
      </c>
      <c r="B5" s="1702"/>
      <c r="C5" s="1592"/>
      <c r="D5" s="1593"/>
      <c r="E5" s="3073"/>
      <c r="F5" s="3073"/>
      <c r="G5" s="3073"/>
      <c r="H5" s="3074"/>
      <c r="I5" s="3075"/>
      <c r="J5" s="3073"/>
      <c r="K5" s="3056"/>
      <c r="L5" s="3052"/>
      <c r="M5" s="3052"/>
      <c r="N5" s="3053"/>
      <c r="O5" s="3054"/>
      <c r="P5" s="3053"/>
      <c r="Q5" s="3053"/>
      <c r="R5" s="3053"/>
      <c r="S5" s="3053"/>
      <c r="T5" s="3053"/>
      <c r="U5" s="3053"/>
    </row>
    <row r="6" spans="1:21" ht="26.25">
      <c r="A6" s="1589" t="s">
        <v>2685</v>
      </c>
      <c r="B6" s="1702"/>
      <c r="C6" s="1677"/>
      <c r="D6" s="1594"/>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5" t="s">
        <v>2686</v>
      </c>
      <c r="B7" s="1702"/>
      <c r="C7" s="1677"/>
      <c r="D7" s="1594"/>
      <c r="E7" s="3073"/>
      <c r="F7" s="3073"/>
      <c r="G7" s="3073"/>
      <c r="H7" s="3074"/>
      <c r="I7" s="3075"/>
      <c r="J7" s="3073"/>
      <c r="K7" s="3056"/>
      <c r="L7" s="3052"/>
      <c r="M7" s="3052"/>
      <c r="N7" s="3053"/>
      <c r="O7" s="3054"/>
      <c r="P7" s="3053"/>
      <c r="Q7" s="3053"/>
      <c r="R7" s="3053"/>
      <c r="S7" s="3053"/>
      <c r="T7" s="3053"/>
      <c r="U7" s="3053"/>
    </row>
    <row r="8" spans="1:21">
      <c r="A8" s="2997" t="s">
        <v>1930</v>
      </c>
      <c r="B8" s="1596" t="s">
        <v>2950</v>
      </c>
      <c r="C8" s="1597"/>
      <c r="D8" s="3393" t="s">
        <v>1932</v>
      </c>
      <c r="E8" s="1756" t="s">
        <v>2999</v>
      </c>
      <c r="F8" s="1598"/>
      <c r="G8" s="3074"/>
      <c r="H8" s="3074"/>
      <c r="I8" s="3077"/>
      <c r="J8" s="3073"/>
      <c r="K8" s="3056"/>
      <c r="L8" s="3052"/>
      <c r="M8" s="3052"/>
      <c r="N8" s="3053"/>
      <c r="O8" s="3054"/>
      <c r="P8" s="3053"/>
      <c r="Q8" s="3053"/>
      <c r="R8" s="3053"/>
      <c r="S8" s="3053"/>
      <c r="T8" s="3053"/>
      <c r="U8" s="3053"/>
    </row>
    <row r="9" spans="1:21" ht="15" thickBot="1">
      <c r="A9" s="2998" t="s">
        <v>1931</v>
      </c>
      <c r="B9" s="1599" t="s">
        <v>2999</v>
      </c>
      <c r="C9" s="1600"/>
      <c r="D9" s="3394"/>
      <c r="E9" s="1599"/>
      <c r="F9" s="1663"/>
      <c r="G9" s="3078"/>
      <c r="H9" s="3078"/>
      <c r="I9" s="3079"/>
      <c r="J9" s="3073"/>
      <c r="K9" s="3056"/>
      <c r="L9" s="3052"/>
      <c r="M9" s="3052"/>
      <c r="N9" s="3053"/>
      <c r="O9" s="3054"/>
      <c r="P9" s="3053"/>
      <c r="Q9" s="3053"/>
      <c r="R9" s="3053"/>
      <c r="S9" s="3053"/>
      <c r="T9" s="3053"/>
      <c r="U9" s="3053"/>
    </row>
    <row r="10" spans="1:21" ht="15" thickTop="1">
      <c r="A10" s="2999" t="s">
        <v>1987</v>
      </c>
      <c r="B10" s="1639" t="s">
        <v>3000</v>
      </c>
      <c r="C10" s="1601"/>
      <c r="D10" s="1593"/>
      <c r="E10" s="1602" t="s">
        <v>1934</v>
      </c>
      <c r="F10" s="1603"/>
      <c r="G10" s="1661"/>
      <c r="H10" s="1662"/>
      <c r="I10" s="1593"/>
      <c r="J10" s="3073"/>
      <c r="K10" s="3056"/>
      <c r="L10" s="3052"/>
      <c r="M10" s="3052"/>
      <c r="N10" s="3053"/>
      <c r="O10" s="3054"/>
      <c r="P10" s="3053"/>
      <c r="Q10" s="3053"/>
      <c r="R10" s="3053"/>
      <c r="S10" s="3053"/>
      <c r="T10" s="3053"/>
      <c r="U10" s="3053"/>
    </row>
    <row r="11" spans="1:21">
      <c r="A11" s="3000" t="s">
        <v>1988</v>
      </c>
      <c r="B11" s="1618" t="s">
        <v>3001</v>
      </c>
      <c r="C11" s="1604"/>
      <c r="D11" s="1678"/>
      <c r="E11" s="3072"/>
      <c r="F11" s="3072"/>
      <c r="G11" s="3072"/>
      <c r="H11" s="3072"/>
      <c r="I11" s="3072"/>
      <c r="J11" s="3073"/>
      <c r="K11" s="3056"/>
      <c r="L11" s="3052"/>
      <c r="M11" s="3052"/>
      <c r="N11" s="3053"/>
      <c r="O11" s="3054"/>
      <c r="P11" s="3053"/>
      <c r="Q11" s="3053"/>
      <c r="R11" s="3053"/>
      <c r="S11" s="3053"/>
      <c r="T11" s="3053"/>
      <c r="U11" s="3053"/>
    </row>
    <row r="12" spans="1:21">
      <c r="A12" s="1698" t="s">
        <v>2046</v>
      </c>
      <c r="B12" s="3390"/>
      <c r="C12" s="3391"/>
      <c r="D12" s="3392"/>
      <c r="E12" s="1619" t="s">
        <v>2049</v>
      </c>
      <c r="F12" s="3408" t="s">
        <v>2863</v>
      </c>
      <c r="G12" s="3409"/>
      <c r="H12" s="3409"/>
      <c r="I12" s="3410"/>
      <c r="J12" s="3073"/>
      <c r="K12" s="3056"/>
      <c r="L12" s="3052"/>
      <c r="M12" s="3052"/>
      <c r="N12" s="3053"/>
      <c r="O12" s="3054"/>
      <c r="P12" s="3053"/>
      <c r="Q12" s="3053"/>
      <c r="R12" s="3053"/>
      <c r="S12" s="3053"/>
      <c r="T12" s="3053"/>
      <c r="U12" s="3053"/>
    </row>
    <row r="13" spans="1:21">
      <c r="A13" s="1610" t="s">
        <v>2047</v>
      </c>
      <c r="B13" s="3390"/>
      <c r="C13" s="3391"/>
      <c r="D13" s="3392"/>
      <c r="E13" s="1619" t="s">
        <v>2049</v>
      </c>
      <c r="F13" s="3408" t="s">
        <v>2864</v>
      </c>
      <c r="G13" s="3409"/>
      <c r="H13" s="3409"/>
      <c r="I13" s="3410"/>
      <c r="J13" s="3073"/>
      <c r="K13" s="3056"/>
      <c r="L13" s="3052"/>
      <c r="M13" s="3052"/>
      <c r="N13" s="3053"/>
      <c r="O13" s="3054"/>
      <c r="P13" s="3053"/>
      <c r="Q13" s="3053"/>
      <c r="R13" s="3053"/>
      <c r="S13" s="3053"/>
      <c r="T13" s="3053"/>
      <c r="U13" s="3053"/>
    </row>
    <row r="14" spans="1:21">
      <c r="A14" s="1587" t="s">
        <v>2050</v>
      </c>
      <c r="B14" s="1619"/>
      <c r="C14" s="1757" t="s">
        <v>3002</v>
      </c>
      <c r="D14" s="1653" t="str">
        <f>IF(C14="不一致","是否符合证载地类范围","")</f>
        <v/>
      </c>
      <c r="E14" s="1619"/>
      <c r="F14" s="1703" t="s">
        <v>3003</v>
      </c>
      <c r="G14" s="1648"/>
      <c r="H14" s="1648"/>
      <c r="I14" s="1750"/>
      <c r="J14" s="3073"/>
      <c r="K14" s="3056"/>
      <c r="L14" s="3052"/>
      <c r="M14" s="3052"/>
      <c r="N14" s="3053"/>
      <c r="O14" s="3054"/>
      <c r="P14" s="3053"/>
      <c r="Q14" s="3053"/>
      <c r="R14" s="3053"/>
      <c r="S14" s="3053"/>
      <c r="T14" s="3053"/>
      <c r="U14" s="3053"/>
    </row>
    <row r="15" spans="1:21" hidden="1">
      <c r="A15" s="2486"/>
      <c r="B15" s="1589"/>
      <c r="C15" s="1589"/>
      <c r="D15" s="1682" t="s">
        <v>1937</v>
      </c>
      <c r="E15" s="1682" t="s">
        <v>1938</v>
      </c>
      <c r="F15" s="1682" t="s">
        <v>1939</v>
      </c>
      <c r="G15" s="1609" t="s">
        <v>1940</v>
      </c>
      <c r="H15" s="1609" t="s">
        <v>1941</v>
      </c>
      <c r="I15" s="1609" t="s">
        <v>1942</v>
      </c>
      <c r="J15" s="3073"/>
      <c r="K15" s="3056"/>
      <c r="L15" s="3052"/>
      <c r="M15" s="3052"/>
      <c r="N15" s="3053"/>
      <c r="O15" s="3054"/>
      <c r="P15" s="3053"/>
      <c r="Q15" s="3053"/>
      <c r="R15" s="3053"/>
      <c r="S15" s="3053"/>
      <c r="T15" s="3053"/>
      <c r="U15" s="3053"/>
    </row>
    <row r="16" spans="1:21" ht="42.75">
      <c r="A16" s="3001" t="s">
        <v>1935</v>
      </c>
      <c r="B16" s="1605" t="s">
        <v>2945</v>
      </c>
      <c r="C16" s="1619" t="s">
        <v>1936</v>
      </c>
      <c r="D16" s="2487" t="s">
        <v>1937</v>
      </c>
      <c r="E16" s="1642"/>
      <c r="F16" s="1642"/>
      <c r="G16" s="1642"/>
      <c r="H16" s="1642"/>
      <c r="I16" s="1609" t="s">
        <v>1942</v>
      </c>
      <c r="J16" s="3073"/>
      <c r="K16" s="2310" t="str">
        <f>IF(D17="","",D16&amp;TEXT(D17,"yyyy年m月d日;;"))</f>
        <v>住宅2090年12月16日</v>
      </c>
      <c r="L16" s="1619" t="str">
        <f>IF(OR(K16="",M16=""),"","、")</f>
        <v/>
      </c>
      <c r="M16" s="2310" t="str">
        <f>IF(E17="","",E16&amp;TEXT(E17,"yyyy年m月d日;;"))</f>
        <v/>
      </c>
      <c r="N16" s="1619" t="str">
        <f>IF(OR(M16="",O16=""),"","、")</f>
        <v/>
      </c>
      <c r="O16" s="2310" t="str">
        <f>IF(F17="","",F16&amp;TEXT(F17,"yyyy年m月d日;;"))</f>
        <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3002" t="s">
        <v>1943</v>
      </c>
      <c r="D17" s="1620">
        <v>69748</v>
      </c>
      <c r="E17" s="1620"/>
      <c r="F17" s="1620"/>
      <c r="G17" s="1620"/>
      <c r="H17" s="1620"/>
      <c r="I17" s="1620"/>
      <c r="J17" s="3073"/>
      <c r="K17" s="3051" t="str">
        <f>CONCATENATE(K16,L16,M16,N16,O16,P16,Q16,R16,S16,T16,,U16)</f>
        <v>住宅2090年12月16日</v>
      </c>
      <c r="L17" s="3052"/>
      <c r="M17" s="3052"/>
      <c r="N17" s="3053"/>
      <c r="O17" s="3054"/>
      <c r="P17" s="3053"/>
      <c r="Q17" s="3053"/>
      <c r="R17" s="3053"/>
      <c r="S17" s="3053"/>
      <c r="T17" s="3053"/>
      <c r="U17" s="3053"/>
    </row>
    <row r="18" spans="1:21">
      <c r="A18" s="1679"/>
      <c r="B18" s="1606"/>
      <c r="C18" s="3002" t="s">
        <v>1944</v>
      </c>
      <c r="D18" s="1607">
        <v>70</v>
      </c>
      <c r="E18" s="1607"/>
      <c r="F18" s="1607"/>
      <c r="G18" s="1607"/>
      <c r="H18" s="1607"/>
      <c r="I18" s="1607"/>
      <c r="J18" s="3073"/>
      <c r="K18" s="3056"/>
      <c r="L18" s="3052"/>
      <c r="M18" s="3052"/>
      <c r="N18" s="3053"/>
      <c r="O18" s="3054"/>
      <c r="P18" s="3053"/>
      <c r="Q18" s="3053"/>
      <c r="R18" s="3053"/>
      <c r="S18" s="3053"/>
      <c r="T18" s="3053"/>
      <c r="U18" s="3053"/>
    </row>
    <row r="19" spans="1:21">
      <c r="A19" s="1679"/>
      <c r="B19" s="1606"/>
      <c r="C19" s="1586" t="s">
        <v>1945</v>
      </c>
      <c r="D19" s="1674">
        <f>IF(B16="出让",IF(D17="","",ROUNDDOWN(MIN((D17-$D$3)/365,D18),2)),D18)</f>
        <v>69.83</v>
      </c>
      <c r="E19" s="1608" t="str">
        <f>IF(B16="出让",IF(E17="","",ROUNDDOWN(MIN((E17-$D$3)/365,E18),2)),E18)</f>
        <v/>
      </c>
      <c r="F19" s="1608" t="str">
        <f>IF(B16="出让",IF(F17="","",ROUNDDOWN(MIN((F17-$D$3)/365,F18),2)),F18)</f>
        <v/>
      </c>
      <c r="G19" s="1608" t="str">
        <f>IF(B16="出让",IF(G17="","",ROUNDDOWN(MIN((G17-$D$3)/365,G18),2)),G18)</f>
        <v/>
      </c>
      <c r="H19" s="1608" t="str">
        <f>IF(B16="出让",IF(H17="","",ROUNDDOWN(MIN((H17-$D$3)/365,H18),2)),H18)</f>
        <v/>
      </c>
      <c r="I19" s="1608" t="str">
        <f>IF(B16="出让",IF(I17="","",ROUNDDOWN(MIN((I17-$D$3)/365,I18),2)),I18)</f>
        <v/>
      </c>
      <c r="J19" s="3073"/>
      <c r="K19" s="3056"/>
      <c r="L19" s="3052"/>
      <c r="M19" s="3052"/>
      <c r="N19" s="3053"/>
      <c r="O19" s="3054"/>
      <c r="P19" s="3053"/>
      <c r="Q19" s="3053"/>
      <c r="R19" s="3053"/>
      <c r="S19" s="3053"/>
      <c r="T19" s="3053"/>
      <c r="U19" s="3053"/>
    </row>
    <row r="20" spans="1:21">
      <c r="A20" s="1699"/>
      <c r="B20" s="1700"/>
      <c r="C20" s="1701" t="s">
        <v>2048</v>
      </c>
      <c r="D20" s="3405"/>
      <c r="E20" s="3406"/>
      <c r="F20" s="3406"/>
      <c r="G20" s="3406"/>
      <c r="H20" s="3406"/>
      <c r="I20" s="3407"/>
      <c r="J20" s="3073"/>
      <c r="K20" s="3056"/>
      <c r="L20" s="3052"/>
      <c r="M20" s="3052"/>
      <c r="N20" s="3053"/>
      <c r="O20" s="3054"/>
      <c r="P20" s="3053"/>
      <c r="Q20" s="3053"/>
      <c r="R20" s="3053"/>
      <c r="S20" s="3053"/>
      <c r="T20" s="3053"/>
      <c r="U20" s="3053"/>
    </row>
    <row r="21" spans="1:21">
      <c r="A21" s="1679" t="s">
        <v>1946</v>
      </c>
      <c r="B21" s="1680" t="s">
        <v>1947</v>
      </c>
      <c r="C21" s="1675">
        <f>'数据-汇总表'!E3</f>
        <v>136066.92000000001</v>
      </c>
      <c r="D21" s="1676" t="s">
        <v>1948</v>
      </c>
      <c r="E21" s="3395" t="s">
        <v>1986</v>
      </c>
      <c r="F21" s="3396"/>
      <c r="G21" s="3396"/>
      <c r="H21" s="3396"/>
      <c r="I21" s="3397"/>
      <c r="J21" s="3073"/>
      <c r="K21" s="3056"/>
      <c r="L21" s="3052"/>
      <c r="M21" s="3052"/>
      <c r="N21" s="3053"/>
      <c r="O21" s="3054"/>
      <c r="P21" s="3053"/>
      <c r="Q21" s="3053"/>
      <c r="R21" s="3053"/>
      <c r="S21" s="3053"/>
      <c r="T21" s="3053"/>
      <c r="U21" s="3053"/>
    </row>
    <row r="22" spans="1:21">
      <c r="A22" s="2801" t="s">
        <v>942</v>
      </c>
      <c r="B22" s="1587" t="s">
        <v>1949</v>
      </c>
      <c r="C22" s="1609">
        <f>'数据-汇总表'!D3</f>
        <v>54426.77</v>
      </c>
      <c r="D22" s="1610" t="s">
        <v>1948</v>
      </c>
      <c r="E22" s="3395" t="s">
        <v>2865</v>
      </c>
      <c r="F22" s="3396"/>
      <c r="G22" s="3396"/>
      <c r="H22" s="3396"/>
      <c r="I22" s="3397"/>
      <c r="J22" s="3073"/>
      <c r="K22" s="3056"/>
      <c r="L22" s="3052"/>
      <c r="M22" s="3052"/>
      <c r="N22" s="3053"/>
      <c r="O22" s="3054"/>
      <c r="P22" s="3053"/>
      <c r="Q22" s="3053"/>
      <c r="R22" s="3053"/>
      <c r="S22" s="3053"/>
      <c r="T22" s="3053"/>
      <c r="U22" s="3053"/>
    </row>
    <row r="23" spans="1:21" ht="43.5" thickBot="1">
      <c r="A23" s="1681" t="s">
        <v>1950</v>
      </c>
      <c r="B23" s="1621" t="s">
        <v>1951</v>
      </c>
      <c r="C23" s="1622"/>
      <c r="D23" s="1623" t="s">
        <v>1952</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1953</v>
      </c>
      <c r="B24" s="3398" t="s">
        <v>1954</v>
      </c>
      <c r="C24" s="3399"/>
      <c r="D24" s="3400" t="s">
        <v>1955</v>
      </c>
      <c r="E24" s="3401"/>
      <c r="F24" s="1628" t="s">
        <v>1956</v>
      </c>
      <c r="G24" s="3073"/>
      <c r="H24" s="3073"/>
      <c r="I24" s="3077"/>
      <c r="J24" s="3073"/>
      <c r="K24" s="3386" t="s">
        <v>1957</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2312</v>
      </c>
      <c r="C25" s="1629" t="s">
        <v>1958</v>
      </c>
      <c r="D25" s="1630"/>
      <c r="E25" s="1631" t="s">
        <v>942</v>
      </c>
      <c r="F25" s="1632"/>
      <c r="G25" s="3073"/>
      <c r="H25" s="3073"/>
      <c r="I25" s="3077"/>
      <c r="J25" s="3073"/>
      <c r="K25" s="3386"/>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1959</v>
      </c>
      <c r="C26" s="1629" t="s">
        <v>2313</v>
      </c>
      <c r="D26" s="3074"/>
      <c r="E26" s="3074"/>
      <c r="F26" s="3080"/>
      <c r="G26" s="3073"/>
      <c r="H26" s="3073"/>
      <c r="I26" s="3077"/>
      <c r="J26" s="3073"/>
      <c r="K26" s="3386"/>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1960</v>
      </c>
      <c r="B27" s="1669" t="s">
        <v>1961</v>
      </c>
      <c r="C27" s="1633"/>
      <c r="D27" s="2492" t="s">
        <v>1961</v>
      </c>
      <c r="E27" s="1634"/>
      <c r="F27" s="3080"/>
      <c r="G27" s="3073"/>
      <c r="H27" s="3073"/>
      <c r="I27" s="3077"/>
      <c r="J27" s="3073"/>
      <c r="K27" s="3056"/>
      <c r="L27" s="3052"/>
      <c r="M27" s="3052"/>
      <c r="N27" s="3053"/>
      <c r="O27" s="3054"/>
      <c r="P27" s="3053"/>
      <c r="Q27" s="3053"/>
      <c r="R27" s="3053"/>
      <c r="S27" s="3053"/>
      <c r="T27" s="3053"/>
      <c r="U27" s="3053"/>
    </row>
    <row r="28" spans="1:21">
      <c r="A28" s="1672"/>
      <c r="B28" s="1669" t="s">
        <v>1962</v>
      </c>
      <c r="C28" s="1635"/>
      <c r="D28" s="2493" t="s">
        <v>1962</v>
      </c>
      <c r="E28" s="1636"/>
      <c r="F28" s="3080"/>
      <c r="G28" s="3073"/>
      <c r="H28" s="3073"/>
      <c r="I28" s="3077"/>
      <c r="J28" s="3073"/>
      <c r="K28" s="3056"/>
      <c r="L28" s="3052"/>
      <c r="M28" s="3052"/>
      <c r="N28" s="3053"/>
      <c r="O28" s="3054"/>
      <c r="P28" s="3053"/>
      <c r="Q28" s="3053"/>
      <c r="R28" s="3053"/>
      <c r="S28" s="3053"/>
      <c r="T28" s="3053"/>
      <c r="U28" s="3053"/>
    </row>
    <row r="29" spans="1:21">
      <c r="A29" s="1672"/>
      <c r="B29" s="1669" t="s">
        <v>1963</v>
      </c>
      <c r="C29" s="1635"/>
      <c r="D29" s="2493" t="s">
        <v>1963</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1964</v>
      </c>
      <c r="C30" s="1637"/>
      <c r="D30" s="2494" t="s">
        <v>1964</v>
      </c>
      <c r="E30" s="1638"/>
      <c r="F30" s="3081"/>
      <c r="G30" s="3078"/>
      <c r="H30" s="3078"/>
      <c r="I30" s="3079"/>
      <c r="J30" s="3073"/>
      <c r="K30" s="3056"/>
      <c r="L30" s="3052"/>
      <c r="M30" s="3052"/>
      <c r="N30" s="3053"/>
      <c r="O30" s="3054"/>
      <c r="P30" s="3053"/>
      <c r="Q30" s="3053"/>
      <c r="R30" s="3053"/>
      <c r="S30" s="3053"/>
      <c r="T30" s="3053"/>
      <c r="U30" s="3053"/>
    </row>
    <row r="31" spans="1:21" ht="15" thickTop="1">
      <c r="A31" s="3413" t="s">
        <v>1989</v>
      </c>
      <c r="B31" s="1680" t="s">
        <v>1990</v>
      </c>
      <c r="C31" s="3411"/>
      <c r="D31" s="3412"/>
      <c r="E31" s="3073"/>
      <c r="F31" s="3073"/>
      <c r="G31" s="3073"/>
      <c r="H31" s="3073"/>
      <c r="I31" s="3077"/>
      <c r="J31" s="3073"/>
      <c r="K31" s="3059"/>
      <c r="L31" s="3053"/>
      <c r="M31" s="3053"/>
      <c r="N31" s="3053"/>
      <c r="O31" s="3053"/>
      <c r="P31" s="3053"/>
      <c r="Q31" s="3053"/>
      <c r="R31" s="3053"/>
      <c r="S31" s="3053"/>
      <c r="T31" s="3053"/>
      <c r="U31" s="3053"/>
    </row>
    <row r="32" spans="1:21">
      <c r="A32" s="3413"/>
      <c r="B32" s="1587" t="s">
        <v>1991</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413"/>
      <c r="B33" s="1587" t="s">
        <v>1992</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414"/>
      <c r="B34" s="1587" t="s">
        <v>1993</v>
      </c>
      <c r="C34" s="3415"/>
      <c r="D34" s="3416"/>
      <c r="E34" s="3073"/>
      <c r="F34" s="3073"/>
      <c r="G34" s="3073"/>
      <c r="H34" s="3073"/>
      <c r="I34" s="3077"/>
      <c r="J34" s="3073"/>
      <c r="K34" s="3059"/>
      <c r="L34" s="3053"/>
      <c r="M34" s="3053"/>
      <c r="N34" s="3053"/>
      <c r="O34" s="3053"/>
      <c r="P34" s="3053"/>
      <c r="Q34" s="3053"/>
      <c r="R34" s="3053"/>
      <c r="S34" s="3053"/>
      <c r="T34" s="3053"/>
      <c r="U34" s="3053"/>
    </row>
    <row r="35" spans="1:28">
      <c r="A35" s="3417" t="s">
        <v>838</v>
      </c>
      <c r="B35" s="1642"/>
      <c r="C35" s="1689" t="str">
        <f>IF(B35="场地平整","——","具体情况：")</f>
        <v>具体情况：</v>
      </c>
      <c r="D35" s="3419"/>
      <c r="E35" s="3420"/>
      <c r="F35" s="3420"/>
      <c r="G35" s="3420"/>
      <c r="H35" s="3420"/>
      <c r="I35" s="3421"/>
      <c r="J35" s="3073"/>
      <c r="K35" s="3060"/>
      <c r="L35" s="3052"/>
      <c r="M35" s="3052"/>
      <c r="N35" s="3053"/>
      <c r="O35" s="3054"/>
      <c r="P35" s="3053"/>
      <c r="Q35" s="3053"/>
      <c r="R35" s="3053"/>
      <c r="S35" s="3053"/>
      <c r="T35" s="3053"/>
      <c r="U35" s="3053"/>
    </row>
    <row r="36" spans="1:28">
      <c r="A36" s="3413"/>
      <c r="B36" s="3422" t="s">
        <v>2042</v>
      </c>
      <c r="C36" s="3423"/>
      <c r="D36" s="1705"/>
      <c r="E36" s="3424"/>
      <c r="F36" s="3424"/>
      <c r="G36" s="1610" t="str">
        <f>IF(B35="场地未平整","估价结果处理","")</f>
        <v/>
      </c>
      <c r="H36" s="3425"/>
      <c r="I36" s="3425"/>
      <c r="J36" s="3073"/>
      <c r="K36" s="3060"/>
      <c r="L36" s="3052"/>
      <c r="M36" s="3052"/>
      <c r="N36" s="3053"/>
      <c r="O36" s="3054"/>
      <c r="P36" s="3053"/>
      <c r="Q36" s="3053"/>
      <c r="R36" s="3053"/>
      <c r="S36" s="3053"/>
      <c r="T36" s="3053"/>
      <c r="U36" s="3053"/>
    </row>
    <row r="37" spans="1:28" ht="28.5">
      <c r="A37" s="3413"/>
      <c r="B37" s="3402" t="s">
        <v>839</v>
      </c>
      <c r="C37" s="1644" t="s">
        <v>840</v>
      </c>
      <c r="D37" s="1645"/>
      <c r="E37" s="1646"/>
      <c r="F37" s="3073"/>
      <c r="G37" s="3073"/>
      <c r="H37" s="3073"/>
      <c r="I37" s="3077"/>
      <c r="J37" s="3073"/>
      <c r="K37" s="3060"/>
      <c r="L37" s="3053"/>
      <c r="M37" s="3053"/>
      <c r="N37" s="3053"/>
      <c r="O37" s="3053"/>
      <c r="P37" s="3053"/>
      <c r="Q37" s="3053"/>
      <c r="R37" s="3053"/>
      <c r="S37" s="3053"/>
      <c r="T37" s="3053"/>
      <c r="U37" s="3053"/>
    </row>
    <row r="38" spans="1:28">
      <c r="A38" s="3413"/>
      <c r="B38" s="3403"/>
      <c r="C38" s="1595" t="s">
        <v>841</v>
      </c>
      <c r="D38" s="1704">
        <f>ROUNDDOWN(MIN(('数据-取费表'!$B$2-D37)/365,D34),1)</f>
        <v>121.2</v>
      </c>
      <c r="E38" s="1647" t="s">
        <v>842</v>
      </c>
      <c r="F38" s="3073"/>
      <c r="G38" s="3073"/>
      <c r="H38" s="3073"/>
      <c r="I38" s="3077"/>
      <c r="J38" s="3073"/>
      <c r="K38" s="3060"/>
      <c r="L38" s="3053"/>
      <c r="M38" s="3053"/>
      <c r="N38" s="3053"/>
      <c r="O38" s="3053"/>
      <c r="P38" s="3053"/>
      <c r="Q38" s="3053"/>
      <c r="R38" s="3053"/>
      <c r="S38" s="3053"/>
      <c r="T38" s="3053"/>
      <c r="U38" s="3053"/>
    </row>
    <row r="39" spans="1:28">
      <c r="A39" s="3414"/>
      <c r="B39" s="3404"/>
      <c r="C39" s="1617"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0" t="s">
        <v>1965</v>
      </c>
      <c r="B40" s="1611"/>
      <c r="C40" s="1611"/>
      <c r="D40" s="1611"/>
      <c r="E40" s="1611"/>
      <c r="F40" s="1611"/>
      <c r="G40" s="1611"/>
      <c r="H40" s="1611"/>
      <c r="I40" s="3077"/>
      <c r="J40" s="3073"/>
      <c r="K40" s="3021">
        <f>COUNTIF(B40:H40,"——")</f>
        <v>0</v>
      </c>
      <c r="L40" s="1619" t="s">
        <v>1966</v>
      </c>
      <c r="M40" s="1616" t="s">
        <v>1967</v>
      </c>
      <c r="N40" s="1616" t="s">
        <v>1968</v>
      </c>
      <c r="O40" s="1616" t="s">
        <v>1969</v>
      </c>
      <c r="P40" s="1616" t="s">
        <v>1970</v>
      </c>
      <c r="Q40" s="1616" t="s">
        <v>1971</v>
      </c>
      <c r="R40" s="1616" t="s">
        <v>1972</v>
      </c>
      <c r="S40" s="3385" t="s">
        <v>1973</v>
      </c>
      <c r="T40" s="1651" t="str">
        <f>NUMBERSTRING(7-K40,1)&amp;"通"</f>
        <v>七通</v>
      </c>
      <c r="U40" s="3053"/>
    </row>
    <row r="41" spans="1:28">
      <c r="A41" s="1589"/>
      <c r="B41" s="3418" t="s">
        <v>1711</v>
      </c>
      <c r="C41" s="3418"/>
      <c r="D41" s="3418"/>
      <c r="E41" s="3418"/>
      <c r="F41" s="1652">
        <f>C10</f>
        <v>0</v>
      </c>
      <c r="G41" s="3073"/>
      <c r="H41" s="3073"/>
      <c r="I41" s="3077"/>
      <c r="J41" s="3073"/>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85"/>
      <c r="T41" s="1653" t="str">
        <f>IF(T40="一通",L41,IF(T40="二通",M41,IF(T40="三通",N41,IF(T40="四通",O41,IF(T40="五通",P41,IF(T40="六通",Q41,R41))))))</f>
        <v>、、、、、、</v>
      </c>
      <c r="U41" s="3053"/>
    </row>
    <row r="42" spans="1:28">
      <c r="A42" s="1655"/>
      <c r="B42" s="1682" t="s">
        <v>1887</v>
      </c>
      <c r="C42" s="1682" t="s">
        <v>1888</v>
      </c>
      <c r="D42" s="1682" t="s">
        <v>1889</v>
      </c>
      <c r="E42" s="1619" t="s">
        <v>1890</v>
      </c>
      <c r="F42" s="1656"/>
      <c r="G42" s="3073"/>
      <c r="H42" s="3073"/>
      <c r="I42" s="3077"/>
      <c r="J42" s="3073"/>
      <c r="K42" s="3056"/>
      <c r="L42" s="3052"/>
      <c r="M42" s="3052"/>
      <c r="N42" s="3053"/>
      <c r="O42" s="3054"/>
      <c r="P42" s="3053"/>
      <c r="Q42" s="3053"/>
      <c r="R42" s="3053"/>
      <c r="S42" s="3053"/>
      <c r="T42" s="3053"/>
      <c r="U42" s="3053"/>
    </row>
    <row r="43" spans="1:28">
      <c r="A43" s="3024" t="s">
        <v>1696</v>
      </c>
      <c r="B43" s="1657"/>
      <c r="C43" s="1657"/>
      <c r="D43" s="1657"/>
      <c r="E43" s="1657"/>
      <c r="F43" s="1658"/>
      <c r="G43" s="3073"/>
      <c r="H43" s="3073"/>
      <c r="I43" s="3077"/>
      <c r="J43" s="3073"/>
      <c r="K43" s="3056"/>
      <c r="L43" s="3052"/>
      <c r="M43" s="3052"/>
      <c r="N43" s="3053"/>
      <c r="O43" s="3054"/>
      <c r="P43" s="3053"/>
      <c r="Q43" s="3053"/>
      <c r="R43" s="3053"/>
      <c r="S43" s="3053"/>
      <c r="T43" s="3053"/>
      <c r="U43" s="3053"/>
    </row>
    <row r="44" spans="1:28">
      <c r="A44" s="3024" t="s">
        <v>1697</v>
      </c>
      <c r="B44" s="1657"/>
      <c r="C44" s="1657"/>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2866</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4"/>
      <c r="B46" s="1614"/>
      <c r="C46" s="1614"/>
      <c r="D46" s="1614"/>
      <c r="E46" s="1614"/>
      <c r="F46" s="1614"/>
      <c r="G46" s="1614"/>
      <c r="H46" s="1614"/>
      <c r="I46" s="1627"/>
      <c r="J46" s="1614"/>
      <c r="K46" s="3056"/>
      <c r="L46" s="3052"/>
      <c r="M46" s="3052"/>
      <c r="N46" s="3053"/>
      <c r="O46" s="3054"/>
      <c r="P46" s="3053"/>
      <c r="Q46" s="3053"/>
      <c r="R46" s="3053"/>
      <c r="S46" s="3053"/>
      <c r="T46" s="3053"/>
      <c r="U46" s="3053"/>
    </row>
    <row r="47" spans="1:28">
      <c r="A47" s="1659" t="s">
        <v>1994</v>
      </c>
      <c r="B47" s="1660"/>
      <c r="C47" s="1649"/>
      <c r="D47" s="1614"/>
      <c r="E47" s="1614"/>
      <c r="F47" s="1614"/>
      <c r="G47" s="1614"/>
      <c r="H47" s="1614"/>
      <c r="I47" s="1615"/>
      <c r="J47" s="1614"/>
      <c r="K47" s="3056"/>
      <c r="L47" s="3052"/>
      <c r="M47" s="3052"/>
      <c r="N47" s="3053"/>
      <c r="O47" s="3054"/>
      <c r="P47" s="3053"/>
      <c r="Q47" s="3053"/>
      <c r="R47" s="3053"/>
      <c r="S47" s="3053"/>
      <c r="T47" s="3053"/>
      <c r="U47" s="3053"/>
    </row>
    <row r="48" spans="1:28" ht="28.5">
      <c r="A48" s="1619" t="s">
        <v>1995</v>
      </c>
      <c r="B48" s="1609" t="s">
        <v>1996</v>
      </c>
      <c r="C48" s="1609" t="s">
        <v>1997</v>
      </c>
      <c r="D48" s="1609" t="s">
        <v>1998</v>
      </c>
      <c r="E48" s="1609" t="s">
        <v>1999</v>
      </c>
      <c r="F48" s="1609" t="s">
        <v>2000</v>
      </c>
      <c r="G48" s="1609" t="s">
        <v>2001</v>
      </c>
      <c r="H48" s="1609" t="s">
        <v>2002</v>
      </c>
      <c r="I48" s="1609" t="s">
        <v>2003</v>
      </c>
      <c r="J48" s="1688" t="s">
        <v>2004</v>
      </c>
      <c r="K48" s="3066" t="s">
        <v>2005</v>
      </c>
      <c r="L48" s="3066" t="s">
        <v>2006</v>
      </c>
      <c r="M48" s="3066" t="s">
        <v>2007</v>
      </c>
      <c r="N48" s="3067" t="s">
        <v>2008</v>
      </c>
      <c r="O48" s="3067" t="s">
        <v>2009</v>
      </c>
      <c r="P48" s="3067" t="s">
        <v>2010</v>
      </c>
      <c r="Q48" s="3058" t="s">
        <v>2011</v>
      </c>
      <c r="R48" s="3058" t="s">
        <v>2012</v>
      </c>
      <c r="S48" s="3053"/>
      <c r="T48" s="3053"/>
      <c r="U48" s="3053"/>
    </row>
    <row r="49" spans="1:21">
      <c r="A49" s="1616"/>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6"/>
      <c r="B50" s="1616"/>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6"/>
      <c r="B51" s="1616"/>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6"/>
      <c r="B52" s="1616"/>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6"/>
      <c r="B53" s="1616"/>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6"/>
      <c r="B54" s="1616"/>
      <c r="C54" s="1616"/>
      <c r="D54" s="1616"/>
      <c r="E54" s="1616"/>
      <c r="F54" s="1650"/>
      <c r="G54" s="1616"/>
      <c r="H54" s="1616"/>
      <c r="I54" s="1616"/>
      <c r="J54" s="1753"/>
      <c r="K54" s="3068"/>
      <c r="L54" s="3068"/>
      <c r="M54" s="3068"/>
      <c r="N54" s="3020"/>
      <c r="O54" s="3020"/>
      <c r="P54" s="3020"/>
      <c r="Q54" s="3020"/>
      <c r="R54" s="3020"/>
      <c r="S54" s="3053"/>
      <c r="T54" s="3053"/>
      <c r="U54" s="3053"/>
    </row>
    <row r="55" spans="1:21">
      <c r="A55" s="1616"/>
      <c r="B55" s="1616"/>
      <c r="C55" s="1616"/>
      <c r="D55" s="1616"/>
      <c r="E55" s="1616"/>
      <c r="F55" s="1650"/>
      <c r="G55" s="1616"/>
      <c r="H55" s="1616"/>
      <c r="I55" s="1616"/>
      <c r="J55" s="1753"/>
      <c r="K55" s="3068"/>
      <c r="L55" s="3068"/>
      <c r="M55" s="3068"/>
      <c r="N55" s="3020"/>
      <c r="O55" s="3020"/>
      <c r="P55" s="3020"/>
      <c r="Q55" s="3020"/>
      <c r="R55" s="3020"/>
      <c r="S55" s="3053"/>
      <c r="T55" s="3053"/>
      <c r="U55" s="3053"/>
    </row>
    <row r="56" spans="1:21">
      <c r="A56" s="1616"/>
      <c r="B56" s="1616"/>
      <c r="C56" s="1616"/>
      <c r="D56" s="1616"/>
      <c r="E56" s="1616"/>
      <c r="F56" s="1650"/>
      <c r="G56" s="1616"/>
      <c r="H56" s="1616"/>
      <c r="I56" s="1616"/>
      <c r="J56" s="1753"/>
      <c r="K56" s="3068"/>
      <c r="L56" s="3068"/>
      <c r="M56" s="3068"/>
      <c r="N56" s="3020"/>
      <c r="O56" s="3020"/>
      <c r="P56" s="3020"/>
      <c r="Q56" s="3020"/>
      <c r="R56" s="3020"/>
      <c r="S56" s="3053"/>
      <c r="T56" s="3053"/>
      <c r="U56" s="3053"/>
    </row>
    <row r="57" spans="1:21">
      <c r="A57" s="1616"/>
      <c r="B57" s="1616"/>
      <c r="C57" s="1616"/>
      <c r="D57" s="1616"/>
      <c r="E57" s="1616"/>
      <c r="F57" s="1650"/>
      <c r="G57" s="1616"/>
      <c r="H57" s="1616"/>
      <c r="I57" s="1616"/>
      <c r="J57" s="1753"/>
      <c r="K57" s="3068"/>
      <c r="L57" s="3068"/>
      <c r="M57" s="3068"/>
      <c r="N57" s="3020"/>
      <c r="O57" s="3020"/>
      <c r="P57" s="3020"/>
      <c r="Q57" s="3020"/>
      <c r="R57" s="3020"/>
      <c r="S57" s="3053"/>
      <c r="T57" s="3053"/>
      <c r="U57" s="3053"/>
    </row>
    <row r="58" spans="1:21">
      <c r="A58" s="1616"/>
      <c r="B58" s="1616"/>
      <c r="C58" s="1616"/>
      <c r="D58" s="1616"/>
      <c r="E58" s="1616"/>
      <c r="F58" s="1650"/>
      <c r="G58" s="1616"/>
      <c r="H58" s="1616"/>
      <c r="I58" s="1616"/>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2320</v>
      </c>
      <c r="BA2" s="2219" t="s">
        <v>2319</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54426.77</v>
      </c>
      <c r="B3" s="22">
        <f>IF(C3="否",G5-AT5,G5)</f>
        <v>136066.92000000001</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136066.92000000001</v>
      </c>
      <c r="H5" s="27">
        <f t="shared" ref="H5:AT5" si="0">SUM(H13:H641)</f>
        <v>136066.92000000001</v>
      </c>
      <c r="I5" s="27">
        <f t="shared" si="0"/>
        <v>136066.92000000001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136066.92000000001</v>
      </c>
      <c r="BA5" s="29">
        <f t="shared" si="1"/>
        <v>136066.92000000001</v>
      </c>
      <c r="BB5" s="29">
        <f t="shared" si="1"/>
        <v>136066.92000000001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54426.77</v>
      </c>
      <c r="F6" s="27" t="s">
        <v>1</v>
      </c>
      <c r="G6" s="27" t="s">
        <v>2</v>
      </c>
      <c r="H6" s="33">
        <f>SUMIF(I$12:AB$12,"总值",I6:AB6)</f>
        <v>54426.77</v>
      </c>
      <c r="I6" s="27">
        <f t="shared" ref="I6:AB6" si="2">ROUND($A$3*I5/$B$3,2)</f>
        <v>54426.77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54426.77</v>
      </c>
      <c r="AZ6" s="27" t="s">
        <v>3</v>
      </c>
      <c r="BA6" s="27">
        <f>ROUND($AY$6*BA5/$AZ$5,2)</f>
        <v>54426.77</v>
      </c>
      <c r="BB6" s="27">
        <f>ROUND($AY$6*BB5/$AZ$5,2)</f>
        <v>54426.77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846</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1" t="s">
        <v>3004</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1" t="s">
        <v>913</v>
      </c>
      <c r="J10" s="51"/>
      <c r="K10" s="2733"/>
      <c r="L10" s="51"/>
      <c r="M10" s="2733"/>
      <c r="N10" s="51"/>
      <c r="O10" s="66"/>
      <c r="P10" s="51"/>
      <c r="Q10" s="66"/>
      <c r="R10" s="51"/>
      <c r="S10" s="66"/>
      <c r="T10" s="51"/>
      <c r="U10" s="66"/>
      <c r="V10" s="51"/>
      <c r="W10" s="66"/>
      <c r="X10" s="51"/>
      <c r="Y10" s="66"/>
      <c r="Z10" s="51"/>
      <c r="AA10" s="66"/>
      <c r="AB10" s="51"/>
      <c r="AC10" s="55"/>
      <c r="AD10" s="2193" t="s">
        <v>2304</v>
      </c>
      <c r="AE10" s="2215"/>
      <c r="AF10" s="2193" t="s">
        <v>2304</v>
      </c>
      <c r="AG10" s="2215"/>
      <c r="AH10" s="2193" t="s">
        <v>2305</v>
      </c>
      <c r="AI10" s="2215"/>
      <c r="AJ10" s="26" t="s">
        <v>2318</v>
      </c>
      <c r="AK10" s="2212"/>
      <c r="AL10" s="2193" t="s">
        <v>2306</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2317</v>
      </c>
      <c r="AE11" s="989"/>
      <c r="AF11" s="2213" t="s">
        <v>2317</v>
      </c>
      <c r="AG11" s="989"/>
      <c r="AH11" s="2213" t="s">
        <v>2316</v>
      </c>
      <c r="AI11" s="2214"/>
      <c r="AJ11" s="2213" t="s">
        <v>2316</v>
      </c>
      <c r="AK11" s="2212"/>
      <c r="AL11" s="987"/>
      <c r="AM11" s="989"/>
      <c r="AN11" s="987"/>
      <c r="AO11" s="989"/>
      <c r="AP11" s="1170"/>
      <c r="AQ11" s="1172"/>
      <c r="AR11" s="1170"/>
      <c r="AS11" s="1172"/>
      <c r="AT11" s="990"/>
      <c r="AU11" s="45"/>
      <c r="AV11" s="55"/>
      <c r="AW11" s="990"/>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6"/>
      <c r="B13" s="2726"/>
      <c r="C13" s="2726"/>
      <c r="D13" s="2727" t="s">
        <v>1668</v>
      </c>
      <c r="E13" s="27">
        <f t="shared" ref="E13:E20" si="6">IF($C$3="是",ROUND($A$3*G13/$B$3,2),ROUND($A$3*(G13-AT13)/$B$3,2))</f>
        <v>54426.77</v>
      </c>
      <c r="F13" s="81"/>
      <c r="G13" s="82">
        <f t="shared" ref="G13:G20" si="7">H13+AC13+AT13</f>
        <v>136066.92000000001</v>
      </c>
      <c r="H13" s="33">
        <f t="shared" ref="H13:H20" si="8">SUMIF(I$12:AB$12,"总值",I13:AB13)</f>
        <v>136066.92000000001</v>
      </c>
      <c r="I13" s="2730">
        <v>136066.92000000001</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3">
        <f t="shared" ref="AY13:AY20" si="11">ROUND($AY$6*AZ13/$AZ$5,2)</f>
        <v>54426.77</v>
      </c>
      <c r="AZ13" s="27">
        <f t="shared" ref="AZ13:AZ20" si="12">BA13+BL13</f>
        <v>136066.92000000001</v>
      </c>
      <c r="BA13" s="27">
        <f t="shared" ref="BA13:BA20" si="13">SUM(BB13:BK13)</f>
        <v>136066.92000000001</v>
      </c>
      <c r="BB13" s="27">
        <f t="shared" ref="BB13:BB20" si="14">IF($D13="是",I13-J13,0)</f>
        <v>136066.92000000001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26" t="s">
        <v>0</v>
      </c>
      <c r="B1" s="3426" t="s">
        <v>4</v>
      </c>
      <c r="C1" s="3426" t="s">
        <v>5</v>
      </c>
      <c r="D1" s="3427" t="s">
        <v>40</v>
      </c>
      <c r="E1" s="3427" t="s">
        <v>41</v>
      </c>
      <c r="F1" s="3427"/>
      <c r="G1" s="3427"/>
      <c r="H1" s="3427"/>
      <c r="I1" s="3427"/>
      <c r="J1" s="3427"/>
      <c r="K1" s="3427"/>
      <c r="L1" s="3427"/>
      <c r="M1" s="3427"/>
    </row>
    <row r="2" spans="1:13" ht="27" customHeight="1">
      <c r="A2" s="3426"/>
      <c r="B2" s="3426"/>
      <c r="C2" s="3426"/>
      <c r="D2" s="3427"/>
      <c r="E2" s="3427" t="s">
        <v>24</v>
      </c>
      <c r="F2" s="3427" t="s">
        <v>25</v>
      </c>
      <c r="G2" s="3427"/>
      <c r="H2" s="3427"/>
      <c r="I2" s="3427"/>
      <c r="J2" s="3427" t="s">
        <v>26</v>
      </c>
      <c r="K2" s="3427"/>
      <c r="L2" s="3427"/>
      <c r="M2" s="3427"/>
    </row>
    <row r="3" spans="1:13" ht="28.5">
      <c r="A3" s="3426"/>
      <c r="B3" s="3426"/>
      <c r="C3" s="3426"/>
      <c r="D3" s="3427"/>
      <c r="E3" s="342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27" t="s">
        <v>42</v>
      </c>
      <c r="B9" s="3427"/>
      <c r="C9" s="342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7" sqref="I7"/>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37" t="s">
        <v>203</v>
      </c>
      <c r="B2" s="3437"/>
      <c r="C2" s="3437"/>
      <c r="D2" s="1888" t="s">
        <v>204</v>
      </c>
      <c r="E2" s="106" t="s">
        <v>205</v>
      </c>
      <c r="F2" s="3082"/>
      <c r="G2" s="1180"/>
      <c r="H2" s="1181"/>
      <c r="I2" s="1182" t="s">
        <v>848</v>
      </c>
      <c r="J2" s="3082"/>
      <c r="K2" s="3082"/>
      <c r="L2" s="3082"/>
      <c r="M2" s="3082"/>
      <c r="N2" s="3082"/>
      <c r="O2" s="3082"/>
      <c r="P2" s="3082"/>
    </row>
    <row r="3" spans="1:16" ht="15.75" thickBot="1">
      <c r="A3" s="3438" t="s">
        <v>206</v>
      </c>
      <c r="B3" s="3438"/>
      <c r="C3" s="3438"/>
      <c r="D3" s="107">
        <f>'数据-基础表'!AY6</f>
        <v>54426.77</v>
      </c>
      <c r="E3" s="107">
        <f>'数据-基础表'!AZ5</f>
        <v>136066.92000000001</v>
      </c>
      <c r="F3" s="3082"/>
      <c r="G3" s="278" t="s">
        <v>849</v>
      </c>
      <c r="H3" s="273" t="s">
        <v>850</v>
      </c>
      <c r="I3" s="1889">
        <f>ROUND('数据-基础表'!B3/'数据-基础表'!A3,2)</f>
        <v>2.5</v>
      </c>
      <c r="J3" s="3082"/>
      <c r="K3" s="3082"/>
      <c r="L3" s="3082"/>
      <c r="M3" s="3082"/>
      <c r="N3" s="3082"/>
      <c r="O3" s="3082"/>
      <c r="P3" s="3082"/>
    </row>
    <row r="4" spans="1:16" ht="15">
      <c r="A4" s="3439"/>
      <c r="B4" s="3440"/>
      <c r="C4" s="3441"/>
      <c r="D4" s="108" t="s">
        <v>204</v>
      </c>
      <c r="E4" s="109" t="s">
        <v>205</v>
      </c>
      <c r="F4" s="3082"/>
      <c r="G4" s="1183"/>
      <c r="H4" s="273" t="s">
        <v>851</v>
      </c>
      <c r="I4" s="1889">
        <f>ROUND(SUMIF('数据-基础表'!I9:AS9,"地上",'数据-基础表'!I5:AS5)/'数据-基础表'!A3,2)</f>
        <v>2.5</v>
      </c>
      <c r="J4" s="3082"/>
      <c r="K4" s="3082"/>
      <c r="L4" s="3082"/>
      <c r="M4" s="3082"/>
      <c r="N4" s="3082"/>
      <c r="O4" s="3082"/>
      <c r="P4" s="3082"/>
    </row>
    <row r="5" spans="1:16">
      <c r="A5" s="110" t="s">
        <v>207</v>
      </c>
      <c r="B5" s="3442" t="s">
        <v>230</v>
      </c>
      <c r="C5" s="3442"/>
      <c r="D5" s="111">
        <f>ROUND($D$3*E5/$E$3,2)</f>
        <v>54426.77</v>
      </c>
      <c r="E5" s="112">
        <f>SUMIF('数据-基础表'!$11:$11,"住宅",'数据-基础表'!$5:$5)</f>
        <v>136066.92000000001</v>
      </c>
      <c r="F5" s="3082"/>
      <c r="G5" s="278" t="s">
        <v>852</v>
      </c>
      <c r="H5" s="273" t="s">
        <v>850</v>
      </c>
      <c r="I5" s="1889">
        <f>ROUND(E31/D31,2)</f>
        <v>2.5</v>
      </c>
      <c r="J5" s="3082"/>
      <c r="K5" s="3082"/>
      <c r="L5" s="3082"/>
      <c r="M5" s="3082"/>
      <c r="N5" s="3082"/>
      <c r="O5" s="3082"/>
      <c r="P5" s="3082"/>
    </row>
    <row r="6" spans="1:16" ht="15" thickBot="1">
      <c r="A6" s="113"/>
      <c r="B6" s="3442" t="s">
        <v>208</v>
      </c>
      <c r="C6" s="3442"/>
      <c r="D6" s="111">
        <f>ROUND($D$3*E6/$E$3,2)</f>
        <v>0</v>
      </c>
      <c r="E6" s="112">
        <f>E3-E5</f>
        <v>0</v>
      </c>
      <c r="F6" s="3082"/>
      <c r="G6" s="1183"/>
      <c r="H6" s="273" t="s">
        <v>851</v>
      </c>
      <c r="I6" s="1889">
        <f>ROUND(F31/D31,2)</f>
        <v>2.5</v>
      </c>
      <c r="J6" s="3082"/>
      <c r="K6" s="3082"/>
      <c r="L6" s="3082"/>
      <c r="M6" s="3082"/>
      <c r="N6" s="3082"/>
      <c r="O6" s="3082"/>
      <c r="P6" s="3082"/>
    </row>
    <row r="7" spans="1:16" ht="15">
      <c r="A7" s="3434"/>
      <c r="B7" s="3435"/>
      <c r="C7" s="3436"/>
      <c r="D7" s="108" t="s">
        <v>204</v>
      </c>
      <c r="E7" s="114" t="s">
        <v>231</v>
      </c>
      <c r="F7" s="3082"/>
      <c r="G7" s="1138" t="s">
        <v>1635</v>
      </c>
      <c r="H7" s="1139"/>
      <c r="I7" s="1759">
        <v>4</v>
      </c>
      <c r="J7" s="3082"/>
      <c r="K7" s="3082"/>
      <c r="L7" s="3082"/>
      <c r="M7" s="3082"/>
      <c r="N7" s="3082"/>
      <c r="O7" s="3082"/>
      <c r="P7" s="3082"/>
    </row>
    <row r="8" spans="1:16">
      <c r="A8" s="110" t="s">
        <v>209</v>
      </c>
      <c r="B8" s="115" t="s">
        <v>210</v>
      </c>
      <c r="C8" s="111" t="s">
        <v>211</v>
      </c>
      <c r="D8" s="111">
        <f t="shared" ref="D8:D15" si="0">ROUND($D$3*E8/$E$3,2)</f>
        <v>54426.77</v>
      </c>
      <c r="E8" s="116">
        <f>SUMIF('数据-基础表'!BB10:BK10,"地上",'数据-基础表'!BB5:BK5)</f>
        <v>136066.92000000001</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2314</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2321</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54426.77</v>
      </c>
      <c r="E16" s="120">
        <f>SUM(E8:E15)</f>
        <v>136066.92000000001</v>
      </c>
      <c r="F16" s="3082"/>
      <c r="G16" s="3083"/>
      <c r="H16" s="955" t="s">
        <v>219</v>
      </c>
      <c r="I16" s="956"/>
      <c r="J16" s="1897"/>
      <c r="K16" s="3428" t="s">
        <v>2546</v>
      </c>
      <c r="L16" s="3429"/>
      <c r="M16" s="3429"/>
      <c r="N16" s="3429"/>
      <c r="O16" s="3429"/>
      <c r="P16" s="3430"/>
    </row>
    <row r="17" spans="1:19" ht="15">
      <c r="A17" s="121" t="s">
        <v>216</v>
      </c>
      <c r="B17" s="122" t="s">
        <v>217</v>
      </c>
      <c r="C17" s="2177" t="s">
        <v>2300</v>
      </c>
      <c r="D17" s="108" t="s">
        <v>204</v>
      </c>
      <c r="E17" s="124" t="s">
        <v>205</v>
      </c>
      <c r="F17" s="125"/>
      <c r="G17" s="1318"/>
      <c r="H17" s="957" t="s">
        <v>218</v>
      </c>
      <c r="I17" s="958" t="s">
        <v>2299</v>
      </c>
      <c r="J17" s="1897"/>
      <c r="K17" s="3431" t="s">
        <v>2547</v>
      </c>
      <c r="L17" s="3432"/>
      <c r="M17" s="3433"/>
      <c r="N17" s="3431" t="s">
        <v>2548</v>
      </c>
      <c r="O17" s="3432"/>
      <c r="P17" s="3433"/>
      <c r="R17" s="2178" t="s">
        <v>2298</v>
      </c>
      <c r="S17" s="142"/>
    </row>
    <row r="18" spans="1:19" ht="15">
      <c r="A18" s="117"/>
      <c r="B18" s="128"/>
      <c r="C18" s="129"/>
      <c r="D18" s="2483"/>
      <c r="E18" s="130" t="s">
        <v>220</v>
      </c>
      <c r="F18" s="131" t="s">
        <v>221</v>
      </c>
      <c r="G18" s="1319" t="s">
        <v>222</v>
      </c>
      <c r="H18" s="959" t="s">
        <v>223</v>
      </c>
      <c r="I18" s="960" t="s">
        <v>224</v>
      </c>
      <c r="J18" s="1897"/>
      <c r="K18" s="2448" t="s">
        <v>2549</v>
      </c>
      <c r="L18" s="2449" t="s">
        <v>2550</v>
      </c>
      <c r="M18" s="2450" t="s">
        <v>2551</v>
      </c>
      <c r="N18" s="2448" t="s">
        <v>2549</v>
      </c>
      <c r="O18" s="2449" t="s">
        <v>2550</v>
      </c>
      <c r="P18" s="2450" t="s">
        <v>2551</v>
      </c>
      <c r="R18" s="2179" t="s">
        <v>2296</v>
      </c>
      <c r="S18" s="2179" t="s">
        <v>2297</v>
      </c>
    </row>
    <row r="19" spans="1:19">
      <c r="A19" s="133"/>
      <c r="B19" s="115" t="s">
        <v>225</v>
      </c>
      <c r="C19" s="2737" t="s">
        <v>3005</v>
      </c>
      <c r="D19" s="111">
        <f t="shared" ref="D19:D26" si="1">ROUND($D$3*E19/$E$3,2)</f>
        <v>54426.77</v>
      </c>
      <c r="E19" s="134">
        <f t="shared" ref="E19:E26" si="2">SUM(F19:G19)</f>
        <v>136066.92000000001</v>
      </c>
      <c r="F19" s="3084">
        <f>'数据-基础表'!I13</f>
        <v>136066.92000000001</v>
      </c>
      <c r="G19" s="3085"/>
      <c r="H19" s="961">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54426.77</v>
      </c>
      <c r="S19" s="2180">
        <f t="shared" si="5"/>
        <v>136066.92000000001</v>
      </c>
    </row>
    <row r="20" spans="1:19">
      <c r="A20" s="137"/>
      <c r="B20" s="115" t="s">
        <v>226</v>
      </c>
      <c r="C20" s="2737"/>
      <c r="D20" s="111">
        <f t="shared" si="1"/>
        <v>0</v>
      </c>
      <c r="E20" s="134">
        <f t="shared" si="2"/>
        <v>0</v>
      </c>
      <c r="F20" s="3084"/>
      <c r="G20" s="3085"/>
      <c r="H20" s="961">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1">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7"/>
      <c r="D22" s="111">
        <f t="shared" si="1"/>
        <v>0</v>
      </c>
      <c r="E22" s="134">
        <f t="shared" si="2"/>
        <v>0</v>
      </c>
      <c r="F22" s="3086"/>
      <c r="G22" s="3087"/>
      <c r="H22" s="961">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1">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1">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54426.77</v>
      </c>
      <c r="E27" s="141">
        <f>IF(SUM(E19:E26)='数据-基础表'!BA5,SUM(E19:E26),IF(F27="地上面积有误","面积有误","地下面积有误"))</f>
        <v>136066.92000000001</v>
      </c>
      <c r="F27" s="134">
        <f>IF(SUM(F19:F26)=E8,SUM(F19:F26),"地上面积有误")</f>
        <v>136066.92000000001</v>
      </c>
      <c r="G27" s="112">
        <f>SUM(G19:G26)</f>
        <v>0</v>
      </c>
      <c r="H27" s="962">
        <f>SUM(H19:H26)</f>
        <v>0</v>
      </c>
      <c r="I27" s="963">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54426.77</v>
      </c>
      <c r="S27" s="273">
        <f>IF(SUM(S19:S26)=$E$3,SUM(S19:S26),SUM(S19:S26)&amp;"误差"&amp;ROUND(SUM(S19:S26)-E3,2))</f>
        <v>136066.92000000001</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2307</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0"/>
      <c r="B31" s="1321" t="s">
        <v>229</v>
      </c>
      <c r="C31" s="2209" t="s">
        <v>2309</v>
      </c>
      <c r="D31" s="1322">
        <f>D27+D30</f>
        <v>54426.77</v>
      </c>
      <c r="E31" s="1322">
        <f>E27+E30</f>
        <v>136066.92000000001</v>
      </c>
      <c r="F31" s="1323">
        <f>F27+F30</f>
        <v>136066.92000000001</v>
      </c>
      <c r="G31" s="1324">
        <f>G27+G30</f>
        <v>0</v>
      </c>
      <c r="H31" s="3082"/>
      <c r="I31" s="3082"/>
      <c r="J31" s="3082"/>
      <c r="K31" s="3082"/>
      <c r="L31" s="3082"/>
      <c r="M31" s="3082"/>
      <c r="N31" s="3082"/>
      <c r="O31" s="3082"/>
      <c r="P31" s="3082"/>
    </row>
    <row r="32" spans="1:19">
      <c r="A32" s="1897"/>
      <c r="B32" s="2221" t="s">
        <v>2308</v>
      </c>
      <c r="C32" s="2488"/>
      <c r="D32" s="1183"/>
      <c r="E32" s="1183">
        <f>SUMIF(C19:C26,"*住宅*",E19:E26)</f>
        <v>136066.92000000001</v>
      </c>
      <c r="F32" s="1183"/>
      <c r="G32" s="1183"/>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J6" activePane="bottomRight" state="frozen"/>
      <selection pane="topRight" activeCell="D1" sqref="D1"/>
      <selection pane="bottomLeft" activeCell="A4" sqref="A4"/>
      <selection pane="bottomRight" activeCell="K29" sqref="K29"/>
    </sheetView>
  </sheetViews>
  <sheetFormatPr defaultColWidth="13.75" defaultRowHeight="12.75"/>
  <cols>
    <col min="1" max="1" width="20.875" style="1198" customWidth="1"/>
    <col min="2" max="3" width="12" style="1185" customWidth="1"/>
    <col min="4" max="4" width="9.125" style="1199" customWidth="1"/>
    <col min="5" max="5" width="17" style="1185"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8" customFormat="1" ht="15.75" thickBot="1">
      <c r="A2" s="147" t="s">
        <v>235</v>
      </c>
      <c r="B2" s="2217">
        <f>项目基本情况!D3</f>
        <v>44258</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855</v>
      </c>
      <c r="B4" s="150"/>
      <c r="C4" s="151"/>
      <c r="D4" s="1190"/>
      <c r="E4" s="1191" t="s">
        <v>856</v>
      </c>
      <c r="F4" s="151"/>
      <c r="G4" s="151"/>
      <c r="H4" s="151"/>
      <c r="I4" s="151"/>
      <c r="J4" s="152"/>
      <c r="K4" s="1192"/>
      <c r="L4" s="1193"/>
      <c r="M4" s="151"/>
      <c r="N4" s="1191" t="s">
        <v>857</v>
      </c>
      <c r="O4" s="151"/>
      <c r="P4" s="151"/>
      <c r="Q4" s="151"/>
      <c r="R4" s="151"/>
      <c r="S4" s="152"/>
      <c r="T4" s="964"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54">
      <c r="A5" s="2183" t="s">
        <v>2311</v>
      </c>
      <c r="B5" s="154" t="s">
        <v>236</v>
      </c>
      <c r="C5" s="155" t="s">
        <v>237</v>
      </c>
      <c r="D5" s="156" t="s">
        <v>238</v>
      </c>
      <c r="E5" s="157" t="s">
        <v>239</v>
      </c>
      <c r="F5" s="158" t="s">
        <v>240</v>
      </c>
      <c r="G5" s="157" t="s">
        <v>241</v>
      </c>
      <c r="H5" s="157" t="s">
        <v>853</v>
      </c>
      <c r="I5" s="157" t="s">
        <v>854</v>
      </c>
      <c r="J5" s="159" t="s">
        <v>242</v>
      </c>
      <c r="K5" s="160" t="s">
        <v>243</v>
      </c>
      <c r="L5" s="161" t="s">
        <v>244</v>
      </c>
      <c r="M5" s="162" t="s">
        <v>245</v>
      </c>
      <c r="N5" s="1201" t="s">
        <v>2806</v>
      </c>
      <c r="O5" s="161" t="s">
        <v>246</v>
      </c>
      <c r="P5" s="163" t="s">
        <v>247</v>
      </c>
      <c r="Q5" s="164" t="s">
        <v>248</v>
      </c>
      <c r="R5" s="165" t="s">
        <v>249</v>
      </c>
      <c r="S5" s="2464" t="s">
        <v>2552</v>
      </c>
      <c r="T5" s="166" t="s">
        <v>250</v>
      </c>
      <c r="U5" s="167" t="s">
        <v>251</v>
      </c>
      <c r="V5" s="157" t="s">
        <v>252</v>
      </c>
      <c r="W5" s="157" t="s">
        <v>253</v>
      </c>
      <c r="X5" s="1732"/>
      <c r="Y5" s="168" t="s">
        <v>254</v>
      </c>
      <c r="Z5" s="169" t="s">
        <v>255</v>
      </c>
      <c r="AA5" s="157" t="s">
        <v>252</v>
      </c>
      <c r="AB5" s="157" t="s">
        <v>253</v>
      </c>
      <c r="AC5" s="1733"/>
      <c r="AD5" s="170" t="s">
        <v>254</v>
      </c>
      <c r="AE5" s="1" t="s">
        <v>861</v>
      </c>
      <c r="AF5" s="157" t="s">
        <v>256</v>
      </c>
      <c r="AG5" s="168" t="s">
        <v>257</v>
      </c>
      <c r="AH5" s="1733" t="s">
        <v>2310</v>
      </c>
      <c r="AI5" s="169" t="s">
        <v>2279</v>
      </c>
      <c r="AJ5" s="169" t="s">
        <v>258</v>
      </c>
      <c r="AK5" s="157" t="s">
        <v>259</v>
      </c>
      <c r="AL5" s="157" t="s">
        <v>260</v>
      </c>
      <c r="AM5" s="170" t="s">
        <v>261</v>
      </c>
      <c r="AN5" s="2245" t="s">
        <v>2357</v>
      </c>
      <c r="AO5" s="3103"/>
      <c r="AP5" s="3088" t="s">
        <v>2969</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t="str">
        <f>'数据-汇总表'!C19</f>
        <v>住宅</v>
      </c>
      <c r="B6" s="2216" t="str">
        <f>IF(A6=0,"","经营性")</f>
        <v>经营性</v>
      </c>
      <c r="C6" s="171" t="s">
        <v>913</v>
      </c>
      <c r="D6" s="2187">
        <f>SUMIF(项目基本情况!D$15:I$15,C6,项目基本情况!D$18:I$18)</f>
        <v>70</v>
      </c>
      <c r="E6" s="2188">
        <f>IF(B6="","",SUMIF(项目基本情况!D$15:I$15,C6,项目基本情况!D$17:I$17))</f>
        <v>69748</v>
      </c>
      <c r="F6" s="172">
        <f>SUMIF(项目基本情况!D$15:I$15,C6,项目基本情况!D$19:I$19)</f>
        <v>69.83</v>
      </c>
      <c r="G6" s="173">
        <f>IF(ISERROR(ROUND(POWER(1+H6,D6-F6)*(POWER(1+H6,F6)-1)/(POWER(1+H6,D6)-1),3)),0,ROUND(POWER(1+H6,D6-F6)*(POWER(1+H6,F6)-1)/(POWER(1+H6,D6)-1),3))</f>
        <v>1</v>
      </c>
      <c r="H6" s="2738">
        <v>4.4999999999999998E-2</v>
      </c>
      <c r="I6" s="2738">
        <v>0.05</v>
      </c>
      <c r="J6" s="174">
        <v>8.5000000000000006E-2</v>
      </c>
      <c r="K6" s="177">
        <f>SUMIF('数据-汇总表'!C$19:C$33,'数据-取费表'!A6,'数据-汇总表'!E$19:E$33)</f>
        <v>136066.92000000001</v>
      </c>
      <c r="L6" s="2739">
        <f>M24</f>
        <v>3400</v>
      </c>
      <c r="M6" s="175">
        <f t="shared" ref="M6:M14" si="0">ROUND(K6*L6/10000,0)</f>
        <v>46263</v>
      </c>
      <c r="N6" s="2740">
        <v>0</v>
      </c>
      <c r="O6" s="175">
        <f>IF($N$5="成新度","——",ROUND(M6*N6,0))</f>
        <v>0</v>
      </c>
      <c r="P6" s="176">
        <f>IF($N$5="成新度","——",M6-O6)</f>
        <v>46263</v>
      </c>
      <c r="Q6" s="2741">
        <v>0.15</v>
      </c>
      <c r="R6" s="177">
        <f>SUMIF('数据-汇总表'!C$19:C$33,A6,'数据-汇总表'!R$19:R$33)</f>
        <v>54426.77</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v>0.02</v>
      </c>
      <c r="W6" s="179">
        <v>0.1</v>
      </c>
      <c r="X6" s="2200"/>
      <c r="Y6" s="180">
        <v>1</v>
      </c>
      <c r="Z6" s="181"/>
      <c r="AA6" s="174"/>
      <c r="AB6" s="174"/>
      <c r="AC6" s="2203"/>
      <c r="AD6" s="182"/>
      <c r="AE6" s="959">
        <f ca="1">IF(AN6="",0,SUMIF(INDIRECT("'"&amp;AN6&amp;"'"&amp;"!E:E"),$AE$5,INDIRECT("'"&amp;AN6&amp;"'"&amp;"!F:F")))</f>
        <v>0</v>
      </c>
      <c r="AF6" s="139"/>
      <c r="AG6" s="1195">
        <f>IF(AF6="",0,AE6-AF6)</f>
        <v>0</v>
      </c>
      <c r="AH6" s="139"/>
      <c r="AI6" s="185">
        <v>365</v>
      </c>
      <c r="AJ6" s="186"/>
      <c r="AK6" s="187">
        <v>1.4999999999999999E-2</v>
      </c>
      <c r="AL6" s="188">
        <v>1.5E-3</v>
      </c>
      <c r="AM6" s="2752">
        <v>0.02</v>
      </c>
      <c r="AN6" s="2246"/>
      <c r="AO6" s="3092"/>
      <c r="AP6" s="1186">
        <f>ROUND(1-1/(1+H6)^F6,3)</f>
        <v>0.95399999999999996</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59">
        <f t="shared" ref="AE7:AE13" ca="1" si="6">IF(AN7="",0,SUMIF(INDIRECT("'"&amp;AN7&amp;"'"&amp;"!E:E"),$AE$5,INDIRECT("'"&amp;AN7&amp;"'"&amp;"!F:F")))</f>
        <v>0</v>
      </c>
      <c r="AF7" s="139"/>
      <c r="AG7" s="1195">
        <f t="shared" ref="AG7:AG13" si="7">IF(AF7="",0,AE7-AF7)</f>
        <v>0</v>
      </c>
      <c r="AH7" s="139"/>
      <c r="AI7" s="185"/>
      <c r="AJ7" s="186"/>
      <c r="AK7" s="187"/>
      <c r="AL7" s="188"/>
      <c r="AM7" s="2244"/>
      <c r="AN7" s="2246"/>
      <c r="AO7" s="3092"/>
      <c r="AP7" s="1186">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92"/>
      <c r="AP8" s="1186">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2"/>
      <c r="AP9" s="1186">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2"/>
      <c r="AP10" s="1186">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2"/>
      <c r="AP11" s="1186">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2"/>
      <c r="AP12" s="1186">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2"/>
      <c r="AP13" s="1186">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2301</v>
      </c>
      <c r="B14" s="2185" t="s">
        <v>1669</v>
      </c>
      <c r="C14" s="2186" t="s">
        <v>2301</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2303</v>
      </c>
      <c r="B15" s="2185" t="s">
        <v>1669</v>
      </c>
      <c r="C15" s="2186" t="s">
        <v>2302</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1</v>
      </c>
      <c r="H16" s="201">
        <f>ROUND(SUMPRODUCT(H6:H13,K6:K13)/SUMPRODUCT((H6:H13&gt;0)*(K6:K13)),3)</f>
        <v>4.4999999999999998E-2</v>
      </c>
      <c r="I16" s="202"/>
      <c r="J16" s="202"/>
      <c r="K16" s="203">
        <f>SUM(K6:K15)</f>
        <v>136066.92000000001</v>
      </c>
      <c r="L16" s="204">
        <f>ROUND(M16*10000/SUM(K6:K14),0)</f>
        <v>3400</v>
      </c>
      <c r="M16" s="204">
        <f>SUM(M6:M14)</f>
        <v>46263</v>
      </c>
      <c r="N16" s="205">
        <f>ROUND(SUMPRODUCT(M6:M14,N6:N14)/M16,3)</f>
        <v>0</v>
      </c>
      <c r="O16" s="204">
        <f>SUM(O6:O14)</f>
        <v>0</v>
      </c>
      <c r="P16" s="204">
        <f>SUM(P6:P14)</f>
        <v>46263</v>
      </c>
      <c r="Q16" s="206">
        <f>ROUND(SUMPRODUCT(Q6:Q13,K6:K13)/SUMPRODUCT((Q6:Q13&gt;0)*(K6:K13)),2)</f>
        <v>0.15</v>
      </c>
      <c r="R16" s="2190">
        <f>SUM(R6:R13)</f>
        <v>54426.77</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6">
        <f>ROUND(SUMPRODUCT(AP6:AP13,K6:K13)/SUMPRODUCT((AP6:AP13&gt;0)*(K6:K13)),3)</f>
        <v>0.95399999999999996</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2981</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2</v>
      </c>
      <c r="C20" s="3104" t="s">
        <v>2322</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v>0.2</v>
      </c>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309">
        <f>K16</f>
        <v>136066.92000000001</v>
      </c>
      <c r="M22" s="3089">
        <v>3000</v>
      </c>
      <c r="N22" s="3089">
        <f>L22*M22</f>
        <v>408200760.00000006</v>
      </c>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f>L22*L21</f>
        <v>27213.384000000005</v>
      </c>
      <c r="M23" s="3089">
        <v>2000</v>
      </c>
      <c r="N23" s="3089">
        <f>L23*M23</f>
        <v>54426768.000000007</v>
      </c>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2</v>
      </c>
      <c r="C24" s="3092"/>
      <c r="D24" s="3093"/>
      <c r="E24" s="3092"/>
      <c r="F24" s="3092"/>
      <c r="G24" s="3092"/>
      <c r="H24" s="3092"/>
      <c r="I24" s="3092"/>
      <c r="J24" s="3092"/>
      <c r="K24" s="3091"/>
      <c r="L24" s="3091"/>
      <c r="M24" s="3089">
        <f>N24/L22</f>
        <v>3400</v>
      </c>
      <c r="N24" s="3089">
        <f>N22+N23</f>
        <v>462627528.00000006</v>
      </c>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89"/>
      <c r="B25" s="1186"/>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7" customFormat="1" ht="27.75">
      <c r="A27" s="224" t="s">
        <v>2324</v>
      </c>
      <c r="B27" s="225">
        <v>220</v>
      </c>
      <c r="C27" s="3105" t="s">
        <v>2982</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2325</v>
      </c>
      <c r="B28" s="227">
        <v>220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2323</v>
      </c>
      <c r="B29" s="230"/>
      <c r="C29" s="3106" t="s">
        <v>2326</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120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v>80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7" t="s">
        <v>2970</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0.05</v>
      </c>
      <c r="C34" s="3107" t="s">
        <v>2971</v>
      </c>
      <c r="D34" s="3108" t="s">
        <v>2978</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2972</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2973</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2974</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2974</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2437</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3293" t="s">
        <v>2998</v>
      </c>
      <c r="B40" s="2333">
        <f ca="1">IF(A40="利息：取LPR",存贷款利率!E2,存贷款利率!E2+C40)</f>
        <v>3.85E-2</v>
      </c>
      <c r="C40" s="3294">
        <v>5.0000000000000001E-3</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6"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6"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2979</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2975</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2976</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2983</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0.04</v>
      </c>
      <c r="C48" s="3110" t="s">
        <v>2975</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2977</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6</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1316</v>
      </c>
      <c r="C53" s="3100" t="s">
        <v>2867</v>
      </c>
      <c r="D53" s="3111" t="s">
        <v>2980</v>
      </c>
      <c r="E53" s="3092" t="s">
        <v>3006</v>
      </c>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2868</v>
      </c>
      <c r="B54" s="184">
        <v>24</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2869</v>
      </c>
      <c r="B55" s="184">
        <v>12</v>
      </c>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2870</v>
      </c>
      <c r="B56" s="184">
        <v>6</v>
      </c>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2871</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2872</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2873</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2874</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2875</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2876</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2877</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217" priority="12" stopIfTrue="1" operator="containsText" text="自行计算">
      <formula>NOT(ISERROR(SEARCH("自行计算",T6)))</formula>
    </cfRule>
    <cfRule type="containsText" dxfId="216" priority="13" stopIfTrue="1" operator="containsText" text="自行计算">
      <formula>NOT(ISERROR(SEARCH("自行计算",T6)))</formula>
    </cfRule>
  </conditionalFormatting>
  <conditionalFormatting sqref="T6:T13">
    <cfRule type="containsText" dxfId="215" priority="10" stopIfTrue="1" operator="containsText" text="自行计算">
      <formula>NOT(ISERROR(SEARCH("自行计算",T6)))</formula>
    </cfRule>
    <cfRule type="containsText" dxfId="214" priority="11" stopIfTrue="1" operator="containsText" text="自行计算">
      <formula>NOT(ISERROR(SEARCH("自行计算",T6)))</formula>
    </cfRule>
  </conditionalFormatting>
  <conditionalFormatting sqref="T12:T13">
    <cfRule type="containsText" dxfId="213" priority="4" stopIfTrue="1" operator="containsText" text="自行计算">
      <formula>NOT(ISERROR(SEARCH("自行计算",T12)))</formula>
    </cfRule>
    <cfRule type="containsText" dxfId="212" priority="5" stopIfTrue="1" operator="containsText" text="自行计算">
      <formula>NOT(ISERROR(SEARCH("自行计算",T12)))</formula>
    </cfRule>
  </conditionalFormatting>
  <conditionalFormatting sqref="T12:T13">
    <cfRule type="containsText" dxfId="211" priority="2" stopIfTrue="1" operator="containsText" text="自行计算">
      <formula>NOT(ISERROR(SEARCH("自行计算",T12)))</formula>
    </cfRule>
    <cfRule type="containsText" dxfId="210" priority="3" stopIfTrue="1" operator="containsText" text="自行计算">
      <formula>NOT(ISERROR(SEARCH("自行计算",T12)))</formula>
    </cfRule>
  </conditionalFormatting>
  <conditionalFormatting sqref="T6:T15">
    <cfRule type="expression" dxfId="20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443" t="s">
        <v>1653</v>
      </c>
      <c r="B1" s="3444"/>
      <c r="C1" s="3444"/>
      <c r="D1" s="3444"/>
      <c r="E1" s="3444"/>
      <c r="F1" s="3444"/>
      <c r="G1" s="3444"/>
      <c r="H1" s="3112"/>
      <c r="I1" s="3113"/>
      <c r="J1" s="3114"/>
      <c r="K1" s="3112"/>
      <c r="L1" s="3113"/>
      <c r="M1" s="3114"/>
      <c r="N1" s="3112"/>
      <c r="O1" s="3113"/>
      <c r="P1" s="3114"/>
      <c r="Q1" s="3115"/>
      <c r="R1" s="3116"/>
    </row>
    <row r="2" spans="1:18" ht="14.25" thickBot="1">
      <c r="A2" s="3118"/>
      <c r="B2" s="3119"/>
      <c r="C2" s="3120" t="s">
        <v>1654</v>
      </c>
      <c r="D2" s="3121"/>
      <c r="E2" s="3118"/>
      <c r="F2" s="3122"/>
      <c r="G2" s="3120" t="s">
        <v>1655</v>
      </c>
      <c r="H2" s="3123"/>
      <c r="I2" s="3123"/>
      <c r="J2" s="3123"/>
      <c r="K2" s="3123"/>
      <c r="L2" s="3123"/>
      <c r="M2" s="3123"/>
      <c r="N2" s="3123"/>
      <c r="O2" s="3123"/>
      <c r="P2" s="3123"/>
      <c r="Q2" s="3123"/>
      <c r="R2" s="3123"/>
    </row>
    <row r="3" spans="1:18" ht="40.5">
      <c r="A3" s="3124" t="s">
        <v>1656</v>
      </c>
      <c r="B3" s="3125" t="s">
        <v>1643</v>
      </c>
      <c r="C3" s="3126" t="s">
        <v>2884</v>
      </c>
      <c r="D3" s="3127"/>
      <c r="E3" s="3128" t="s">
        <v>1656</v>
      </c>
      <c r="F3" s="3129" t="s">
        <v>1644</v>
      </c>
      <c r="G3" s="3130" t="s">
        <v>2883</v>
      </c>
      <c r="H3" s="3123"/>
      <c r="I3" s="3123"/>
      <c r="J3" s="3123"/>
      <c r="K3" s="3123"/>
      <c r="L3" s="3123"/>
      <c r="M3" s="3123"/>
      <c r="N3" s="3123"/>
      <c r="O3" s="3123"/>
      <c r="P3" s="3123"/>
      <c r="Q3" s="3123"/>
      <c r="R3" s="3123"/>
    </row>
    <row r="4" spans="1:18" ht="40.5">
      <c r="A4" s="3128"/>
      <c r="B4" s="3131" t="s">
        <v>1657</v>
      </c>
      <c r="C4" s="3132" t="s">
        <v>2885</v>
      </c>
      <c r="D4" s="3127"/>
      <c r="E4" s="3133"/>
      <c r="F4" s="3134" t="s">
        <v>1658</v>
      </c>
      <c r="G4" s="3135" t="s">
        <v>2880</v>
      </c>
      <c r="H4" s="3123"/>
      <c r="I4" s="3123"/>
      <c r="J4" s="3123"/>
      <c r="K4" s="3123"/>
      <c r="L4" s="3123"/>
      <c r="M4" s="3123"/>
      <c r="N4" s="3123"/>
      <c r="O4" s="3123"/>
      <c r="P4" s="3123"/>
      <c r="Q4" s="3123"/>
      <c r="R4" s="3123"/>
    </row>
    <row r="5" spans="1:18" ht="41.25">
      <c r="A5" s="3128"/>
      <c r="B5" s="3131" t="s">
        <v>1659</v>
      </c>
      <c r="C5" s="3132" t="s">
        <v>2886</v>
      </c>
      <c r="D5" s="3127"/>
      <c r="E5" s="3133"/>
      <c r="F5" s="3131" t="s">
        <v>2526</v>
      </c>
      <c r="G5" s="3135" t="s">
        <v>2881</v>
      </c>
      <c r="H5" s="3123"/>
      <c r="I5" s="3123"/>
      <c r="J5" s="3123"/>
      <c r="K5" s="3123"/>
      <c r="L5" s="3123"/>
      <c r="M5" s="3123"/>
      <c r="N5" s="3123"/>
      <c r="O5" s="3123"/>
      <c r="P5" s="3123"/>
      <c r="Q5" s="3123"/>
      <c r="R5" s="3123"/>
    </row>
    <row r="6" spans="1:18" ht="40.5">
      <c r="A6" s="3128"/>
      <c r="B6" s="3131" t="s">
        <v>1645</v>
      </c>
      <c r="C6" s="3135" t="s">
        <v>2880</v>
      </c>
      <c r="D6" s="3127"/>
      <c r="E6" s="3133"/>
      <c r="F6" s="3131" t="s">
        <v>2527</v>
      </c>
      <c r="G6" s="3135" t="s">
        <v>2878</v>
      </c>
      <c r="H6" s="3123"/>
      <c r="I6" s="3123"/>
      <c r="J6" s="3123"/>
      <c r="K6" s="3123"/>
      <c r="L6" s="3123"/>
      <c r="M6" s="3123"/>
      <c r="N6" s="3123"/>
      <c r="O6" s="3123"/>
      <c r="P6" s="3123"/>
      <c r="Q6" s="3123"/>
      <c r="R6" s="3123"/>
    </row>
    <row r="7" spans="1:18" ht="27.75" thickBot="1">
      <c r="A7" s="3128"/>
      <c r="B7" s="3131" t="s">
        <v>2526</v>
      </c>
      <c r="C7" s="3135" t="s">
        <v>2881</v>
      </c>
      <c r="D7" s="3136"/>
      <c r="E7" s="3137"/>
      <c r="F7" s="3138" t="s">
        <v>1660</v>
      </c>
      <c r="G7" s="3139" t="s">
        <v>2882</v>
      </c>
      <c r="H7" s="3123"/>
      <c r="I7" s="3123"/>
      <c r="J7" s="3123"/>
      <c r="K7" s="3123"/>
      <c r="L7" s="3123"/>
      <c r="M7" s="3123"/>
      <c r="N7" s="3123"/>
      <c r="O7" s="3123"/>
      <c r="P7" s="3123"/>
      <c r="Q7" s="3123"/>
      <c r="R7" s="3123"/>
    </row>
    <row r="8" spans="1:18">
      <c r="A8" s="3128"/>
      <c r="B8" s="3131" t="s">
        <v>2527</v>
      </c>
      <c r="C8" s="3135" t="s">
        <v>2878</v>
      </c>
      <c r="D8" s="3136"/>
      <c r="E8" s="3136"/>
      <c r="F8" s="3140"/>
      <c r="G8" s="3140"/>
      <c r="H8" s="3123"/>
      <c r="I8" s="3123"/>
      <c r="J8" s="3123"/>
      <c r="K8" s="3123"/>
      <c r="L8" s="3123"/>
      <c r="M8" s="3123"/>
      <c r="N8" s="3123"/>
      <c r="O8" s="3123"/>
      <c r="P8" s="3123"/>
      <c r="Q8" s="3123"/>
      <c r="R8" s="3123"/>
    </row>
    <row r="9" spans="1:18" ht="27">
      <c r="A9" s="3128"/>
      <c r="B9" s="3131" t="s">
        <v>1646</v>
      </c>
      <c r="C9" s="3132" t="s">
        <v>2879</v>
      </c>
      <c r="D9" s="3127"/>
      <c r="E9" s="3136"/>
      <c r="F9" s="3140"/>
      <c r="G9" s="3140"/>
      <c r="H9" s="3123"/>
      <c r="I9" s="3123"/>
      <c r="J9" s="3123"/>
      <c r="K9" s="3123"/>
      <c r="L9" s="3123"/>
      <c r="M9" s="3123"/>
      <c r="N9" s="3123"/>
      <c r="O9" s="3123"/>
      <c r="P9" s="3123"/>
      <c r="Q9" s="3123"/>
      <c r="R9" s="3123"/>
    </row>
    <row r="10" spans="1:18" s="3147" customFormat="1" ht="15" thickBot="1">
      <c r="A10" s="3141"/>
      <c r="B10" s="3142" t="s">
        <v>1661</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1662</v>
      </c>
      <c r="B13" s="3150"/>
      <c r="C13" s="3150"/>
      <c r="D13" s="3121"/>
      <c r="E13" s="3150"/>
      <c r="F13" s="3150"/>
      <c r="G13" s="3150"/>
    </row>
    <row r="14" spans="1:18" ht="14.25" thickBot="1">
      <c r="A14" s="3162"/>
      <c r="B14" s="3162"/>
      <c r="C14" s="3163" t="s">
        <v>1654</v>
      </c>
      <c r="D14" s="3127"/>
      <c r="E14" s="3164"/>
      <c r="F14" s="3164"/>
      <c r="G14" s="3120" t="s">
        <v>1655</v>
      </c>
    </row>
    <row r="15" spans="1:18" ht="40.5">
      <c r="A15" s="3165" t="s">
        <v>1647</v>
      </c>
      <c r="B15" s="3166" t="s">
        <v>1643</v>
      </c>
      <c r="C15" s="3167" t="str">
        <f>C3</f>
        <v>估价对象周边居住用地比例、居住小区规模和社区发展完善程度，综合评价居住社区成熟度一般</v>
      </c>
      <c r="D15" s="3127"/>
      <c r="E15" s="3168" t="s">
        <v>1648</v>
      </c>
      <c r="F15" s="3166" t="s">
        <v>1663</v>
      </c>
      <c r="G15" s="3169" t="str">
        <f>G3</f>
        <v>估价对象位于XX开发区，园区建设成熟度XX，产业集聚程度XX</v>
      </c>
    </row>
    <row r="16" spans="1:18" ht="40.5">
      <c r="A16" s="3170"/>
      <c r="B16" s="3171" t="s">
        <v>1657</v>
      </c>
      <c r="C16" s="3172" t="str">
        <f>C4</f>
        <v>估价对象位于XX商圈，周边商业氛围成熟，人流量大，商业繁华度好</v>
      </c>
      <c r="D16" s="3127"/>
      <c r="E16" s="3173"/>
      <c r="F16" s="3174" t="s">
        <v>1658</v>
      </c>
      <c r="G16" s="3175" t="str">
        <f>G4</f>
        <v>估价对象周边道路状况、公共交通通达情况、停车便捷程度，综合评价交通便捷度较好</v>
      </c>
    </row>
    <row r="17" spans="1:7" ht="40.5">
      <c r="A17" s="3170"/>
      <c r="B17" s="3171" t="s">
        <v>1659</v>
      </c>
      <c r="C17" s="3172" t="str">
        <f>C5</f>
        <v>估价对象位于XX商圈，周边办公楼项目较多，入驻率高，办公集聚程度较好</v>
      </c>
      <c r="D17" s="3136"/>
      <c r="E17" s="3173"/>
      <c r="F17" s="3174" t="s">
        <v>1664</v>
      </c>
      <c r="G17" s="3176"/>
    </row>
    <row r="18" spans="1:7" ht="40.5">
      <c r="A18" s="3170"/>
      <c r="B18" s="3174" t="s">
        <v>1645</v>
      </c>
      <c r="C18" s="3175" t="str">
        <f>C6</f>
        <v>估价对象周边道路状况、公共交通通达情况、停车便捷程度，综合评价交通便捷度较好</v>
      </c>
      <c r="D18" s="3136"/>
      <c r="E18" s="3173"/>
      <c r="F18" s="3174" t="s">
        <v>1660</v>
      </c>
      <c r="G18" s="3175" t="str">
        <f>G7</f>
        <v>该园区内是否有污染型企业，绿化情况，卫生条件，整体环境状况判断</v>
      </c>
    </row>
    <row r="19" spans="1:7" ht="27">
      <c r="A19" s="3170"/>
      <c r="B19" s="3174" t="s">
        <v>1649</v>
      </c>
      <c r="C19" s="3176"/>
      <c r="D19" s="3127"/>
      <c r="E19" s="3173"/>
      <c r="F19" s="3131" t="s">
        <v>2526</v>
      </c>
      <c r="G19" s="3175" t="str">
        <f>G5</f>
        <v>估价对象所在区域公共配套设施齐备情况</v>
      </c>
    </row>
    <row r="20" spans="1:7" ht="27">
      <c r="A20" s="3170"/>
      <c r="B20" s="3174" t="s">
        <v>1650</v>
      </c>
      <c r="C20" s="3172" t="str">
        <f>C9</f>
        <v>区域自然环境：；人文环境；综合评价环境状况一般</v>
      </c>
      <c r="D20" s="3136"/>
      <c r="E20" s="3173"/>
      <c r="F20" s="3131" t="s">
        <v>2527</v>
      </c>
      <c r="G20" s="3175" t="str">
        <f>G6</f>
        <v>估价对象所在区域基础设施水平</v>
      </c>
    </row>
    <row r="21" spans="1:7" ht="27">
      <c r="A21" s="3170"/>
      <c r="B21" s="3131" t="s">
        <v>2526</v>
      </c>
      <c r="C21" s="3175" t="str">
        <f>C7</f>
        <v>估价对象所在区域公共配套设施齐备情况</v>
      </c>
      <c r="D21" s="3127"/>
      <c r="E21" s="3173"/>
      <c r="F21" s="3174" t="s">
        <v>1651</v>
      </c>
      <c r="G21" s="3177"/>
    </row>
    <row r="22" spans="1:7" ht="14.25">
      <c r="A22" s="3170"/>
      <c r="B22" s="3131" t="s">
        <v>2527</v>
      </c>
      <c r="C22" s="3175" t="str">
        <f>C8</f>
        <v>估价对象所在区域基础设施水平</v>
      </c>
      <c r="D22" s="3127"/>
      <c r="E22" s="3173"/>
      <c r="F22" s="3174" t="s">
        <v>1661</v>
      </c>
      <c r="G22" s="3176"/>
    </row>
    <row r="23" spans="1:7" ht="15" thickBot="1">
      <c r="A23" s="3170"/>
      <c r="B23" s="3174" t="s">
        <v>1651</v>
      </c>
      <c r="C23" s="3177"/>
      <c r="E23" s="3178"/>
      <c r="F23" s="3179" t="s">
        <v>1665</v>
      </c>
      <c r="G23" s="3180"/>
    </row>
    <row r="24" spans="1:7" ht="14.25" thickBot="1">
      <c r="A24" s="3181"/>
      <c r="B24" s="3179" t="s">
        <v>1652</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0"/>
  <sheetViews>
    <sheetView tabSelected="1" view="pageBreakPreview" zoomScale="80" zoomScaleNormal="80" zoomScaleSheetLayoutView="80" workbookViewId="0">
      <selection activeCell="C30" sqref="C30"/>
    </sheetView>
  </sheetViews>
  <sheetFormatPr defaultColWidth="14.625" defaultRowHeight="13.5"/>
  <cols>
    <col min="1" max="1" width="24.375" style="3186" customWidth="1"/>
    <col min="2" max="16384" width="14.625" style="3186"/>
  </cols>
  <sheetData>
    <row r="1" spans="1:10" ht="16.5">
      <c r="A1" s="3185" t="s">
        <v>2822</v>
      </c>
      <c r="B1" s="3185">
        <f>SUM(B14:B23)</f>
        <v>494275.11</v>
      </c>
      <c r="C1" s="3194"/>
      <c r="D1" s="3194"/>
      <c r="E1" s="3194"/>
      <c r="F1" s="3194"/>
      <c r="G1" s="3195"/>
      <c r="H1" s="3195"/>
      <c r="I1" s="3195"/>
      <c r="J1" s="3195"/>
    </row>
    <row r="2" spans="1:10" ht="16.5">
      <c r="A2" s="3185" t="s">
        <v>2823</v>
      </c>
      <c r="B2" s="3185">
        <f>SUM(C14:C23)</f>
        <v>170248.81</v>
      </c>
      <c r="C2" s="3194"/>
      <c r="D2" s="3194"/>
      <c r="E2" s="3194"/>
      <c r="F2" s="3194"/>
      <c r="G2" s="3195"/>
      <c r="H2" s="3195"/>
      <c r="I2" s="3195"/>
      <c r="J2" s="3195"/>
    </row>
    <row r="3" spans="1:10" ht="16.5">
      <c r="A3" s="3185" t="s">
        <v>2824</v>
      </c>
      <c r="B3" s="3187">
        <f>项目基本情况!D3</f>
        <v>44258</v>
      </c>
      <c r="C3" s="3194"/>
      <c r="D3" s="3194"/>
      <c r="E3" s="3194"/>
      <c r="F3" s="3194"/>
      <c r="G3" s="3195"/>
      <c r="H3" s="3195"/>
      <c r="I3" s="3195"/>
      <c r="J3" s="3195"/>
    </row>
    <row r="4" spans="1:10" ht="33">
      <c r="A4" s="3185" t="s">
        <v>2825</v>
      </c>
      <c r="B4" s="3185" t="s">
        <v>2826</v>
      </c>
      <c r="C4" s="3185" t="s">
        <v>2827</v>
      </c>
      <c r="D4" s="3185" t="s">
        <v>2828</v>
      </c>
      <c r="E4" s="3194"/>
      <c r="F4" s="3194"/>
      <c r="G4" s="3195"/>
      <c r="H4" s="3195"/>
      <c r="I4" s="3195"/>
      <c r="J4" s="3195"/>
    </row>
    <row r="5" spans="1:10" ht="16.5">
      <c r="A5" s="3185" t="s">
        <v>2829</v>
      </c>
      <c r="B5" s="3185">
        <f ca="1">SUM(D14:D23)</f>
        <v>105924</v>
      </c>
      <c r="C5" s="3185">
        <f ca="1">ROUND(B5*10000/$B$1,0)</f>
        <v>2143</v>
      </c>
      <c r="D5" s="3185">
        <f ca="1">ROUND(B5*10000/$B$2,0)</f>
        <v>6222</v>
      </c>
      <c r="E5" s="3194"/>
      <c r="F5" s="3194"/>
      <c r="G5" s="3195"/>
      <c r="H5" s="3195"/>
      <c r="I5" s="3195"/>
      <c r="J5" s="3195"/>
    </row>
    <row r="6" spans="1:10" ht="16.5">
      <c r="A6" s="3185" t="s">
        <v>2830</v>
      </c>
      <c r="B6" s="3185">
        <f ca="1">SUM(G14:G23)</f>
        <v>105924</v>
      </c>
      <c r="C6" s="3185">
        <f t="shared" ref="C6:C8" ca="1" si="0">ROUND(B6*10000/$B$1,0)</f>
        <v>2143</v>
      </c>
      <c r="D6" s="3185">
        <f t="shared" ref="D6:D8" ca="1" si="1">ROUND(B6*10000/$B$2,0)</f>
        <v>6222</v>
      </c>
      <c r="E6" s="3194"/>
      <c r="F6" s="3194"/>
      <c r="G6" s="3195"/>
      <c r="H6" s="3195"/>
      <c r="I6" s="3195"/>
      <c r="J6" s="3195"/>
    </row>
    <row r="7" spans="1:10" ht="16.5">
      <c r="A7" s="3185" t="s">
        <v>2831</v>
      </c>
      <c r="B7" s="3185">
        <f>SUM(H14:H23)</f>
        <v>0</v>
      </c>
      <c r="C7" s="3185">
        <f t="shared" si="0"/>
        <v>0</v>
      </c>
      <c r="D7" s="3185">
        <f t="shared" si="1"/>
        <v>0</v>
      </c>
      <c r="E7" s="3194"/>
      <c r="F7" s="3194"/>
      <c r="G7" s="3195"/>
      <c r="H7" s="3195"/>
      <c r="I7" s="3195"/>
      <c r="J7" s="3195"/>
    </row>
    <row r="8" spans="1:10" ht="16.5">
      <c r="A8" s="3185" t="s">
        <v>2832</v>
      </c>
      <c r="B8" s="3185">
        <f ca="1">SUM(I14:I23)</f>
        <v>93559</v>
      </c>
      <c r="C8" s="3185">
        <f t="shared" ca="1" si="0"/>
        <v>1893</v>
      </c>
      <c r="D8" s="3185">
        <f t="shared" ca="1" si="1"/>
        <v>5495</v>
      </c>
      <c r="E8" s="3194"/>
      <c r="F8" s="3194"/>
      <c r="G8" s="3195"/>
      <c r="H8" s="3195"/>
      <c r="I8" s="3195"/>
      <c r="J8" s="3195"/>
    </row>
    <row r="9" spans="1:10" ht="16.5">
      <c r="A9" s="3185" t="s">
        <v>2833</v>
      </c>
      <c r="B9" s="3193"/>
      <c r="C9" s="3194"/>
      <c r="D9" s="3194"/>
      <c r="E9" s="3194"/>
      <c r="F9" s="3194"/>
      <c r="G9" s="3195"/>
      <c r="H9" s="3195"/>
      <c r="I9" s="3195"/>
      <c r="J9" s="3195"/>
    </row>
    <row r="10" spans="1:10" ht="16.5">
      <c r="A10" s="3185" t="s">
        <v>2834</v>
      </c>
      <c r="B10" s="3193"/>
      <c r="C10" s="3194"/>
      <c r="D10" s="3194"/>
      <c r="E10" s="3194"/>
      <c r="F10" s="3194"/>
      <c r="G10" s="3195"/>
      <c r="H10" s="3195"/>
      <c r="I10" s="3195"/>
      <c r="J10" s="3195"/>
    </row>
    <row r="11" spans="1:10" ht="16.5">
      <c r="A11" s="3185" t="s">
        <v>2847</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2846</v>
      </c>
      <c r="B13" s="3189" t="s">
        <v>2822</v>
      </c>
      <c r="C13" s="3189" t="s">
        <v>2823</v>
      </c>
      <c r="D13" s="3189" t="s">
        <v>2835</v>
      </c>
      <c r="E13" s="3185" t="s">
        <v>2845</v>
      </c>
      <c r="F13" s="3185" t="s">
        <v>2828</v>
      </c>
      <c r="G13" s="3189" t="s">
        <v>2836</v>
      </c>
      <c r="H13" s="3189" t="s">
        <v>2837</v>
      </c>
      <c r="I13" s="3189" t="s">
        <v>2838</v>
      </c>
      <c r="J13" s="3195"/>
    </row>
    <row r="14" spans="1:10" ht="16.5">
      <c r="A14" s="3190" t="s">
        <v>3172</v>
      </c>
      <c r="B14" s="3191">
        <f>结果表!L38</f>
        <v>136066.92000000001</v>
      </c>
      <c r="C14" s="3191">
        <f>结果表!K38</f>
        <v>54426.77</v>
      </c>
      <c r="D14" s="3191">
        <f ca="1">典型户型修正!S24</f>
        <v>31187</v>
      </c>
      <c r="E14" s="3191">
        <f ca="1">ROUND(D14*10000/B14,0)</f>
        <v>2292</v>
      </c>
      <c r="F14" s="3191">
        <f ca="1">ROUND(D14*10000/C14,0)</f>
        <v>5730</v>
      </c>
      <c r="G14" s="3191">
        <f ca="1">D14</f>
        <v>31187</v>
      </c>
      <c r="H14" s="3191" t="str">
        <f>结果表!C45</f>
        <v>——</v>
      </c>
      <c r="I14" s="3191">
        <f ca="1">结果表!G116</f>
        <v>28376</v>
      </c>
      <c r="J14" s="3195"/>
    </row>
    <row r="15" spans="1:10" ht="16.5">
      <c r="A15" s="3190" t="s">
        <v>2839</v>
      </c>
      <c r="B15" s="3192"/>
      <c r="C15" s="3192"/>
      <c r="D15" s="3192"/>
      <c r="E15" s="3191" t="e">
        <f t="shared" ref="E15:E23" si="2">ROUND(D15*10000/B15,0)</f>
        <v>#DIV/0!</v>
      </c>
      <c r="F15" s="3191" t="e">
        <f t="shared" ref="F15:F23" si="3">ROUND(D15*10000/C15,0)</f>
        <v>#DIV/0!</v>
      </c>
      <c r="G15" s="2757">
        <f>D15</f>
        <v>0</v>
      </c>
      <c r="H15" s="2757"/>
      <c r="I15" s="3192"/>
      <c r="J15" s="3195"/>
    </row>
    <row r="16" spans="1:10" ht="16.5">
      <c r="A16" s="3190" t="s">
        <v>3173</v>
      </c>
      <c r="B16" s="3192">
        <f>C16*2.5</f>
        <v>140477.15</v>
      </c>
      <c r="C16" s="3192">
        <v>56190.86</v>
      </c>
      <c r="D16" s="3192">
        <f ca="1">典型户型修正!S26</f>
        <v>32197</v>
      </c>
      <c r="E16" s="3191">
        <f t="shared" ca="1" si="2"/>
        <v>2292</v>
      </c>
      <c r="F16" s="3191">
        <f t="shared" ca="1" si="3"/>
        <v>5730</v>
      </c>
      <c r="G16" s="2757">
        <f ca="1">D16</f>
        <v>32197</v>
      </c>
      <c r="H16" s="2757"/>
      <c r="I16" s="3192">
        <f ca="1">'结果表-24净值'!N69-'结果表-24净值'!N74</f>
        <v>29295</v>
      </c>
      <c r="J16" s="3195"/>
    </row>
    <row r="17" spans="1:10" ht="16.5">
      <c r="A17" s="3190" t="s">
        <v>3174</v>
      </c>
      <c r="B17" s="3192">
        <f>C17*2.5</f>
        <v>94559.599999999991</v>
      </c>
      <c r="C17" s="3192">
        <v>37823.839999999997</v>
      </c>
      <c r="D17" s="3192">
        <f ca="1">典型户型修正!S27</f>
        <v>21238</v>
      </c>
      <c r="E17" s="3191">
        <f t="shared" ca="1" si="2"/>
        <v>2246</v>
      </c>
      <c r="F17" s="3191">
        <f t="shared" ca="1" si="3"/>
        <v>5615</v>
      </c>
      <c r="G17" s="2757">
        <f ca="1">D17</f>
        <v>21238</v>
      </c>
      <c r="H17" s="2757"/>
      <c r="I17" s="3192">
        <f ca="1">'结果表-27净值'!N69-'结果表-27净值'!N74</f>
        <v>19408</v>
      </c>
      <c r="J17" s="3195"/>
    </row>
    <row r="18" spans="1:10" ht="16.5">
      <c r="A18" s="3190" t="s">
        <v>3175</v>
      </c>
      <c r="B18" s="3192">
        <f>[1]系统读取表!$B$14</f>
        <v>123171.43999999999</v>
      </c>
      <c r="C18" s="3192">
        <f>[1]系统读取表!$C$14</f>
        <v>21807.34</v>
      </c>
      <c r="D18" s="3192">
        <f>[2]系统读取表!$D$14</f>
        <v>21302</v>
      </c>
      <c r="E18" s="3191">
        <f t="shared" si="2"/>
        <v>1729</v>
      </c>
      <c r="F18" s="3191">
        <f t="shared" si="3"/>
        <v>9768</v>
      </c>
      <c r="G18" s="3192">
        <f>D18</f>
        <v>21302</v>
      </c>
      <c r="H18" s="3192"/>
      <c r="I18" s="3192">
        <f>[2]系统读取表!$I$14</f>
        <v>16480</v>
      </c>
      <c r="J18" s="3195"/>
    </row>
    <row r="19" spans="1:10" ht="16.5">
      <c r="A19" s="3190" t="s">
        <v>2840</v>
      </c>
      <c r="B19" s="3192"/>
      <c r="C19" s="3192"/>
      <c r="D19" s="3192"/>
      <c r="E19" s="3191" t="e">
        <f t="shared" si="2"/>
        <v>#DIV/0!</v>
      </c>
      <c r="F19" s="3191" t="e">
        <f t="shared" si="3"/>
        <v>#DIV/0!</v>
      </c>
      <c r="G19" s="3192"/>
      <c r="H19" s="3192"/>
      <c r="I19" s="3192"/>
      <c r="J19" s="3195"/>
    </row>
    <row r="20" spans="1:10" ht="16.5">
      <c r="A20" s="3190" t="s">
        <v>2841</v>
      </c>
      <c r="B20" s="3192"/>
      <c r="C20" s="3192"/>
      <c r="D20" s="3192"/>
      <c r="E20" s="3191" t="e">
        <f t="shared" si="2"/>
        <v>#DIV/0!</v>
      </c>
      <c r="F20" s="3191" t="e">
        <f t="shared" si="3"/>
        <v>#DIV/0!</v>
      </c>
      <c r="G20" s="3192"/>
      <c r="H20" s="3192"/>
      <c r="I20" s="3192"/>
      <c r="J20" s="3195"/>
    </row>
    <row r="21" spans="1:10" ht="16.5">
      <c r="A21" s="3190" t="s">
        <v>2842</v>
      </c>
      <c r="B21" s="3192"/>
      <c r="C21" s="3192"/>
      <c r="D21" s="3192"/>
      <c r="E21" s="3191" t="e">
        <f t="shared" si="2"/>
        <v>#DIV/0!</v>
      </c>
      <c r="F21" s="3191" t="e">
        <f t="shared" si="3"/>
        <v>#DIV/0!</v>
      </c>
      <c r="G21" s="3192"/>
      <c r="H21" s="3192"/>
      <c r="I21" s="3192"/>
      <c r="J21" s="3195"/>
    </row>
    <row r="22" spans="1:10" ht="16.5">
      <c r="A22" s="3190" t="s">
        <v>2843</v>
      </c>
      <c r="B22" s="3192"/>
      <c r="C22" s="3192"/>
      <c r="D22" s="3192"/>
      <c r="E22" s="3191" t="e">
        <f t="shared" si="2"/>
        <v>#DIV/0!</v>
      </c>
      <c r="F22" s="3191" t="e">
        <f t="shared" si="3"/>
        <v>#DIV/0!</v>
      </c>
      <c r="G22" s="3192"/>
      <c r="H22" s="3192"/>
      <c r="I22" s="3192"/>
      <c r="J22" s="3195"/>
    </row>
    <row r="23" spans="1:10" ht="16.5">
      <c r="A23" s="3190" t="s">
        <v>2844</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row r="30" spans="1:10">
      <c r="E30" s="3186">
        <f>[2]结果表!$K$19</f>
        <v>2328</v>
      </c>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J31" zoomScale="90" zoomScaleNormal="100" zoomScaleSheetLayoutView="90" zoomScalePageLayoutView="80" workbookViewId="0">
      <selection activeCell="J48" sqref="J48"/>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89" t="str">
        <f>项目基本情况!K2</f>
        <v>出让国有建设用地使用权</v>
      </c>
      <c r="B2" s="3490"/>
      <c r="C2" s="3491"/>
      <c r="D2" s="3491"/>
      <c r="E2" s="3491"/>
      <c r="F2" s="3491"/>
      <c r="G2" s="3490"/>
      <c r="H2" s="3490"/>
      <c r="I2" s="3492"/>
      <c r="J2" s="1912"/>
      <c r="K2" s="1911"/>
      <c r="L2" s="1911"/>
      <c r="M2" s="1911"/>
      <c r="N2" s="1911"/>
      <c r="O2" s="1911"/>
      <c r="P2" s="1911"/>
      <c r="Q2" s="1911"/>
      <c r="R2" s="1911"/>
      <c r="S2" s="1911"/>
      <c r="T2" s="1911"/>
      <c r="U2" s="1911"/>
      <c r="V2" s="1911"/>
    </row>
    <row r="3" spans="1:22" ht="14.25">
      <c r="A3" s="3500" t="s">
        <v>298</v>
      </c>
      <c r="B3" s="3501"/>
      <c r="C3" s="3501"/>
      <c r="D3" s="3501"/>
      <c r="E3" s="3501"/>
      <c r="F3" s="3501"/>
      <c r="G3" s="3501"/>
      <c r="H3" s="3501"/>
      <c r="I3" s="3501"/>
      <c r="J3" s="1912"/>
      <c r="K3" s="1911"/>
      <c r="L3" s="1911"/>
      <c r="M3" s="1911"/>
      <c r="N3" s="1911"/>
      <c r="O3" s="1911"/>
      <c r="P3" s="1911"/>
      <c r="Q3" s="1911"/>
      <c r="R3" s="1911"/>
      <c r="S3" s="1911"/>
      <c r="T3" s="1911"/>
      <c r="U3" s="1911"/>
      <c r="V3" s="1911"/>
    </row>
    <row r="4" spans="1:22" ht="14.25">
      <c r="A4" s="256" t="s">
        <v>299</v>
      </c>
      <c r="B4" s="257" t="s">
        <v>300</v>
      </c>
      <c r="C4" s="258" t="s">
        <v>3137</v>
      </c>
      <c r="D4" s="258" t="s">
        <v>3138</v>
      </c>
      <c r="E4" s="3464" t="s">
        <v>301</v>
      </c>
      <c r="F4" s="3506"/>
      <c r="G4" s="3506"/>
      <c r="H4" s="3506"/>
      <c r="I4" s="3465"/>
      <c r="J4" s="1912"/>
      <c r="K4" s="1911"/>
      <c r="L4" s="3196"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93" t="s">
        <v>302</v>
      </c>
      <c r="B5" s="3494">
        <v>25</v>
      </c>
      <c r="C5" s="3502"/>
      <c r="D5" s="3505"/>
      <c r="E5" s="259" t="s">
        <v>303</v>
      </c>
      <c r="F5" s="260"/>
      <c r="G5" s="260"/>
      <c r="H5" s="260"/>
      <c r="I5" s="261"/>
      <c r="J5" s="1912"/>
      <c r="K5" s="1911"/>
      <c r="L5" s="1911"/>
      <c r="M5" s="1911"/>
      <c r="N5" s="1911"/>
      <c r="O5" s="1911"/>
      <c r="P5" s="1911"/>
      <c r="Q5" s="1911"/>
      <c r="R5" s="1911"/>
      <c r="S5" s="1911"/>
      <c r="T5" s="1911"/>
      <c r="U5" s="1911"/>
      <c r="V5" s="1911"/>
    </row>
    <row r="6" spans="1:22" ht="14.25">
      <c r="A6" s="3493"/>
      <c r="B6" s="3494"/>
      <c r="C6" s="3503"/>
      <c r="D6" s="3505"/>
      <c r="E6" s="259" t="s">
        <v>304</v>
      </c>
      <c r="F6" s="260"/>
      <c r="G6" s="260"/>
      <c r="H6" s="260"/>
      <c r="I6" s="261"/>
      <c r="J6" s="1912"/>
      <c r="K6" s="1911"/>
      <c r="L6" s="1911"/>
      <c r="M6" s="1911"/>
      <c r="N6" s="1911"/>
      <c r="O6" s="1911"/>
      <c r="P6" s="1911"/>
      <c r="Q6" s="1911"/>
      <c r="R6" s="1911"/>
      <c r="S6" s="1911"/>
      <c r="T6" s="1911"/>
      <c r="U6" s="1911"/>
      <c r="V6" s="1911"/>
    </row>
    <row r="7" spans="1:22" ht="14.25">
      <c r="A7" s="3493"/>
      <c r="B7" s="3494"/>
      <c r="C7" s="3504"/>
      <c r="D7" s="3505"/>
      <c r="E7" s="259" t="s">
        <v>305</v>
      </c>
      <c r="F7" s="260"/>
      <c r="G7" s="260"/>
      <c r="H7" s="260"/>
      <c r="I7" s="261"/>
      <c r="J7" s="1912"/>
      <c r="K7" s="1911"/>
      <c r="L7" s="1911"/>
      <c r="M7" s="1911"/>
      <c r="N7" s="1911"/>
      <c r="O7" s="1911"/>
      <c r="P7" s="1911"/>
      <c r="Q7" s="1911"/>
      <c r="R7" s="1911"/>
      <c r="S7" s="1911"/>
      <c r="T7" s="1911"/>
      <c r="U7" s="1911"/>
      <c r="V7" s="1911"/>
    </row>
    <row r="8" spans="1:22" ht="14.25">
      <c r="A8" s="3493" t="s">
        <v>306</v>
      </c>
      <c r="B8" s="3494">
        <v>15</v>
      </c>
      <c r="C8" s="3502"/>
      <c r="D8" s="3505"/>
      <c r="E8" s="259" t="s">
        <v>307</v>
      </c>
      <c r="F8" s="260"/>
      <c r="G8" s="260"/>
      <c r="H8" s="260"/>
      <c r="I8" s="261"/>
      <c r="J8" s="1912"/>
      <c r="K8" s="1911"/>
      <c r="L8" s="1911"/>
      <c r="M8" s="1911"/>
      <c r="N8" s="1911"/>
      <c r="O8" s="1911"/>
      <c r="P8" s="1911"/>
      <c r="Q8" s="1911"/>
      <c r="R8" s="1911"/>
      <c r="S8" s="1911"/>
      <c r="T8" s="1911"/>
      <c r="U8" s="1911"/>
      <c r="V8" s="1911"/>
    </row>
    <row r="9" spans="1:22" ht="14.25">
      <c r="A9" s="3493"/>
      <c r="B9" s="3494"/>
      <c r="C9" s="3504"/>
      <c r="D9" s="3505"/>
      <c r="E9" s="259" t="s">
        <v>308</v>
      </c>
      <c r="F9" s="260"/>
      <c r="G9" s="260"/>
      <c r="H9" s="260"/>
      <c r="I9" s="261"/>
      <c r="J9" s="1912"/>
      <c r="K9" s="1911"/>
      <c r="L9" s="1911"/>
      <c r="M9" s="1911"/>
      <c r="N9" s="1911"/>
      <c r="O9" s="1911"/>
      <c r="P9" s="1911"/>
      <c r="Q9" s="1911"/>
      <c r="R9" s="1911"/>
      <c r="S9" s="1911"/>
      <c r="T9" s="1911"/>
      <c r="U9" s="1911"/>
      <c r="V9" s="1911"/>
    </row>
    <row r="10" spans="1:22" ht="14.25">
      <c r="A10" s="3493" t="s">
        <v>309</v>
      </c>
      <c r="B10" s="3494">
        <v>15</v>
      </c>
      <c r="C10" s="3502"/>
      <c r="D10" s="3505"/>
      <c r="E10" s="259" t="s">
        <v>310</v>
      </c>
      <c r="F10" s="260"/>
      <c r="G10" s="260"/>
      <c r="H10" s="260"/>
      <c r="I10" s="261"/>
      <c r="J10" s="1912"/>
      <c r="K10" s="1911"/>
      <c r="L10" s="1911"/>
      <c r="M10" s="1911"/>
      <c r="N10" s="1911"/>
      <c r="O10" s="1911"/>
      <c r="P10" s="1911"/>
      <c r="Q10" s="1911"/>
      <c r="R10" s="1911"/>
      <c r="S10" s="1911"/>
      <c r="T10" s="1911"/>
      <c r="U10" s="1911"/>
      <c r="V10" s="1911"/>
    </row>
    <row r="11" spans="1:22" ht="14.25">
      <c r="A11" s="3493"/>
      <c r="B11" s="3494"/>
      <c r="C11" s="3504"/>
      <c r="D11" s="3505"/>
      <c r="E11" s="259" t="s">
        <v>311</v>
      </c>
      <c r="F11" s="260"/>
      <c r="G11" s="260"/>
      <c r="H11" s="260"/>
      <c r="I11" s="261"/>
      <c r="J11" s="1912"/>
      <c r="K11" s="1911"/>
      <c r="L11" s="1911"/>
      <c r="M11" s="1911"/>
      <c r="N11" s="1911"/>
      <c r="O11" s="1911"/>
      <c r="P11" s="1911"/>
      <c r="Q11" s="1911"/>
      <c r="R11" s="1911"/>
      <c r="S11" s="1911"/>
      <c r="T11" s="1911"/>
      <c r="U11" s="1911"/>
      <c r="V11" s="1911"/>
    </row>
    <row r="12" spans="1:22" ht="14.25">
      <c r="A12" s="3493" t="s">
        <v>312</v>
      </c>
      <c r="B12" s="3494">
        <v>15</v>
      </c>
      <c r="C12" s="3502"/>
      <c r="D12" s="3505"/>
      <c r="E12" s="259" t="s">
        <v>313</v>
      </c>
      <c r="F12" s="260"/>
      <c r="G12" s="260"/>
      <c r="H12" s="260"/>
      <c r="I12" s="261"/>
      <c r="J12" s="1912"/>
      <c r="K12" s="1911"/>
      <c r="L12" s="1911"/>
      <c r="M12" s="1911"/>
      <c r="N12" s="1911"/>
      <c r="O12" s="1911"/>
      <c r="P12" s="1911"/>
      <c r="Q12" s="1911"/>
      <c r="R12" s="1911"/>
      <c r="S12" s="1911"/>
      <c r="T12" s="1911"/>
      <c r="U12" s="1911"/>
      <c r="V12" s="1911"/>
    </row>
    <row r="13" spans="1:22" ht="14.25">
      <c r="A13" s="3493"/>
      <c r="B13" s="3494"/>
      <c r="C13" s="3504"/>
      <c r="D13" s="3505"/>
      <c r="E13" s="259" t="s">
        <v>314</v>
      </c>
      <c r="F13" s="260"/>
      <c r="G13" s="260"/>
      <c r="H13" s="260"/>
      <c r="I13" s="261"/>
      <c r="J13" s="1912"/>
      <c r="K13" s="1911"/>
      <c r="L13" s="1911"/>
      <c r="M13" s="1911"/>
      <c r="N13" s="1911"/>
      <c r="O13" s="1911"/>
      <c r="P13" s="1911"/>
      <c r="Q13" s="1911"/>
      <c r="R13" s="1911"/>
      <c r="S13" s="1911"/>
      <c r="T13" s="1911"/>
      <c r="U13" s="1911"/>
      <c r="V13" s="1911"/>
    </row>
    <row r="14" spans="1:22" ht="14.25">
      <c r="A14" s="3493" t="s">
        <v>315</v>
      </c>
      <c r="B14" s="3494">
        <v>30</v>
      </c>
      <c r="C14" s="3502">
        <v>6</v>
      </c>
      <c r="D14" s="3505">
        <v>4</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93"/>
      <c r="B15" s="3494"/>
      <c r="C15" s="3503"/>
      <c r="D15" s="3505"/>
      <c r="E15" s="259" t="s">
        <v>317</v>
      </c>
      <c r="F15" s="260"/>
      <c r="G15" s="260"/>
      <c r="H15" s="260"/>
      <c r="I15" s="261"/>
      <c r="J15" s="1912"/>
      <c r="K15" s="1911"/>
      <c r="L15" s="1911"/>
      <c r="M15" s="1911"/>
      <c r="N15" s="1911"/>
      <c r="O15" s="1911"/>
      <c r="P15" s="1911"/>
      <c r="Q15" s="1911"/>
      <c r="R15" s="1911"/>
      <c r="S15" s="1911"/>
      <c r="T15" s="1911"/>
      <c r="U15" s="1911"/>
      <c r="V15" s="1911"/>
    </row>
    <row r="16" spans="1:22" ht="14.25">
      <c r="A16" s="3493"/>
      <c r="B16" s="3494"/>
      <c r="C16" s="3504"/>
      <c r="D16" s="3505"/>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6</v>
      </c>
      <c r="D17" s="263">
        <f>SUM(D5:D16)</f>
        <v>4</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0.6</v>
      </c>
      <c r="D18" s="265">
        <f>1-C18</f>
        <v>0.4</v>
      </c>
      <c r="E18" s="3507" t="s">
        <v>2958</v>
      </c>
      <c r="F18" s="3508"/>
      <c r="G18" s="3508"/>
      <c r="H18" s="3508"/>
      <c r="I18" s="3508"/>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25812</v>
      </c>
      <c r="D19" s="269">
        <f ca="1">SUMIF(INDIRECT("'"&amp;D4&amp;"'"&amp;"!A:A"),结果表!B19,INDIRECT("'"&amp;D4&amp;"'"&amp;"!B:B"))</f>
        <v>39248</v>
      </c>
      <c r="E19" s="266" t="s">
        <v>323</v>
      </c>
      <c r="F19" s="267" t="s">
        <v>322</v>
      </c>
      <c r="G19" s="270">
        <f ca="1">ROUND(C19*$C$18+D19*$D$18,0)</f>
        <v>31186</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1897</v>
      </c>
      <c r="D20" s="275">
        <f ca="1">SUMIF(INDIRECT("'"&amp;D4&amp;"'"&amp;"!A:A"),结果表!B20,INDIRECT("'"&amp;D4&amp;"'"&amp;"!B:B"))</f>
        <v>2884</v>
      </c>
      <c r="E20" s="272"/>
      <c r="F20" s="273" t="s">
        <v>325</v>
      </c>
      <c r="G20" s="276">
        <f ca="1">ROUND(C20*$C$18+D20*$D$18,0)</f>
        <v>2292</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4743</v>
      </c>
      <c r="D21" s="149">
        <f ca="1">SUMIF(INDIRECT("'"&amp;D4&amp;"'"&amp;"!A:A"),结果表!B21,INDIRECT("'"&amp;D4&amp;"'"&amp;"!B:B"))</f>
        <v>7211</v>
      </c>
      <c r="E21" s="272"/>
      <c r="F21" s="278" t="s">
        <v>327</v>
      </c>
      <c r="G21" s="280">
        <f ca="1">ROUND(C21*$C$18+D21*$D$18,0)</f>
        <v>5730</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0.52053308538664189</v>
      </c>
      <c r="E22" s="282"/>
      <c r="F22" s="283"/>
      <c r="G22" s="284">
        <f ca="1">ROUND(G19/('数据-汇总表'!D3/666.67),0)</f>
        <v>382</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66"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513"/>
      <c r="B25" s="1274" t="s">
        <v>331</v>
      </c>
      <c r="C25" s="288">
        <f>IF(B30=0,0,C30)</f>
        <v>0</v>
      </c>
      <c r="D25" s="289"/>
      <c r="E25" s="309"/>
      <c r="F25" s="309"/>
      <c r="G25" s="309"/>
      <c r="H25" s="309"/>
      <c r="I25" s="309"/>
      <c r="J25" s="1911"/>
      <c r="K25" s="1208" t="str">
        <f ca="1">项目基本情况!B16&amp;"国有建设用地使用权价格："&amp;O38&amp;"万元"</f>
        <v>出让国有建设用地使用权价格：31186万元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大写金额：人民币叁亿壹仟壹佰捌拾陆万元整</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str">
        <f ca="1">"单位面积地价："&amp;M38&amp;"元/平方米"</f>
        <v>单位面积地价：5730元/平方米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楼面地价：2292元/平方米</v>
      </c>
      <c r="L28" s="1205"/>
      <c r="M28" s="1205"/>
      <c r="N28" s="1205"/>
      <c r="O28" s="1204"/>
      <c r="P28" s="1911"/>
      <c r="V28" s="1911"/>
    </row>
    <row r="29" spans="1:26" ht="18">
      <c r="A29" s="291"/>
      <c r="B29" s="292"/>
      <c r="C29" s="292"/>
      <c r="D29" s="293"/>
      <c r="E29" s="309"/>
      <c r="F29" s="309"/>
      <c r="G29" s="309"/>
      <c r="H29" s="309"/>
      <c r="I29" s="309"/>
      <c r="J29" s="1911"/>
      <c r="K29" s="1211" t="str">
        <f ca="1">IF(OR(项目基本情况!E8="抵押价格",项目基本情况!E8="已注销及未注销"),"抵押价格："&amp;O39&amp;"万元","——")</f>
        <v>抵押价格：31186万元</v>
      </c>
      <c r="L29" s="1205"/>
      <c r="M29" s="1205"/>
      <c r="N29" s="1205"/>
      <c r="O29" s="1204"/>
      <c r="P29" s="1911"/>
      <c r="V29" s="1911"/>
    </row>
    <row r="30" spans="1:26" ht="18.75" thickBot="1">
      <c r="A30" s="2800" t="s">
        <v>336</v>
      </c>
      <c r="B30" s="307"/>
      <c r="C30" s="307"/>
      <c r="D30" s="308"/>
      <c r="E30" s="3003" t="s">
        <v>2959</v>
      </c>
      <c r="F30" s="309"/>
      <c r="G30" s="309"/>
      <c r="H30" s="309"/>
      <c r="I30" s="309"/>
      <c r="J30" s="1911"/>
      <c r="K30" s="1211" t="str">
        <f ca="1">IF(K29="——","——","大写金额：人民币"&amp;NUMBERSTRING(INT(O39*10000),2)&amp;"元整")</f>
        <v>大写金额：人民币叁亿壹仟壹佰捌拾陆万元整</v>
      </c>
      <c r="L30" s="1205"/>
      <c r="M30" s="1205"/>
      <c r="N30" s="1205"/>
      <c r="O30" s="1204"/>
      <c r="P30" s="1911"/>
      <c r="V30" s="1911"/>
    </row>
    <row r="31" spans="1:26" ht="24" customHeight="1" thickBot="1">
      <c r="A31" s="3509" t="s">
        <v>2960</v>
      </c>
      <c r="B31" s="3509"/>
      <c r="C31" s="3509"/>
      <c r="D31" s="3509"/>
      <c r="E31" s="3509"/>
      <c r="F31" s="3509"/>
      <c r="G31" s="3509"/>
      <c r="H31" s="3509"/>
      <c r="I31" s="3509"/>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1678</v>
      </c>
      <c r="C32" s="264">
        <f ca="1">G19-C24</f>
        <v>31186</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f ca="1">ROUND(C32*10000/'数据-汇总表'!E3,0)</f>
        <v>2292</v>
      </c>
      <c r="D33" s="1333" t="s">
        <v>1681</v>
      </c>
      <c r="E33" s="3466"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1682</v>
      </c>
      <c r="C34" s="262">
        <f ca="1">ROUND(C32*10000/'数据-汇总表'!D3,0)</f>
        <v>5730</v>
      </c>
      <c r="D34" s="1335" t="s">
        <v>1681</v>
      </c>
      <c r="E34" s="3467"/>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382</v>
      </c>
      <c r="D35" s="1338" t="s">
        <v>1683</v>
      </c>
      <c r="E35" s="3468"/>
      <c r="F35" s="299" t="s">
        <v>342</v>
      </c>
      <c r="G35" s="969"/>
      <c r="H35" s="968" t="s">
        <v>343</v>
      </c>
      <c r="I35" s="309"/>
      <c r="J35" s="1911"/>
      <c r="K35" s="3472" t="s">
        <v>350</v>
      </c>
      <c r="L35" s="3472" t="s">
        <v>351</v>
      </c>
      <c r="M35" s="1217" t="s">
        <v>352</v>
      </c>
      <c r="N35" s="3472" t="s">
        <v>353</v>
      </c>
      <c r="O35" s="3472" t="s">
        <v>354</v>
      </c>
      <c r="P35" s="1911"/>
      <c r="V35" s="1911"/>
    </row>
    <row r="36" spans="1:26" ht="16.5" customHeight="1">
      <c r="A36" s="301" t="s">
        <v>344</v>
      </c>
      <c r="B36" s="302" t="s">
        <v>333</v>
      </c>
      <c r="C36" s="303" t="s">
        <v>345</v>
      </c>
      <c r="D36" s="303" t="s">
        <v>346</v>
      </c>
      <c r="E36" s="304" t="s">
        <v>347</v>
      </c>
      <c r="F36" s="309"/>
      <c r="G36" s="309"/>
      <c r="H36" s="309"/>
      <c r="I36" s="309"/>
      <c r="J36" s="1913"/>
      <c r="K36" s="3473"/>
      <c r="L36" s="3473"/>
      <c r="M36" s="1219" t="s">
        <v>355</v>
      </c>
      <c r="N36" s="3473"/>
      <c r="O36" s="3473"/>
      <c r="P36" s="1911"/>
      <c r="V36" s="1911"/>
    </row>
    <row r="37" spans="1:26" ht="16.5" customHeight="1" thickBot="1">
      <c r="A37" s="1213" t="s">
        <v>348</v>
      </c>
      <c r="B37" s="305"/>
      <c r="C37" s="292"/>
      <c r="D37" s="292"/>
      <c r="E37" s="293"/>
      <c r="F37" s="309"/>
      <c r="G37" s="309"/>
      <c r="H37" s="309"/>
      <c r="I37" s="309"/>
      <c r="J37" s="1913"/>
      <c r="K37" s="3474"/>
      <c r="L37" s="3474"/>
      <c r="M37" s="1220"/>
      <c r="N37" s="3474"/>
      <c r="O37" s="3474"/>
      <c r="P37" s="1911"/>
      <c r="V37" s="1911"/>
    </row>
    <row r="38" spans="1:26" ht="16.5" customHeight="1" thickBot="1">
      <c r="A38" s="1213" t="s">
        <v>349</v>
      </c>
      <c r="B38" s="305"/>
      <c r="C38" s="292"/>
      <c r="D38" s="292"/>
      <c r="E38" s="293"/>
      <c r="F38" s="309"/>
      <c r="G38" s="309"/>
      <c r="H38" s="309"/>
      <c r="I38" s="309"/>
      <c r="J38" s="1913"/>
      <c r="K38" s="1221">
        <f>'数据-汇总表'!D3</f>
        <v>54426.77</v>
      </c>
      <c r="L38" s="1222">
        <f>'数据-汇总表'!E3</f>
        <v>136066.92000000001</v>
      </c>
      <c r="M38" s="1222">
        <f ca="1">C34</f>
        <v>5730</v>
      </c>
      <c r="N38" s="1222">
        <f ca="1">C33</f>
        <v>2292</v>
      </c>
      <c r="O38" s="1223">
        <f ca="1">C32</f>
        <v>31186</v>
      </c>
      <c r="P38" s="1911"/>
      <c r="V38" s="1911"/>
    </row>
    <row r="39" spans="1:26" ht="16.5" customHeight="1" thickBot="1">
      <c r="A39" s="1218"/>
      <c r="B39" s="306"/>
      <c r="C39" s="307"/>
      <c r="D39" s="307"/>
      <c r="E39" s="308"/>
      <c r="F39" s="309"/>
      <c r="G39" s="309"/>
      <c r="H39" s="309"/>
      <c r="I39" s="309"/>
      <c r="J39" s="1913"/>
      <c r="K39" s="3485" t="str">
        <f>MID(A44,3,LEN(A44)-2)</f>
        <v>抵押价格</v>
      </c>
      <c r="L39" s="3486"/>
      <c r="M39" s="3486"/>
      <c r="N39" s="3487"/>
      <c r="O39" s="1340">
        <f ca="1">C44</f>
        <v>31186</v>
      </c>
      <c r="P39" s="1911"/>
      <c r="V39" s="1911"/>
    </row>
    <row r="40" spans="1:26" ht="19.5" thickBot="1">
      <c r="A40" s="104" t="s">
        <v>863</v>
      </c>
      <c r="B40" s="309"/>
      <c r="C40" s="309"/>
      <c r="D40" s="309"/>
      <c r="E40" s="309"/>
      <c r="F40" s="309"/>
      <c r="G40" s="309"/>
      <c r="H40" s="309"/>
      <c r="I40" s="309"/>
      <c r="J40" s="1913"/>
      <c r="K40" s="3485" t="str">
        <f t="shared" ref="K40:K41" si="0">MID(A45,3,LEN(A45)-2)</f>
        <v/>
      </c>
      <c r="L40" s="3486"/>
      <c r="M40" s="3486"/>
      <c r="N40" s="3487"/>
      <c r="O40" s="1340" t="str">
        <f>C45</f>
        <v>——</v>
      </c>
      <c r="P40" s="1911"/>
      <c r="V40" s="1911"/>
    </row>
    <row r="41" spans="1:26" ht="16.5" thickBot="1">
      <c r="A41" s="310" t="s">
        <v>356</v>
      </c>
      <c r="B41" s="311"/>
      <c r="C41" s="312" t="s">
        <v>357</v>
      </c>
      <c r="D41" s="313" t="s">
        <v>358</v>
      </c>
      <c r="E41" s="313" t="s">
        <v>359</v>
      </c>
      <c r="F41" s="314" t="s">
        <v>360</v>
      </c>
      <c r="G41" s="309"/>
      <c r="H41" s="309"/>
      <c r="I41" s="309"/>
      <c r="J41" s="1913"/>
      <c r="K41" s="3485" t="str">
        <f t="shared" si="0"/>
        <v/>
      </c>
      <c r="L41" s="3486"/>
      <c r="M41" s="3486"/>
      <c r="N41" s="3487"/>
      <c r="O41" s="1340" t="str">
        <f>C46</f>
        <v>——</v>
      </c>
      <c r="P41" s="1911"/>
      <c r="V41" s="1911"/>
    </row>
    <row r="42" spans="1:26" ht="29.25">
      <c r="A42" s="3514" t="s">
        <v>2055</v>
      </c>
      <c r="B42" s="3515"/>
      <c r="C42" s="262">
        <f ca="1">C32</f>
        <v>31186</v>
      </c>
      <c r="D42" s="315">
        <f ca="1">C33</f>
        <v>2292</v>
      </c>
      <c r="E42" s="315">
        <f ca="1">C34</f>
        <v>5730</v>
      </c>
      <c r="F42" s="316">
        <f ca="1">C35</f>
        <v>382</v>
      </c>
      <c r="G42" s="309"/>
      <c r="H42" s="309"/>
      <c r="I42" s="317"/>
      <c r="J42" s="1913"/>
      <c r="K42" s="1224" t="s">
        <v>361</v>
      </c>
      <c r="L42" s="1930" t="s">
        <v>362</v>
      </c>
      <c r="M42" s="1225" t="s">
        <v>363</v>
      </c>
      <c r="N42" s="1931" t="s">
        <v>364</v>
      </c>
      <c r="O42" s="1932" t="s">
        <v>365</v>
      </c>
      <c r="P42" s="1911"/>
      <c r="V42" s="1911"/>
    </row>
    <row r="43" spans="1:26" ht="30">
      <c r="A43" s="3524" t="s">
        <v>2709</v>
      </c>
      <c r="B43" s="3525"/>
      <c r="C43" s="262">
        <f>IF(H33="正常操作",G33+G34+G35,G34+G35)</f>
        <v>0</v>
      </c>
      <c r="D43" s="315" t="s">
        <v>43</v>
      </c>
      <c r="E43" s="315" t="s">
        <v>44</v>
      </c>
      <c r="F43" s="316" t="s">
        <v>44</v>
      </c>
      <c r="G43" s="2583" t="s">
        <v>942</v>
      </c>
      <c r="H43" s="309"/>
      <c r="I43" s="317"/>
      <c r="J43" s="1913"/>
      <c r="K43" s="1226" t="str">
        <f>C4</f>
        <v>比较法-住宅、综合</v>
      </c>
      <c r="L43" s="1227">
        <f ca="1">IF(L42="估价结果/万元",C19,C20)</f>
        <v>25812</v>
      </c>
      <c r="M43" s="1228">
        <f>C18</f>
        <v>0.6</v>
      </c>
      <c r="N43" s="1229">
        <f ca="1">IF(N42="测算结果/万元",G19,G20)</f>
        <v>31186</v>
      </c>
      <c r="O43" s="1230">
        <f ca="1">IF(O42="最终结果/万元",C32,C33)</f>
        <v>31186</v>
      </c>
      <c r="P43" s="1911"/>
      <c r="V43" s="1911"/>
    </row>
    <row r="44" spans="1:26" ht="30.75" thickBot="1">
      <c r="A44" s="3514" t="str">
        <f>IF(OR(项目基本情况!E8="抵押价格",项目基本情况!E8="已注销及未注销"),"3.抵押价格","——")</f>
        <v>3.抵押价格</v>
      </c>
      <c r="B44" s="3515"/>
      <c r="C44" s="262">
        <f ca="1">IF(A44="——","——",C42-C43)</f>
        <v>31186</v>
      </c>
      <c r="D44" s="315">
        <f ca="1">ROUND(C44*10000/'数据-汇总表'!E3,0)</f>
        <v>2292</v>
      </c>
      <c r="E44" s="315">
        <f ca="1">ROUND(C44*10000/'数据-汇总表'!D3,0)</f>
        <v>5730</v>
      </c>
      <c r="F44" s="316">
        <f ca="1">ROUND(C44/('数据-汇总表'!D3/666.67),0)</f>
        <v>382</v>
      </c>
      <c r="G44" s="309"/>
      <c r="H44" s="309"/>
      <c r="I44" s="317"/>
      <c r="J44" s="1913"/>
      <c r="K44" s="1231" t="str">
        <f>D4</f>
        <v>剩余法-待开发</v>
      </c>
      <c r="L44" s="1232">
        <f ca="1">IF(L42="估价结果/万元",D19,D20)</f>
        <v>39248</v>
      </c>
      <c r="M44" s="1233">
        <f>D18</f>
        <v>0.4</v>
      </c>
      <c r="N44" s="1234"/>
      <c r="O44" s="1235"/>
      <c r="P44" s="1911"/>
      <c r="V44" s="1911"/>
    </row>
    <row r="45" spans="1:26" ht="15">
      <c r="A45" s="3519" t="str">
        <f>IF(项目基本情况!E8="已注销及未注销","4.抵押担保权已注销时的抵押价格",IF(项目基本情况!E8="已注销","3.抵押担保权已注销时的抵押价格","——"))</f>
        <v>——</v>
      </c>
      <c r="B45" s="3520"/>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516" t="str">
        <f>IF(项目基本情况!E9="抵押净值",IF(A45="——","4.抵押净值","5.抵押净值"),"——")</f>
        <v>——</v>
      </c>
      <c r="B46" s="3517"/>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77" t="s">
        <v>374</v>
      </c>
      <c r="B63" s="3478"/>
      <c r="C63" s="3479"/>
      <c r="D63" s="339">
        <f ca="1">典型户型修正!S24</f>
        <v>31187</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521" t="s">
        <v>378</v>
      </c>
      <c r="B64" s="3522"/>
      <c r="C64" s="3522"/>
      <c r="D64" s="3522"/>
      <c r="E64" s="3522"/>
      <c r="F64" s="3522"/>
      <c r="G64" s="3523"/>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518" t="s">
        <v>386</v>
      </c>
      <c r="B66" s="3484"/>
      <c r="C66" s="3484"/>
      <c r="D66" s="259">
        <f ca="1">IF(H66="情况1",0,IF(H66="情况2",D70,IF(H66="情况3",D71,IF(H66="情况4",D72))))</f>
        <v>1634</v>
      </c>
      <c r="E66" s="980" t="str">
        <f>IF(H66="情况4","(销售额-原购置价)×税（费）率","销售额×税（费）率")</f>
        <v>销售额×税（费）率</v>
      </c>
      <c r="F66" s="348">
        <f>IF(H66="情况1","免征",'数据-取费表'!B41)</f>
        <v>5.5000000000000007E-2</v>
      </c>
      <c r="G66" s="349" t="s">
        <v>387</v>
      </c>
      <c r="H66" s="189" t="s">
        <v>3166</v>
      </c>
      <c r="I66" s="1241"/>
      <c r="J66" s="1917"/>
      <c r="K66" s="1244">
        <v>1</v>
      </c>
      <c r="L66" s="3445" t="s">
        <v>385</v>
      </c>
      <c r="M66" s="3446"/>
      <c r="N66" s="2312"/>
      <c r="O66" s="2313"/>
      <c r="P66" s="2314"/>
      <c r="Q66" s="1911"/>
      <c r="R66" s="1911"/>
      <c r="S66" s="1911"/>
      <c r="T66" s="1911"/>
      <c r="U66" s="1911"/>
      <c r="V66" s="1911"/>
    </row>
    <row r="67" spans="1:22" ht="25.5" customHeight="1">
      <c r="A67" s="350" t="s">
        <v>389</v>
      </c>
      <c r="B67" s="3496" t="s">
        <v>390</v>
      </c>
      <c r="C67" s="3496"/>
      <c r="D67" s="351">
        <v>0</v>
      </c>
      <c r="E67" s="41" t="s">
        <v>391</v>
      </c>
      <c r="F67" s="62" t="s">
        <v>21</v>
      </c>
      <c r="G67" s="3480"/>
      <c r="H67" s="3006" t="s">
        <v>2961</v>
      </c>
      <c r="I67" s="3008"/>
      <c r="J67" s="1918"/>
      <c r="K67" s="1890">
        <v>2</v>
      </c>
      <c r="L67" s="3450" t="s">
        <v>388</v>
      </c>
      <c r="M67" s="3450"/>
      <c r="N67" s="1278">
        <f>'数据-取费表'!B2</f>
        <v>44258</v>
      </c>
      <c r="O67" s="1278"/>
      <c r="P67" s="1278"/>
      <c r="Q67" s="1911"/>
      <c r="R67" s="1911"/>
      <c r="S67" s="1911"/>
      <c r="T67" s="1911"/>
      <c r="U67" s="1911"/>
      <c r="V67" s="1911"/>
    </row>
    <row r="68" spans="1:22" ht="25.5" customHeight="1">
      <c r="A68" s="352"/>
      <c r="B68" s="3496" t="s">
        <v>393</v>
      </c>
      <c r="C68" s="3496"/>
      <c r="D68" s="353"/>
      <c r="E68" s="77"/>
      <c r="F68" s="354"/>
      <c r="G68" s="3481"/>
      <c r="H68" s="3007" t="s">
        <v>2962</v>
      </c>
      <c r="I68" s="3008"/>
      <c r="J68" s="1918"/>
      <c r="K68" s="1890">
        <v>3</v>
      </c>
      <c r="L68" s="3450" t="s">
        <v>392</v>
      </c>
      <c r="M68" s="3450"/>
      <c r="N68" s="1246">
        <f ca="1">C42</f>
        <v>31186</v>
      </c>
      <c r="O68" s="1246"/>
      <c r="P68" s="1246"/>
      <c r="Q68" s="1911"/>
      <c r="R68" s="1911"/>
      <c r="S68" s="1911"/>
      <c r="T68" s="1911"/>
      <c r="U68" s="1911"/>
      <c r="V68" s="1911"/>
    </row>
    <row r="69" spans="1:22" ht="23.45" customHeight="1">
      <c r="A69" s="355"/>
      <c r="B69" s="3496" t="s">
        <v>394</v>
      </c>
      <c r="C69" s="3496"/>
      <c r="D69" s="356"/>
      <c r="E69" s="73"/>
      <c r="F69" s="354"/>
      <c r="G69" s="3482"/>
      <c r="H69" s="3007" t="s">
        <v>2963</v>
      </c>
      <c r="I69" s="3008"/>
      <c r="J69" s="1918"/>
      <c r="K69" s="1247">
        <v>4</v>
      </c>
      <c r="L69" s="3451" t="s">
        <v>2857</v>
      </c>
      <c r="M69" s="3452"/>
      <c r="N69" s="1248">
        <f ca="1">C44</f>
        <v>31186</v>
      </c>
      <c r="O69" s="1248"/>
      <c r="P69" s="1248"/>
      <c r="Q69" s="1911"/>
      <c r="R69" s="1911"/>
      <c r="S69" s="1911"/>
      <c r="T69" s="1911"/>
      <c r="U69" s="1911"/>
      <c r="V69" s="1911"/>
    </row>
    <row r="70" spans="1:22" ht="24" customHeight="1">
      <c r="A70" s="357" t="s">
        <v>395</v>
      </c>
      <c r="B70" s="3496" t="s">
        <v>396</v>
      </c>
      <c r="C70" s="3496"/>
      <c r="D70" s="356">
        <f ca="1">ROUND(D63*'数据-取费表'!B41/(1+'数据-取费表'!C42),0)</f>
        <v>1634</v>
      </c>
      <c r="E70" s="17" t="s">
        <v>397</v>
      </c>
      <c r="F70" s="358">
        <f>'数据-取费表'!B41</f>
        <v>5.5000000000000007E-2</v>
      </c>
      <c r="G70" s="359"/>
      <c r="H70" s="309"/>
      <c r="I70" s="1245"/>
      <c r="J70" s="1918"/>
      <c r="K70" s="2765"/>
      <c r="L70" s="2766"/>
      <c r="M70" s="2766"/>
      <c r="N70" s="2767" t="s">
        <v>2861</v>
      </c>
      <c r="O70" s="2766"/>
      <c r="P70" s="2768"/>
      <c r="Q70" s="1911"/>
      <c r="R70" s="1911"/>
      <c r="S70" s="1911"/>
      <c r="T70" s="1911"/>
      <c r="U70" s="1911"/>
      <c r="V70" s="1911"/>
    </row>
    <row r="71" spans="1:22" ht="12" customHeight="1">
      <c r="A71" s="357" t="s">
        <v>403</v>
      </c>
      <c r="B71" s="3495" t="s">
        <v>2992</v>
      </c>
      <c r="C71" s="3512"/>
      <c r="D71" s="356">
        <f ca="1">ROUND(D63*'数据-取费表'!B41/(1+'数据-取费表'!C42),0)</f>
        <v>1634</v>
      </c>
      <c r="E71" s="17" t="s">
        <v>397</v>
      </c>
      <c r="F71" s="358">
        <f>'数据-取费表'!B41</f>
        <v>5.5000000000000007E-2</v>
      </c>
      <c r="G71" s="359"/>
      <c r="H71" s="309"/>
      <c r="I71" s="1245"/>
      <c r="J71" s="1918"/>
      <c r="K71" s="2764" t="s">
        <v>398</v>
      </c>
      <c r="L71" s="3453" t="s">
        <v>399</v>
      </c>
      <c r="M71" s="3453"/>
      <c r="N71" s="2764" t="s">
        <v>400</v>
      </c>
      <c r="O71" s="2764" t="s">
        <v>401</v>
      </c>
      <c r="P71" s="2764" t="s">
        <v>402</v>
      </c>
      <c r="Q71" s="1911"/>
      <c r="R71" s="1911"/>
      <c r="S71" s="1911"/>
      <c r="T71" s="1911"/>
      <c r="U71" s="1911"/>
      <c r="V71" s="1911"/>
    </row>
    <row r="72" spans="1:22" ht="12" customHeight="1">
      <c r="A72" s="357" t="s">
        <v>405</v>
      </c>
      <c r="B72" s="3495" t="s">
        <v>2993</v>
      </c>
      <c r="C72" s="3512"/>
      <c r="D72" s="356">
        <f ca="1">C86</f>
        <v>1634</v>
      </c>
      <c r="E72" s="73" t="s">
        <v>406</v>
      </c>
      <c r="F72" s="358">
        <f>'数据-取费表'!B41</f>
        <v>5.5000000000000007E-2</v>
      </c>
      <c r="G72" s="359"/>
      <c r="H72" s="1251"/>
      <c r="I72" s="1245"/>
      <c r="J72" s="1918"/>
      <c r="K72" s="1890">
        <v>1</v>
      </c>
      <c r="L72" s="3449" t="s">
        <v>404</v>
      </c>
      <c r="M72" s="3449"/>
      <c r="N72" s="1249">
        <f ca="1">D66</f>
        <v>1634</v>
      </c>
      <c r="O72" s="1773" t="str">
        <f>E66</f>
        <v>销售额×税（费）率</v>
      </c>
      <c r="P72" s="1250">
        <f>F66</f>
        <v>5.5000000000000007E-2</v>
      </c>
      <c r="Q72" s="1911"/>
      <c r="R72" s="1911"/>
      <c r="S72" s="1911"/>
      <c r="T72" s="1911"/>
      <c r="U72" s="1911"/>
      <c r="V72" s="1911"/>
    </row>
    <row r="73" spans="1:22" ht="24" customHeight="1">
      <c r="A73" s="3483" t="s">
        <v>408</v>
      </c>
      <c r="B73" s="3484"/>
      <c r="C73" s="3484"/>
      <c r="D73" s="360">
        <f ca="1">IF(H73="个人住宅",0,ROUND(D63*I73,0))</f>
        <v>16</v>
      </c>
      <c r="E73" s="17" t="s">
        <v>409</v>
      </c>
      <c r="F73" s="358">
        <f>IF(H73="正常",I73,"免征")</f>
        <v>5.0000000000000001E-4</v>
      </c>
      <c r="G73" s="359"/>
      <c r="H73" s="189" t="s">
        <v>3127</v>
      </c>
      <c r="I73" s="358">
        <f>'数据-取费表'!B49</f>
        <v>5.0000000000000001E-4</v>
      </c>
      <c r="J73" s="1918"/>
      <c r="K73" s="1890">
        <v>2</v>
      </c>
      <c r="L73" s="3449" t="s">
        <v>407</v>
      </c>
      <c r="M73" s="3449"/>
      <c r="N73" s="1249">
        <f t="shared" ref="N73:P74" ca="1" si="1">D73</f>
        <v>16</v>
      </c>
      <c r="O73" s="1773" t="str">
        <f t="shared" si="1"/>
        <v>销售额×税（费）率</v>
      </c>
      <c r="P73" s="1250">
        <f t="shared" si="1"/>
        <v>5.0000000000000001E-4</v>
      </c>
      <c r="Q73" s="1911"/>
      <c r="R73" s="1911"/>
      <c r="S73" s="1911"/>
      <c r="T73" s="1911"/>
      <c r="U73" s="1911"/>
      <c r="V73" s="1911"/>
    </row>
    <row r="74" spans="1:22" ht="24.75">
      <c r="A74" s="3483" t="s">
        <v>411</v>
      </c>
      <c r="B74" s="3484"/>
      <c r="C74" s="3484"/>
      <c r="D74" s="360">
        <f ca="1">IF(H74="个人住宅",D75,D76)</f>
        <v>2811</v>
      </c>
      <c r="E74" s="17" t="s">
        <v>412</v>
      </c>
      <c r="F74" s="358" t="str">
        <f>IF(H74="正常",F76,"免征")</f>
        <v>——</v>
      </c>
      <c r="G74" s="970" t="s">
        <v>413</v>
      </c>
      <c r="H74" s="361" t="s">
        <v>3127</v>
      </c>
      <c r="I74" s="42"/>
      <c r="J74" s="1918"/>
      <c r="K74" s="1890">
        <v>3</v>
      </c>
      <c r="L74" s="3449" t="s">
        <v>410</v>
      </c>
      <c r="M74" s="3449"/>
      <c r="N74" s="1249">
        <f t="shared" ca="1" si="1"/>
        <v>2811</v>
      </c>
      <c r="O74" s="1773" t="str">
        <f t="shared" si="1"/>
        <v>增值额×税（费）率</v>
      </c>
      <c r="P74" s="1252" t="str">
        <f t="shared" si="1"/>
        <v>——</v>
      </c>
      <c r="Q74" s="1911"/>
      <c r="R74" s="1911"/>
      <c r="S74" s="1911"/>
      <c r="T74" s="1911"/>
      <c r="U74" s="1911"/>
      <c r="V74" s="1911"/>
    </row>
    <row r="75" spans="1:22" ht="12.75">
      <c r="A75" s="357" t="s">
        <v>414</v>
      </c>
      <c r="B75" s="3464" t="s">
        <v>415</v>
      </c>
      <c r="C75" s="3465"/>
      <c r="D75" s="362">
        <v>0</v>
      </c>
      <c r="E75" s="41" t="s">
        <v>416</v>
      </c>
      <c r="F75" s="363"/>
      <c r="G75" s="359"/>
      <c r="H75" s="42"/>
      <c r="I75" s="42"/>
      <c r="J75" s="1918"/>
      <c r="K75" s="2758" t="str">
        <f>IF(H77="非个人房产","",4)</f>
        <v/>
      </c>
      <c r="L75" s="3449" t="str">
        <f>IF(H77="非个人房产","——","个人所得税")</f>
        <v>——</v>
      </c>
      <c r="M75" s="3449"/>
      <c r="N75" s="1253" t="str">
        <f>D77</f>
        <v>——</v>
      </c>
      <c r="O75" s="1786" t="str">
        <f>E77</f>
        <v>——</v>
      </c>
      <c r="P75" s="1254" t="str">
        <f>F77</f>
        <v>——</v>
      </c>
      <c r="Q75" s="1911"/>
      <c r="R75" s="1911"/>
      <c r="S75" s="1911"/>
      <c r="T75" s="1911"/>
      <c r="U75" s="1911"/>
      <c r="V75" s="1911"/>
    </row>
    <row r="76" spans="1:22" ht="24.75">
      <c r="A76" s="357" t="s">
        <v>395</v>
      </c>
      <c r="B76" s="3464" t="s">
        <v>418</v>
      </c>
      <c r="C76" s="3506"/>
      <c r="D76" s="360">
        <f ca="1">IF(H76="转让取得",C99,C115)</f>
        <v>2811</v>
      </c>
      <c r="E76" s="17" t="s">
        <v>419</v>
      </c>
      <c r="F76" s="53" t="s">
        <v>21</v>
      </c>
      <c r="G76" s="359"/>
      <c r="H76" s="361" t="s">
        <v>3167</v>
      </c>
      <c r="I76" s="42"/>
      <c r="J76" s="1918"/>
      <c r="K76" s="2758" t="str">
        <f>IF(项目基本情况!K6="上海银行",IF(K75="",4,K75+1),"")</f>
        <v/>
      </c>
      <c r="L76" s="3460" t="str">
        <f>IF(项目基本情况!K6="上海银行","其他处置费用","")</f>
        <v/>
      </c>
      <c r="M76" s="3461"/>
      <c r="N76" s="1249" t="str">
        <f>IF(项目基本情况!K6="上海银行",N89,"")</f>
        <v/>
      </c>
      <c r="O76" s="3462" t="str">
        <f>IF(项目基本情况!K6="上海银行","包含处置中涉及的律师、诉讼、拍卖、评估等费用","")</f>
        <v/>
      </c>
      <c r="P76" s="3463"/>
      <c r="Q76" s="1911"/>
      <c r="R76" s="1911"/>
      <c r="S76" s="1911"/>
      <c r="T76" s="1911"/>
      <c r="U76" s="1911"/>
      <c r="V76" s="1911"/>
    </row>
    <row r="77" spans="1:22" ht="24.75" thickBot="1">
      <c r="A77" s="3475" t="s">
        <v>421</v>
      </c>
      <c r="B77" s="3476"/>
      <c r="C77" s="3476"/>
      <c r="D77" s="3011" t="str">
        <f>IF(H77="非个人房产","——",IF(H77="个人住宅（满五唯一有凭证）",0,IF(H77="个人其他（无凭证）",ROUND(D63*F77,0),ROUND(C84*F77,0))))</f>
        <v>——</v>
      </c>
      <c r="E77" s="3012" t="str">
        <f>IF(H77="非个人房产","——",IF(H77="个人其他（无凭证）","销售额×税（费）率",IF(H77="个人住宅（满五唯一有凭证）","免征","差额计税")))</f>
        <v>——</v>
      </c>
      <c r="F77" s="3013" t="str">
        <f>IF(OR(H77="非个人房产",H77="个人住宅（满五唯一有凭证）"),"——",IF(H77="个人其他（有凭证）",20%,1%))</f>
        <v>——</v>
      </c>
      <c r="G77" s="971" t="s">
        <v>413</v>
      </c>
      <c r="H77" s="3010" t="s">
        <v>3168</v>
      </c>
      <c r="I77" s="3009" t="s">
        <v>2964</v>
      </c>
      <c r="J77" s="1918"/>
      <c r="K77" s="3471">
        <f>IF(AND(K75="",K76=""),4,IF(项目基本情况!K6="上海银行",K76+1,K75+1))</f>
        <v>4</v>
      </c>
      <c r="L77" s="3449" t="s">
        <v>2858</v>
      </c>
      <c r="M77" s="2763" t="s">
        <v>417</v>
      </c>
      <c r="N77" s="1255"/>
      <c r="O77" s="1256">
        <f ca="1">SUMIF(N72:N76,"&lt;9e307")</f>
        <v>4461</v>
      </c>
      <c r="P77" s="1257"/>
      <c r="Q77" s="2761">
        <f ca="1">O77/N69</f>
        <v>0.14304495607003143</v>
      </c>
      <c r="R77" s="1911"/>
      <c r="S77" s="1911"/>
      <c r="T77" s="1911"/>
      <c r="U77" s="1911"/>
      <c r="V77" s="1911"/>
    </row>
    <row r="78" spans="1:22" ht="12" customHeight="1">
      <c r="A78" s="1258"/>
      <c r="B78" s="309"/>
      <c r="C78" s="309"/>
      <c r="D78" s="309"/>
      <c r="E78" s="42"/>
      <c r="F78" s="42"/>
      <c r="G78" s="42"/>
      <c r="H78" s="990"/>
      <c r="I78" s="309"/>
      <c r="J78" s="1918"/>
      <c r="K78" s="3471"/>
      <c r="L78" s="3449"/>
      <c r="M78" s="2763" t="s">
        <v>420</v>
      </c>
      <c r="N78" s="1255"/>
      <c r="O78" s="1256" t="str">
        <f ca="1">NUMBERSTRING(INT(O77*10000),2)&amp;"元整"</f>
        <v>肆仟肆佰陆拾壹万元整</v>
      </c>
      <c r="P78" s="1257"/>
      <c r="Q78" s="1911"/>
      <c r="R78" s="1911"/>
      <c r="S78" s="1911"/>
      <c r="T78" s="1911"/>
      <c r="U78" s="1911"/>
      <c r="V78" s="1911"/>
    </row>
    <row r="79" spans="1:22" ht="13.5" thickBot="1">
      <c r="A79" s="3526" t="s">
        <v>422</v>
      </c>
      <c r="B79" s="3526"/>
      <c r="C79" s="3526"/>
      <c r="D79" s="3526"/>
      <c r="E79" s="3526"/>
      <c r="F79" s="42"/>
      <c r="G79" s="42"/>
      <c r="H79" s="990"/>
      <c r="I79" s="309"/>
      <c r="J79" s="1918"/>
      <c r="K79" s="3447">
        <f>K77+1</f>
        <v>5</v>
      </c>
      <c r="L79" s="3449" t="s">
        <v>2859</v>
      </c>
      <c r="M79" s="2763" t="s">
        <v>417</v>
      </c>
      <c r="N79" s="1255"/>
      <c r="O79" s="1256">
        <f ca="1">N69-O77</f>
        <v>26725</v>
      </c>
      <c r="P79" s="1257"/>
      <c r="Q79" s="1911"/>
      <c r="R79" s="1911"/>
      <c r="S79" s="1911"/>
      <c r="T79" s="1911"/>
      <c r="U79" s="1911"/>
      <c r="V79" s="1911"/>
    </row>
    <row r="80" spans="1:22" ht="25.5">
      <c r="A80" s="3457" t="s">
        <v>423</v>
      </c>
      <c r="B80" s="3458"/>
      <c r="C80" s="981"/>
      <c r="D80" s="981" t="s">
        <v>424</v>
      </c>
      <c r="E80" s="364" t="s">
        <v>425</v>
      </c>
      <c r="F80" s="42"/>
      <c r="G80" s="42"/>
      <c r="H80" s="990"/>
      <c r="I80" s="309"/>
      <c r="J80" s="1911"/>
      <c r="K80" s="3448"/>
      <c r="L80" s="3449"/>
      <c r="M80" s="2763" t="s">
        <v>420</v>
      </c>
      <c r="N80" s="1255"/>
      <c r="O80" s="1256" t="str">
        <f ca="1">NUMBERSTRING(INT(O79*10000),2)&amp;"元整"</f>
        <v>贰亿陆仟柒佰贰拾伍万元整</v>
      </c>
      <c r="P80" s="1257"/>
      <c r="Q80" s="1911"/>
      <c r="R80" s="1911"/>
      <c r="S80" s="1911"/>
      <c r="T80" s="1911"/>
      <c r="U80" s="1911"/>
      <c r="V80" s="1911"/>
    </row>
    <row r="81" spans="1:26" ht="13.5" thickBot="1">
      <c r="A81" s="375" t="s">
        <v>1813</v>
      </c>
      <c r="B81" s="365" t="s">
        <v>426</v>
      </c>
      <c r="C81" s="366">
        <f ca="1">ROUND((C82+C83)/(1+'数据-取费表'!C42),0)</f>
        <v>29702</v>
      </c>
      <c r="D81" s="367"/>
      <c r="E81" s="368"/>
      <c r="F81" s="42"/>
      <c r="G81" s="42"/>
      <c r="H81" s="990"/>
      <c r="I81" s="309"/>
      <c r="J81" s="1911"/>
      <c r="K81" s="2758">
        <f>K79+1</f>
        <v>6</v>
      </c>
      <c r="L81" s="3469" t="s">
        <v>2860</v>
      </c>
      <c r="M81" s="3470"/>
      <c r="N81" s="1259"/>
      <c r="O81" s="1260">
        <f ca="1">ROUND(O79*10000/'数据-汇总表'!E3,0)</f>
        <v>1964</v>
      </c>
      <c r="P81" s="1261"/>
      <c r="Q81" s="1911"/>
      <c r="R81" s="1911"/>
      <c r="S81" s="1911"/>
      <c r="T81" s="1911"/>
      <c r="U81" s="1911"/>
      <c r="V81" s="1911"/>
    </row>
    <row r="82" spans="1:26" ht="13.5" thickTop="1">
      <c r="A82" s="369" t="s">
        <v>1814</v>
      </c>
      <c r="B82" s="370" t="s">
        <v>427</v>
      </c>
      <c r="C82" s="371">
        <f ca="1">D63</f>
        <v>31187</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459" t="s">
        <v>2848</v>
      </c>
      <c r="L83" s="2769" t="s">
        <v>2849</v>
      </c>
      <c r="M83" s="2759">
        <f ca="1">IF(N69&gt;10000,N69*0.5%,IF(AND(N69&gt;1000,N69&lt;=10000),N69*1%,IF(AND(N69&gt;100,N69&lt;=1000),N69*3%,IF(AND(N69&gt;10,N69&lt;=100),N69*5%,N69*8%))))</f>
        <v>155.93</v>
      </c>
      <c r="N83" s="53">
        <f ca="1">ROUND(M83,1)</f>
        <v>155.9</v>
      </c>
      <c r="O83" s="2762"/>
      <c r="P83" s="1911"/>
      <c r="Q83" s="1911"/>
      <c r="R83" s="1911"/>
      <c r="S83" s="1911"/>
      <c r="T83" s="1911"/>
      <c r="U83" s="1911"/>
      <c r="V83" s="1911"/>
    </row>
    <row r="84" spans="1:26" ht="12.75">
      <c r="A84" s="375" t="s">
        <v>1816</v>
      </c>
      <c r="B84" s="376" t="s">
        <v>429</v>
      </c>
      <c r="C84" s="377"/>
      <c r="D84" s="378" t="s">
        <v>19</v>
      </c>
      <c r="E84" s="2787" t="s">
        <v>2902</v>
      </c>
      <c r="F84" s="42"/>
      <c r="G84" s="42"/>
      <c r="H84" s="990"/>
      <c r="I84" s="309"/>
      <c r="J84" s="1911"/>
      <c r="K84" s="3459"/>
      <c r="L84" s="2769" t="s">
        <v>2850</v>
      </c>
      <c r="M84" s="2759">
        <f ca="1">IF(N69&gt;2000,N69*0.5%,IF(AND(N69&gt;1000,N69&lt;=2000),N69*0.6%,IF(AND(N69&gt;500,N69&lt;=1000),N69*0.7%,IF(AND(N69&gt;200,N69&lt;=500),N69*0.8%,IF(AND(N69&gt;100,N69&lt;=200),N69*0.9%,IF(AND(N69&gt;50,N69&lt;=100),N69*1%,IF(AND(N69&gt;20,N69&lt;=50),N69*1.5%,IF(AND(N69&gt;10,N69&lt;=20),N69*2%,IF(AND(N69&gt;1,N69&lt;=10),N69*2.5%)))))))))</f>
        <v>155.93</v>
      </c>
      <c r="N84" s="53">
        <f t="shared" ref="N84:N85" ca="1" si="2">ROUND(M84,1)</f>
        <v>155.9</v>
      </c>
      <c r="O84" s="1911" t="s">
        <v>2851</v>
      </c>
      <c r="P84" s="1911"/>
      <c r="Q84" s="1911"/>
      <c r="R84" s="1911"/>
      <c r="S84" s="1911"/>
      <c r="T84" s="1911"/>
      <c r="U84" s="1911"/>
      <c r="V84" s="1911"/>
    </row>
    <row r="85" spans="1:26" ht="12.75">
      <c r="A85" s="375" t="s">
        <v>1817</v>
      </c>
      <c r="B85" s="376" t="s">
        <v>430</v>
      </c>
      <c r="C85" s="379">
        <f ca="1">C81-C84</f>
        <v>29702</v>
      </c>
      <c r="D85" s="372" t="s">
        <v>19</v>
      </c>
      <c r="E85" s="373"/>
      <c r="F85" s="42"/>
      <c r="G85" s="42"/>
      <c r="H85" s="990"/>
      <c r="I85" s="309"/>
      <c r="J85" s="1911"/>
      <c r="K85" s="3459"/>
      <c r="L85" s="2769" t="s">
        <v>2852</v>
      </c>
      <c r="M85" s="2759">
        <f ca="1">IF(N69&gt;1000,N69*0.1%,IF(AND(N69&gt;500,N69&lt;=1000),N69*0.5%,IF(AND(N69&gt;50,N69&lt;=500),N69*1%,IF(AND(N69&gt;1,N69&lt;=50),N69*1.5%))))</f>
        <v>31.186</v>
      </c>
      <c r="N85" s="53">
        <f t="shared" ca="1" si="2"/>
        <v>31.2</v>
      </c>
      <c r="O85" s="1911" t="s">
        <v>2851</v>
      </c>
      <c r="P85" s="1911"/>
      <c r="Q85" s="1911"/>
      <c r="R85" s="1911"/>
      <c r="S85" s="1911"/>
      <c r="T85" s="1911"/>
      <c r="U85" s="1911"/>
      <c r="V85" s="1911"/>
    </row>
    <row r="86" spans="1:26" ht="13.5" thickBot="1">
      <c r="A86" s="380" t="s">
        <v>1818</v>
      </c>
      <c r="B86" s="381" t="s">
        <v>431</v>
      </c>
      <c r="C86" s="382">
        <f ca="1">IF(C85&lt;=0,0,ROUND(C85*D86,0))</f>
        <v>1634</v>
      </c>
      <c r="D86" s="383">
        <f>'数据-取费表'!B41</f>
        <v>5.5000000000000007E-2</v>
      </c>
      <c r="E86" s="384"/>
      <c r="F86" s="42"/>
      <c r="G86" s="42"/>
      <c r="H86" s="990"/>
      <c r="I86" s="309"/>
      <c r="J86" s="1911"/>
      <c r="K86" s="3459"/>
      <c r="L86" s="2769" t="s">
        <v>2853</v>
      </c>
      <c r="M86" s="2759">
        <f ca="1">N69*0.5%</f>
        <v>155.93</v>
      </c>
      <c r="N86" s="53">
        <f ca="1">IF(M86&gt;0.5,0.5,ROUND(M86,0))</f>
        <v>0.5</v>
      </c>
      <c r="O86" s="1911" t="s">
        <v>2854</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59"/>
      <c r="L87" s="2769" t="s">
        <v>2855</v>
      </c>
      <c r="M87" s="2759">
        <f ca="1">IF(N69&gt;=10000,(8.25+(N69-10000)*0.01%),IF(AND(N69&gt;=8000,N69&lt;10000),(7.85+(N69-8000)*0.02%),IF(AND(N69&gt;=5000,N69&lt;8000),(6.65+(N69-5000)*0.04%),IF(AND(N69&gt;=2000,N69&lt;5000),(4.25+(PN69-2000)*0.08%),IF(AND(N69&gt;=1000,N69&lt;2000),(2.75+(N69-1000)*0.15%),IF(AND(N69&gt;=100,N69&lt;1000),(0.5+(N69-100)*0.25%),IF(AND(N69&gt;0,N69&lt;100),N69*0.5%)))))))</f>
        <v>10.368600000000001</v>
      </c>
      <c r="N87" s="53">
        <f ca="1">ROUND(M87*0.9,1)</f>
        <v>9.3000000000000007</v>
      </c>
      <c r="O87" s="2762"/>
      <c r="P87" s="1911"/>
      <c r="Q87" s="1911"/>
      <c r="R87" s="1911"/>
      <c r="S87" s="1911"/>
      <c r="T87" s="1911"/>
      <c r="U87" s="1911"/>
      <c r="V87" s="1911"/>
      <c r="W87" s="290"/>
      <c r="X87" s="290"/>
      <c r="Y87" s="290"/>
      <c r="Z87" s="290"/>
    </row>
    <row r="88" spans="1:26" s="1267" customFormat="1" ht="15" thickBot="1">
      <c r="A88" s="3498" t="s">
        <v>432</v>
      </c>
      <c r="B88" s="3499"/>
      <c r="C88" s="3499"/>
      <c r="D88" s="3499"/>
      <c r="E88" s="3499"/>
      <c r="F88" s="3499"/>
      <c r="G88" s="3499"/>
      <c r="H88" s="3499"/>
      <c r="I88" s="1268"/>
      <c r="J88" s="1919"/>
      <c r="K88" s="3459"/>
      <c r="L88" s="2769" t="s">
        <v>2856</v>
      </c>
      <c r="M88" s="2759">
        <f ca="1">IF(N69&gt;10000,N69*0.5%,IF(AND(N69&gt;5000,N69&lt;=10000),N69*1%,IF(AND(N69&gt;1000,N69&lt;=5000),N69*2%,IF(AND(N69&gt;200,N69&lt;=1000),N69*3%,N69*5%))))</f>
        <v>155.93</v>
      </c>
      <c r="N88" s="53">
        <f ca="1">ROUND(M88,1)</f>
        <v>155.9</v>
      </c>
      <c r="O88" s="2762"/>
      <c r="P88" s="1916"/>
      <c r="Q88" s="1916"/>
      <c r="R88" s="1916"/>
      <c r="S88" s="1916"/>
      <c r="T88" s="1916"/>
      <c r="U88" s="1916"/>
      <c r="V88" s="1916"/>
      <c r="W88" s="1920"/>
      <c r="X88" s="1920"/>
      <c r="Y88" s="1920"/>
      <c r="Z88" s="1920"/>
    </row>
    <row r="89" spans="1:26" s="1267" customFormat="1" ht="14.25">
      <c r="A89" s="3457" t="s">
        <v>423</v>
      </c>
      <c r="B89" s="3458"/>
      <c r="C89" s="981"/>
      <c r="D89" s="981" t="s">
        <v>424</v>
      </c>
      <c r="E89" s="385" t="s">
        <v>433</v>
      </c>
      <c r="F89" s="386"/>
      <c r="G89" s="386"/>
      <c r="H89" s="387"/>
      <c r="I89" s="1269"/>
      <c r="J89" s="1921"/>
      <c r="K89" s="3459"/>
      <c r="L89" s="2769" t="s">
        <v>27</v>
      </c>
      <c r="M89" s="2760"/>
      <c r="N89" s="53">
        <f ca="1">ROUND(SUM(N83:N88),0)</f>
        <v>509</v>
      </c>
      <c r="O89" s="2770">
        <f ca="1">N89/N69</f>
        <v>1.6321426281023538E-2</v>
      </c>
      <c r="P89" s="1916"/>
      <c r="Q89" s="1916"/>
      <c r="R89" s="1916"/>
      <c r="S89" s="1916"/>
      <c r="T89" s="1916"/>
      <c r="U89" s="1916"/>
      <c r="V89" s="1916"/>
      <c r="W89" s="1920"/>
      <c r="X89" s="1920"/>
      <c r="Y89" s="1920"/>
      <c r="Z89" s="1920"/>
    </row>
    <row r="90" spans="1:26" s="1267" customFormat="1" ht="14.25">
      <c r="A90" s="375" t="s">
        <v>1813</v>
      </c>
      <c r="B90" s="376" t="s">
        <v>434</v>
      </c>
      <c r="C90" s="379">
        <f ca="1">ROUND(D63/(1+'数据-取费表'!C42),0)</f>
        <v>29702</v>
      </c>
      <c r="D90" s="372" t="s">
        <v>19</v>
      </c>
      <c r="E90" s="978"/>
      <c r="F90" s="977"/>
      <c r="G90" s="97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1819</v>
      </c>
      <c r="B91" s="346" t="s">
        <v>435</v>
      </c>
      <c r="C91" s="379">
        <f ca="1">C92+C96</f>
        <v>149</v>
      </c>
      <c r="D91" s="372" t="s">
        <v>19</v>
      </c>
      <c r="E91" s="978"/>
      <c r="F91" s="977"/>
      <c r="G91" s="97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1820</v>
      </c>
      <c r="B92" s="370" t="s">
        <v>436</v>
      </c>
      <c r="C92" s="372">
        <f>ROUND(IF(G95="2016年5月1日后购买",C93/(1+'数据-取费表'!C30)+C94+C95,C93+C94+C95),0)</f>
        <v>0</v>
      </c>
      <c r="D92" s="372" t="s">
        <v>19</v>
      </c>
      <c r="E92" s="978"/>
      <c r="F92" s="977"/>
      <c r="G92" s="97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95" t="s">
        <v>441</v>
      </c>
      <c r="F94" s="3496"/>
      <c r="G94" s="3496"/>
      <c r="H94" s="3497"/>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1824</v>
      </c>
      <c r="B96" s="370" t="s">
        <v>444</v>
      </c>
      <c r="C96" s="399">
        <f ca="1">ROUND(D63*D96/(1+'数据-取费表'!C42),0)</f>
        <v>149</v>
      </c>
      <c r="D96" s="400">
        <f>'数据-取费表'!B43</f>
        <v>5.000000000000001E-3</v>
      </c>
      <c r="E96" s="3454" t="s">
        <v>2412</v>
      </c>
      <c r="F96" s="3455"/>
      <c r="G96" s="3455"/>
      <c r="H96" s="3456"/>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1825</v>
      </c>
      <c r="B97" s="376" t="s">
        <v>445</v>
      </c>
      <c r="C97" s="379">
        <f ca="1">C90-C91</f>
        <v>29553</v>
      </c>
      <c r="D97" s="372" t="s">
        <v>19</v>
      </c>
      <c r="E97" s="978"/>
      <c r="F97" s="977"/>
      <c r="G97" s="97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1826</v>
      </c>
      <c r="B98" s="376" t="s">
        <v>446</v>
      </c>
      <c r="C98" s="401">
        <f ca="1">IF(C97&lt;=0,0,C97/C91)</f>
        <v>198.34228187919464</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 ca="1">ROUND(IF(C97&lt;=0,0,IF(C98&gt;=200%,C97*60%-C91*35%,IF(C98&gt;=100%,C97*50%-C91*15%,IF(C98&gt;=50%,C97*40%-C91*5%,IF(C98&lt;50%,C97*30%,0))))),0)</f>
        <v>17680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98" t="s">
        <v>448</v>
      </c>
      <c r="B101" s="3499"/>
      <c r="C101" s="3499"/>
      <c r="D101" s="3499"/>
      <c r="E101" s="3499"/>
      <c r="F101" s="3499"/>
      <c r="G101" s="3499"/>
      <c r="H101" s="3499"/>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57" t="s">
        <v>423</v>
      </c>
      <c r="B102" s="3458"/>
      <c r="C102" s="981"/>
      <c r="D102" s="9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 ca="1">ROUND(D63/(1+'数据-取费表'!C42),0)</f>
        <v>29702</v>
      </c>
      <c r="D103" s="372" t="s">
        <v>19</v>
      </c>
      <c r="E103" s="978"/>
      <c r="F103" s="977"/>
      <c r="G103" s="97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1819</v>
      </c>
      <c r="B104" s="346" t="s">
        <v>435</v>
      </c>
      <c r="C104" s="379">
        <f ca="1">IF(H106="仅含出让金",C105+C108+C109+C110+C111+C112,C105+C109+C110+C111+C112)</f>
        <v>20332.240000000002</v>
      </c>
      <c r="D104" s="409"/>
      <c r="E104" s="978"/>
      <c r="F104" s="977"/>
      <c r="G104" s="97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1820</v>
      </c>
      <c r="B105" s="370" t="s">
        <v>449</v>
      </c>
      <c r="C105" s="399">
        <f>C106+C107</f>
        <v>18348.240000000002</v>
      </c>
      <c r="D105" s="400"/>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v>17634.240000000002</v>
      </c>
      <c r="D106" s="400"/>
      <c r="E106" s="411" t="s">
        <v>451</v>
      </c>
      <c r="F106" s="973"/>
      <c r="G106" s="412" t="s">
        <v>452</v>
      </c>
      <c r="H106" s="413" t="s">
        <v>3169</v>
      </c>
      <c r="I106" s="11"/>
      <c r="J106" s="1916"/>
      <c r="K106" s="3244"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714</v>
      </c>
      <c r="D107" s="400">
        <f>'数据-取费表'!B48+'数据-取费表'!B49</f>
        <v>4.0500000000000001E-2</v>
      </c>
      <c r="E107" s="411"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1824</v>
      </c>
      <c r="B108" s="370" t="s">
        <v>454</v>
      </c>
      <c r="C108" s="410"/>
      <c r="D108" s="400"/>
      <c r="E108" s="411" t="str">
        <f>IF(H106="-","土地取得成本中已包含该笔费用"," ")</f>
        <v xml:space="preserve"> </v>
      </c>
      <c r="F108" s="973"/>
      <c r="G108" s="3510" t="s">
        <v>2956</v>
      </c>
      <c r="H108" s="3511"/>
      <c r="I108" s="2859"/>
      <c r="J108" s="1916"/>
      <c r="K108" s="3244"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88" t="s">
        <v>456</v>
      </c>
      <c r="F109" s="3455"/>
      <c r="G109" s="3455"/>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1835</v>
      </c>
      <c r="D110" s="3275">
        <v>0.1</v>
      </c>
      <c r="E110" s="3488" t="s">
        <v>458</v>
      </c>
      <c r="F110" s="3455"/>
      <c r="G110" s="3455"/>
      <c r="H110" s="3456"/>
      <c r="I110" s="11"/>
      <c r="J110" s="1916"/>
      <c r="K110" s="3245"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 ca="1">ROUND(D63*D111/(1+'数据-取费表'!C42),0)</f>
        <v>149</v>
      </c>
      <c r="D111" s="400">
        <f>'数据-取费表'!B43</f>
        <v>5.000000000000001E-3</v>
      </c>
      <c r="E111" s="3454" t="s">
        <v>2412</v>
      </c>
      <c r="F111" s="3455"/>
      <c r="G111" s="3455"/>
      <c r="H111" s="3456"/>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88" t="s">
        <v>2435</v>
      </c>
      <c r="F112" s="3455"/>
      <c r="G112" s="3455"/>
      <c r="H112" s="3456"/>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1825</v>
      </c>
      <c r="B113" s="376" t="s">
        <v>445</v>
      </c>
      <c r="C113" s="379">
        <f ca="1">ROUND(C103-C104,0)</f>
        <v>9370</v>
      </c>
      <c r="D113" s="372" t="s">
        <v>19</v>
      </c>
      <c r="E113" s="978"/>
      <c r="F113" s="977"/>
      <c r="G113" s="97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1826</v>
      </c>
      <c r="B114" s="376" t="s">
        <v>446</v>
      </c>
      <c r="C114" s="401">
        <f ca="1">IF(C113&lt;=0,0,C113/C104)</f>
        <v>0.46084445196397444</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7"/>
      <c r="G114" s="97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 ca="1">ROUND(IF(C113&lt;=0,0,IF(C114&gt;=200%,C113*60%-C104*35%,IF(C114&gt;=100%,C113*50%-C104*15%,IF(C114&gt;=50%,C113*40%-C104*5%,IF(C114&lt;50%,C113*30%,0))))),0)</f>
        <v>2811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G116" s="1924">
        <f ca="1">典型户型修正!S24-结果表!C115</f>
        <v>28376</v>
      </c>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8" priority="21" stopIfTrue="1" operator="equal">
      <formula>25</formula>
    </cfRule>
  </conditionalFormatting>
  <conditionalFormatting sqref="C8:C9">
    <cfRule type="cellIs" dxfId="207" priority="19" stopIfTrue="1" operator="equal">
      <formula>15</formula>
    </cfRule>
  </conditionalFormatting>
  <conditionalFormatting sqref="C14:C16">
    <cfRule type="cellIs" dxfId="206" priority="13" stopIfTrue="1" operator="equal">
      <formula>30</formula>
    </cfRule>
  </conditionalFormatting>
  <conditionalFormatting sqref="D5:D7">
    <cfRule type="cellIs" dxfId="205" priority="10" stopIfTrue="1" operator="equal">
      <formula>25</formula>
    </cfRule>
  </conditionalFormatting>
  <conditionalFormatting sqref="D8:D9">
    <cfRule type="cellIs" dxfId="204" priority="9" stopIfTrue="1" operator="equal">
      <formula>15</formula>
    </cfRule>
  </conditionalFormatting>
  <conditionalFormatting sqref="C10:D13">
    <cfRule type="cellIs" dxfId="203" priority="8" stopIfTrue="1" operator="equal">
      <formula>15</formula>
    </cfRule>
  </conditionalFormatting>
  <conditionalFormatting sqref="D14:D16">
    <cfRule type="cellIs" dxfId="202" priority="6" stopIfTrue="1" operator="equal">
      <formula>30</formula>
    </cfRule>
  </conditionalFormatting>
  <conditionalFormatting sqref="C108">
    <cfRule type="expression" dxfId="201" priority="3" stopIfTrue="1">
      <formula>$H$106&lt;&gt;"仅含出让金"</formula>
    </cfRule>
  </conditionalFormatting>
  <conditionalFormatting sqref="C109">
    <cfRule type="expression" dxfId="200" priority="2" stopIfTrue="1">
      <formula>$H$109="由企业提供"</formula>
    </cfRule>
  </conditionalFormatting>
  <conditionalFormatting sqref="I33">
    <cfRule type="expression" dxfId="19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70" zoomScaleNormal="100" zoomScaleSheetLayoutView="70" zoomScalePageLayoutView="80" workbookViewId="0">
      <selection activeCell="C14" sqref="C14:C16"/>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89" t="str">
        <f>项目基本情况!K2</f>
        <v>出让国有建设用地使用权</v>
      </c>
      <c r="B2" s="3490"/>
      <c r="C2" s="3491"/>
      <c r="D2" s="3491"/>
      <c r="E2" s="3491"/>
      <c r="F2" s="3491"/>
      <c r="G2" s="3490"/>
      <c r="H2" s="3490"/>
      <c r="I2" s="3492"/>
      <c r="J2" s="1912"/>
      <c r="K2" s="1911"/>
      <c r="L2" s="1911"/>
      <c r="M2" s="1911"/>
      <c r="N2" s="1911"/>
      <c r="O2" s="1911"/>
      <c r="P2" s="1911"/>
      <c r="Q2" s="1911"/>
      <c r="R2" s="1911"/>
      <c r="S2" s="1911"/>
      <c r="T2" s="1911"/>
      <c r="U2" s="1911"/>
      <c r="V2" s="1911"/>
    </row>
    <row r="3" spans="1:22" ht="14.25">
      <c r="A3" s="3500" t="s">
        <v>298</v>
      </c>
      <c r="B3" s="3501"/>
      <c r="C3" s="3501"/>
      <c r="D3" s="3501"/>
      <c r="E3" s="3501"/>
      <c r="F3" s="3501"/>
      <c r="G3" s="3501"/>
      <c r="H3" s="3501"/>
      <c r="I3" s="3501"/>
      <c r="J3" s="1912"/>
      <c r="K3" s="1911"/>
      <c r="L3" s="1911"/>
      <c r="M3" s="1911"/>
      <c r="N3" s="1911"/>
      <c r="O3" s="1911"/>
      <c r="P3" s="1911"/>
      <c r="Q3" s="1911"/>
      <c r="R3" s="1911"/>
      <c r="S3" s="1911"/>
      <c r="T3" s="1911"/>
      <c r="U3" s="1911"/>
      <c r="V3" s="1911"/>
    </row>
    <row r="4" spans="1:22" ht="14.25">
      <c r="A4" s="256" t="s">
        <v>299</v>
      </c>
      <c r="B4" s="257" t="s">
        <v>300</v>
      </c>
      <c r="C4" s="258"/>
      <c r="D4" s="258"/>
      <c r="E4" s="3464" t="s">
        <v>301</v>
      </c>
      <c r="F4" s="3506"/>
      <c r="G4" s="3506"/>
      <c r="H4" s="3506"/>
      <c r="I4" s="3465"/>
      <c r="J4" s="1912"/>
      <c r="K4" s="1911"/>
      <c r="L4" s="3196"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93" t="s">
        <v>302</v>
      </c>
      <c r="B5" s="3494">
        <v>25</v>
      </c>
      <c r="C5" s="3502"/>
      <c r="D5" s="3505"/>
      <c r="E5" s="259" t="s">
        <v>303</v>
      </c>
      <c r="F5" s="260"/>
      <c r="G5" s="260"/>
      <c r="H5" s="260"/>
      <c r="I5" s="261"/>
      <c r="J5" s="1912"/>
      <c r="K5" s="1911"/>
      <c r="L5" s="1911"/>
      <c r="M5" s="1911"/>
      <c r="N5" s="1911"/>
      <c r="O5" s="1911"/>
      <c r="P5" s="1911"/>
      <c r="Q5" s="1911"/>
      <c r="R5" s="1911"/>
      <c r="S5" s="1911"/>
      <c r="T5" s="1911"/>
      <c r="U5" s="1911"/>
      <c r="V5" s="1911"/>
    </row>
    <row r="6" spans="1:22" ht="14.25">
      <c r="A6" s="3493"/>
      <c r="B6" s="3494"/>
      <c r="C6" s="3503"/>
      <c r="D6" s="3505"/>
      <c r="E6" s="259" t="s">
        <v>304</v>
      </c>
      <c r="F6" s="260"/>
      <c r="G6" s="260"/>
      <c r="H6" s="260"/>
      <c r="I6" s="261"/>
      <c r="J6" s="1912"/>
      <c r="K6" s="1911"/>
      <c r="L6" s="1911"/>
      <c r="M6" s="1911"/>
      <c r="N6" s="1911"/>
      <c r="O6" s="1911"/>
      <c r="P6" s="1911"/>
      <c r="Q6" s="1911"/>
      <c r="R6" s="1911"/>
      <c r="S6" s="1911"/>
      <c r="T6" s="1911"/>
      <c r="U6" s="1911"/>
      <c r="V6" s="1911"/>
    </row>
    <row r="7" spans="1:22" ht="14.25">
      <c r="A7" s="3493"/>
      <c r="B7" s="3494"/>
      <c r="C7" s="3504"/>
      <c r="D7" s="3505"/>
      <c r="E7" s="259" t="s">
        <v>305</v>
      </c>
      <c r="F7" s="260"/>
      <c r="G7" s="260"/>
      <c r="H7" s="260"/>
      <c r="I7" s="261"/>
      <c r="J7" s="1912"/>
      <c r="K7" s="1911"/>
      <c r="L7" s="1911"/>
      <c r="M7" s="1911"/>
      <c r="N7" s="1911"/>
      <c r="O7" s="1911"/>
      <c r="P7" s="1911"/>
      <c r="Q7" s="1911"/>
      <c r="R7" s="1911"/>
      <c r="S7" s="1911"/>
      <c r="T7" s="1911"/>
      <c r="U7" s="1911"/>
      <c r="V7" s="1911"/>
    </row>
    <row r="8" spans="1:22" ht="14.25">
      <c r="A8" s="3493" t="s">
        <v>306</v>
      </c>
      <c r="B8" s="3494">
        <v>15</v>
      </c>
      <c r="C8" s="3502"/>
      <c r="D8" s="3505"/>
      <c r="E8" s="259" t="s">
        <v>307</v>
      </c>
      <c r="F8" s="260"/>
      <c r="G8" s="260"/>
      <c r="H8" s="260"/>
      <c r="I8" s="261"/>
      <c r="J8" s="1912"/>
      <c r="K8" s="1911"/>
      <c r="L8" s="1911"/>
      <c r="M8" s="1911"/>
      <c r="N8" s="1911"/>
      <c r="O8" s="1911"/>
      <c r="P8" s="1911"/>
      <c r="Q8" s="1911"/>
      <c r="R8" s="1911"/>
      <c r="S8" s="1911"/>
      <c r="T8" s="1911"/>
      <c r="U8" s="1911"/>
      <c r="V8" s="1911"/>
    </row>
    <row r="9" spans="1:22" ht="14.25">
      <c r="A9" s="3493"/>
      <c r="B9" s="3494"/>
      <c r="C9" s="3504"/>
      <c r="D9" s="3505"/>
      <c r="E9" s="259" t="s">
        <v>308</v>
      </c>
      <c r="F9" s="260"/>
      <c r="G9" s="260"/>
      <c r="H9" s="260"/>
      <c r="I9" s="261"/>
      <c r="J9" s="1912"/>
      <c r="K9" s="1911"/>
      <c r="L9" s="1911"/>
      <c r="M9" s="1911"/>
      <c r="N9" s="1911"/>
      <c r="O9" s="1911"/>
      <c r="P9" s="1911"/>
      <c r="Q9" s="1911"/>
      <c r="R9" s="1911"/>
      <c r="S9" s="1911"/>
      <c r="T9" s="1911"/>
      <c r="U9" s="1911"/>
      <c r="V9" s="1911"/>
    </row>
    <row r="10" spans="1:22" ht="14.25">
      <c r="A10" s="3493" t="s">
        <v>309</v>
      </c>
      <c r="B10" s="3494">
        <v>15</v>
      </c>
      <c r="C10" s="3502"/>
      <c r="D10" s="3505"/>
      <c r="E10" s="259" t="s">
        <v>310</v>
      </c>
      <c r="F10" s="260"/>
      <c r="G10" s="260"/>
      <c r="H10" s="260"/>
      <c r="I10" s="261"/>
      <c r="J10" s="1912"/>
      <c r="K10" s="1911"/>
      <c r="L10" s="1911"/>
      <c r="M10" s="1911"/>
      <c r="N10" s="1911"/>
      <c r="O10" s="1911"/>
      <c r="P10" s="1911"/>
      <c r="Q10" s="1911"/>
      <c r="R10" s="1911"/>
      <c r="S10" s="1911"/>
      <c r="T10" s="1911"/>
      <c r="U10" s="1911"/>
      <c r="V10" s="1911"/>
    </row>
    <row r="11" spans="1:22" ht="14.25">
      <c r="A11" s="3493"/>
      <c r="B11" s="3494"/>
      <c r="C11" s="3504"/>
      <c r="D11" s="3505"/>
      <c r="E11" s="259" t="s">
        <v>311</v>
      </c>
      <c r="F11" s="260"/>
      <c r="G11" s="260"/>
      <c r="H11" s="260"/>
      <c r="I11" s="261"/>
      <c r="J11" s="1912"/>
      <c r="K11" s="1911"/>
      <c r="L11" s="1911"/>
      <c r="M11" s="1911"/>
      <c r="N11" s="1911"/>
      <c r="O11" s="1911"/>
      <c r="P11" s="1911"/>
      <c r="Q11" s="1911"/>
      <c r="R11" s="1911"/>
      <c r="S11" s="1911"/>
      <c r="T11" s="1911"/>
      <c r="U11" s="1911"/>
      <c r="V11" s="1911"/>
    </row>
    <row r="12" spans="1:22" ht="14.25">
      <c r="A12" s="3493" t="s">
        <v>312</v>
      </c>
      <c r="B12" s="3494">
        <v>15</v>
      </c>
      <c r="C12" s="3502"/>
      <c r="D12" s="3505"/>
      <c r="E12" s="259" t="s">
        <v>313</v>
      </c>
      <c r="F12" s="260"/>
      <c r="G12" s="260"/>
      <c r="H12" s="260"/>
      <c r="I12" s="261"/>
      <c r="J12" s="1912"/>
      <c r="K12" s="1911"/>
      <c r="L12" s="1911"/>
      <c r="M12" s="1911"/>
      <c r="N12" s="1911"/>
      <c r="O12" s="1911"/>
      <c r="P12" s="1911"/>
      <c r="Q12" s="1911"/>
      <c r="R12" s="1911"/>
      <c r="S12" s="1911"/>
      <c r="T12" s="1911"/>
      <c r="U12" s="1911"/>
      <c r="V12" s="1911"/>
    </row>
    <row r="13" spans="1:22" ht="14.25">
      <c r="A13" s="3493"/>
      <c r="B13" s="3494"/>
      <c r="C13" s="3504"/>
      <c r="D13" s="3505"/>
      <c r="E13" s="259" t="s">
        <v>314</v>
      </c>
      <c r="F13" s="260"/>
      <c r="G13" s="260"/>
      <c r="H13" s="260"/>
      <c r="I13" s="261"/>
      <c r="J13" s="1912"/>
      <c r="K13" s="1911"/>
      <c r="L13" s="1911"/>
      <c r="M13" s="1911"/>
      <c r="N13" s="1911"/>
      <c r="O13" s="1911"/>
      <c r="P13" s="1911"/>
      <c r="Q13" s="1911"/>
      <c r="R13" s="1911"/>
      <c r="S13" s="1911"/>
      <c r="T13" s="1911"/>
      <c r="U13" s="1911"/>
      <c r="V13" s="1911"/>
    </row>
    <row r="14" spans="1:22" ht="14.25">
      <c r="A14" s="3493" t="s">
        <v>315</v>
      </c>
      <c r="B14" s="3494">
        <v>30</v>
      </c>
      <c r="C14" s="3502"/>
      <c r="D14" s="3505"/>
      <c r="E14" s="259" t="s">
        <v>316</v>
      </c>
      <c r="F14" s="260"/>
      <c r="G14" s="260"/>
      <c r="H14" s="260"/>
      <c r="I14" s="261"/>
      <c r="J14" s="1912"/>
      <c r="K14" s="1911"/>
      <c r="L14" s="1911"/>
      <c r="M14" s="1911"/>
      <c r="N14" s="1911"/>
      <c r="O14" s="1911"/>
      <c r="P14" s="1911"/>
      <c r="Q14" s="1911"/>
      <c r="R14" s="1911"/>
      <c r="S14" s="1911"/>
      <c r="T14" s="1911"/>
      <c r="U14" s="1911"/>
      <c r="V14" s="1911"/>
    </row>
    <row r="15" spans="1:22" ht="14.25">
      <c r="A15" s="3493"/>
      <c r="B15" s="3494"/>
      <c r="C15" s="3503"/>
      <c r="D15" s="3505"/>
      <c r="E15" s="259" t="s">
        <v>317</v>
      </c>
      <c r="F15" s="260"/>
      <c r="G15" s="260"/>
      <c r="H15" s="260"/>
      <c r="I15" s="261"/>
      <c r="J15" s="1912"/>
      <c r="K15" s="1911"/>
      <c r="L15" s="1911"/>
      <c r="M15" s="1911"/>
      <c r="N15" s="1911"/>
      <c r="O15" s="1911"/>
      <c r="P15" s="1911"/>
      <c r="Q15" s="1911"/>
      <c r="R15" s="1911"/>
      <c r="S15" s="1911"/>
      <c r="T15" s="1911"/>
      <c r="U15" s="1911"/>
      <c r="V15" s="1911"/>
    </row>
    <row r="16" spans="1:22" ht="14.25">
      <c r="A16" s="3493"/>
      <c r="B16" s="3494"/>
      <c r="C16" s="3504"/>
      <c r="D16" s="3505"/>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0</v>
      </c>
      <c r="D17" s="263">
        <f>SUM(D5:D16)</f>
        <v>0</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t="e">
        <f>ROUND(C17/SUM(C17:D17),2)</f>
        <v>#DIV/0!</v>
      </c>
      <c r="D18" s="265" t="e">
        <f>1-C18</f>
        <v>#DIV/0!</v>
      </c>
      <c r="E18" s="3507" t="s">
        <v>2958</v>
      </c>
      <c r="F18" s="3508"/>
      <c r="G18" s="3508"/>
      <c r="H18" s="3508"/>
      <c r="I18" s="3508"/>
      <c r="J18" s="1911"/>
      <c r="K18" s="1911"/>
      <c r="L18" s="1911"/>
      <c r="M18" s="1911"/>
      <c r="N18" s="1911"/>
      <c r="O18" s="1911"/>
      <c r="P18" s="1911"/>
      <c r="Q18" s="1911"/>
      <c r="R18" s="1911"/>
      <c r="S18" s="1911"/>
      <c r="T18" s="1911"/>
      <c r="U18" s="1911"/>
      <c r="V18" s="1911"/>
    </row>
    <row r="19" spans="1:26" ht="15">
      <c r="A19" s="266" t="s">
        <v>321</v>
      </c>
      <c r="B19" s="267" t="s">
        <v>322</v>
      </c>
      <c r="C19" s="268" t="e">
        <f ca="1">SUMIF(INDIRECT("'"&amp;C4&amp;"'"&amp;"!A:A"),'结果表-23净值'!B19,INDIRECT("'"&amp;C4&amp;"'"&amp;"!B:B"))</f>
        <v>#REF!</v>
      </c>
      <c r="D19" s="269" t="e">
        <f ca="1">SUMIF(INDIRECT("'"&amp;D4&amp;"'"&amp;"!A:A"),'结果表-23净值'!B19,INDIRECT("'"&amp;D4&amp;"'"&amp;"!B:B"))</f>
        <v>#REF!</v>
      </c>
      <c r="E19" s="266" t="s">
        <v>323</v>
      </c>
      <c r="F19" s="267" t="s">
        <v>322</v>
      </c>
      <c r="G19" s="270" t="e">
        <f ca="1">ROUND(C19*$C$18+D19*$D$18,0)</f>
        <v>#REF!</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t="e">
        <f ca="1">SUMIF(INDIRECT("'"&amp;C4&amp;"'"&amp;"!A:A"),'结果表-23净值'!B20,INDIRECT("'"&amp;C4&amp;"'"&amp;"!B:B"))</f>
        <v>#REF!</v>
      </c>
      <c r="D20" s="275" t="e">
        <f ca="1">SUMIF(INDIRECT("'"&amp;D4&amp;"'"&amp;"!A:A"),'结果表-23净值'!B20,INDIRECT("'"&amp;D4&amp;"'"&amp;"!B:B"))</f>
        <v>#REF!</v>
      </c>
      <c r="E20" s="272"/>
      <c r="F20" s="273" t="s">
        <v>325</v>
      </c>
      <c r="G20" s="276" t="e">
        <f ca="1">ROUND(C20*$C$18+D20*$D$18,0)</f>
        <v>#REF!</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SUMIF(INDIRECT("'"&amp;C4&amp;"'"&amp;"!A:A"),'结果表-23净值'!B21,INDIRECT("'"&amp;C4&amp;"'"&amp;"!B:B"))</f>
        <v>#REF!</v>
      </c>
      <c r="D21" s="149" t="e">
        <f ca="1">SUMIF(INDIRECT("'"&amp;D4&amp;"'"&amp;"!A:A"),'结果表-23净值'!B21,INDIRECT("'"&amp;D4&amp;"'"&amp;"!B:B"))</f>
        <v>#REF!</v>
      </c>
      <c r="E21" s="272"/>
      <c r="F21" s="278" t="s">
        <v>327</v>
      </c>
      <c r="G21" s="280" t="e">
        <f ca="1">ROUND(C21*$C$18+D21*$D$18,0)</f>
        <v>#REF!</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t="e">
        <f ca="1">IF(C19&lt;D19,D19/C19-1,C19/D19-1)</f>
        <v>#REF!</v>
      </c>
      <c r="E22" s="282"/>
      <c r="F22" s="283"/>
      <c r="G22" s="284" t="e">
        <f ca="1">ROUND(G19/('数据-汇总表'!D3/666.67),0)</f>
        <v>#REF!</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66"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513"/>
      <c r="B25" s="1274" t="s">
        <v>331</v>
      </c>
      <c r="C25" s="288">
        <f>IF(B30=0,0,C30)</f>
        <v>0</v>
      </c>
      <c r="D25" s="289"/>
      <c r="E25" s="309"/>
      <c r="F25" s="309"/>
      <c r="G25" s="309"/>
      <c r="H25" s="309"/>
      <c r="I25" s="309"/>
      <c r="J25" s="1911"/>
      <c r="K25" s="1208" t="e">
        <f ca="1">项目基本情况!B16&amp;"国有建设用地使用权价格："&amp;O38&amp;"万元"</f>
        <v>#REF!</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e">
        <f ca="1">"大写金额：人民币"&amp;NUMBERSTRING(INT(O38*10000),2)&amp;"元整"</f>
        <v>#REF!</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e">
        <f ca="1">"单位面积地价："&amp;M38&amp;"元/平方米"</f>
        <v>#REF!</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e">
        <f ca="1">"楼面地价："&amp;N38&amp;"元/平方米"</f>
        <v>#REF!</v>
      </c>
      <c r="L28" s="1205"/>
      <c r="M28" s="1205"/>
      <c r="N28" s="1205"/>
      <c r="O28" s="1204"/>
      <c r="P28" s="1911"/>
      <c r="V28" s="1911"/>
    </row>
    <row r="29" spans="1:26" ht="18">
      <c r="A29" s="291"/>
      <c r="B29" s="292"/>
      <c r="C29" s="292"/>
      <c r="D29" s="293"/>
      <c r="E29" s="309"/>
      <c r="F29" s="309"/>
      <c r="G29" s="309"/>
      <c r="H29" s="309"/>
      <c r="I29" s="309"/>
      <c r="J29" s="1911"/>
      <c r="K29" s="1211" t="e">
        <f ca="1">IF(OR(项目基本情况!E8="抵押价格",项目基本情况!E8="已注销及未注销"),"抵押价格："&amp;O39&amp;"万元","——")</f>
        <v>#REF!</v>
      </c>
      <c r="L29" s="1205"/>
      <c r="M29" s="1205"/>
      <c r="N29" s="1205"/>
      <c r="O29" s="1204"/>
      <c r="P29" s="1911"/>
      <c r="V29" s="1911"/>
    </row>
    <row r="30" spans="1:26" ht="18.75" thickBot="1">
      <c r="A30" s="2800" t="s">
        <v>336</v>
      </c>
      <c r="B30" s="307"/>
      <c r="C30" s="307"/>
      <c r="D30" s="308"/>
      <c r="E30" s="3003" t="s">
        <v>2959</v>
      </c>
      <c r="F30" s="309"/>
      <c r="G30" s="309"/>
      <c r="H30" s="309"/>
      <c r="I30" s="309"/>
      <c r="J30" s="1911"/>
      <c r="K30" s="1211" t="e">
        <f ca="1">IF(K29="——","——","大写金额：人民币"&amp;NUMBERSTRING(INT(O39*10000),2)&amp;"元整")</f>
        <v>#REF!</v>
      </c>
      <c r="L30" s="1205"/>
      <c r="M30" s="1205"/>
      <c r="N30" s="1205"/>
      <c r="O30" s="1204"/>
      <c r="P30" s="1911"/>
      <c r="V30" s="1911"/>
    </row>
    <row r="31" spans="1:26" ht="24" customHeight="1" thickBot="1">
      <c r="A31" s="3509" t="s">
        <v>2960</v>
      </c>
      <c r="B31" s="3509"/>
      <c r="C31" s="3509"/>
      <c r="D31" s="3509"/>
      <c r="E31" s="3509"/>
      <c r="F31" s="3509"/>
      <c r="G31" s="3509"/>
      <c r="H31" s="3509"/>
      <c r="I31" s="3509"/>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1678</v>
      </c>
      <c r="C32" s="264" t="e">
        <f ca="1">G19-C24</f>
        <v>#REF!</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t="e">
        <f ca="1">ROUND(C32*10000/'数据-汇总表'!E3,0)</f>
        <v>#REF!</v>
      </c>
      <c r="D33" s="1333" t="s">
        <v>1681</v>
      </c>
      <c r="E33" s="3466"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1682</v>
      </c>
      <c r="C34" s="262" t="e">
        <f ca="1">ROUND(C32*10000/'数据-汇总表'!D3,0)</f>
        <v>#REF!</v>
      </c>
      <c r="D34" s="1335" t="s">
        <v>1681</v>
      </c>
      <c r="E34" s="3467"/>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t="e">
        <f ca="1">ROUND(C32/('数据-汇总表'!D3/666.67),0)</f>
        <v>#REF!</v>
      </c>
      <c r="D35" s="1338" t="s">
        <v>1683</v>
      </c>
      <c r="E35" s="3468"/>
      <c r="F35" s="299" t="s">
        <v>342</v>
      </c>
      <c r="G35" s="969"/>
      <c r="H35" s="968" t="s">
        <v>343</v>
      </c>
      <c r="I35" s="309"/>
      <c r="J35" s="1911"/>
      <c r="K35" s="3472" t="s">
        <v>350</v>
      </c>
      <c r="L35" s="3472" t="s">
        <v>351</v>
      </c>
      <c r="M35" s="1217" t="s">
        <v>352</v>
      </c>
      <c r="N35" s="3472" t="s">
        <v>353</v>
      </c>
      <c r="O35" s="3472" t="s">
        <v>354</v>
      </c>
      <c r="P35" s="1911"/>
      <c r="V35" s="1911"/>
    </row>
    <row r="36" spans="1:26" ht="16.5" customHeight="1">
      <c r="A36" s="301" t="s">
        <v>344</v>
      </c>
      <c r="B36" s="302" t="s">
        <v>333</v>
      </c>
      <c r="C36" s="303" t="s">
        <v>345</v>
      </c>
      <c r="D36" s="303" t="s">
        <v>346</v>
      </c>
      <c r="E36" s="304" t="s">
        <v>347</v>
      </c>
      <c r="F36" s="309"/>
      <c r="G36" s="309"/>
      <c r="H36" s="309"/>
      <c r="I36" s="309"/>
      <c r="J36" s="1913"/>
      <c r="K36" s="3473"/>
      <c r="L36" s="3473"/>
      <c r="M36" s="1219" t="s">
        <v>355</v>
      </c>
      <c r="N36" s="3473"/>
      <c r="O36" s="3473"/>
      <c r="P36" s="1911"/>
      <c r="V36" s="1911"/>
    </row>
    <row r="37" spans="1:26" ht="16.5" customHeight="1" thickBot="1">
      <c r="A37" s="1213" t="s">
        <v>348</v>
      </c>
      <c r="B37" s="305"/>
      <c r="C37" s="292"/>
      <c r="D37" s="292"/>
      <c r="E37" s="293"/>
      <c r="F37" s="309"/>
      <c r="G37" s="309"/>
      <c r="H37" s="309"/>
      <c r="I37" s="309"/>
      <c r="J37" s="1913"/>
      <c r="K37" s="3474"/>
      <c r="L37" s="3474"/>
      <c r="M37" s="1220"/>
      <c r="N37" s="3474"/>
      <c r="O37" s="3474"/>
      <c r="P37" s="1911"/>
      <c r="V37" s="1911"/>
    </row>
    <row r="38" spans="1:26" ht="16.5" customHeight="1" thickBot="1">
      <c r="A38" s="1213" t="s">
        <v>349</v>
      </c>
      <c r="B38" s="305"/>
      <c r="C38" s="292"/>
      <c r="D38" s="292"/>
      <c r="E38" s="293"/>
      <c r="F38" s="309"/>
      <c r="G38" s="309"/>
      <c r="H38" s="309"/>
      <c r="I38" s="309"/>
      <c r="J38" s="1913"/>
      <c r="K38" s="1221">
        <f>'数据-汇总表'!D3</f>
        <v>54426.77</v>
      </c>
      <c r="L38" s="1222">
        <f>'数据-汇总表'!E3</f>
        <v>136066.92000000001</v>
      </c>
      <c r="M38" s="1222" t="e">
        <f ca="1">C34</f>
        <v>#REF!</v>
      </c>
      <c r="N38" s="1222" t="e">
        <f ca="1">C33</f>
        <v>#REF!</v>
      </c>
      <c r="O38" s="1223" t="e">
        <f ca="1">C32</f>
        <v>#REF!</v>
      </c>
      <c r="P38" s="1911"/>
      <c r="V38" s="1911"/>
    </row>
    <row r="39" spans="1:26" ht="16.5" customHeight="1" thickBot="1">
      <c r="A39" s="1218"/>
      <c r="B39" s="306"/>
      <c r="C39" s="307"/>
      <c r="D39" s="307"/>
      <c r="E39" s="308"/>
      <c r="F39" s="309"/>
      <c r="G39" s="309"/>
      <c r="H39" s="309"/>
      <c r="I39" s="309"/>
      <c r="J39" s="1913"/>
      <c r="K39" s="3485" t="str">
        <f>MID(A44,3,LEN(A44)-2)</f>
        <v>抵押价格</v>
      </c>
      <c r="L39" s="3486"/>
      <c r="M39" s="3486"/>
      <c r="N39" s="3487"/>
      <c r="O39" s="1340" t="e">
        <f ca="1">C44</f>
        <v>#REF!</v>
      </c>
      <c r="P39" s="1911"/>
      <c r="V39" s="1911"/>
    </row>
    <row r="40" spans="1:26" ht="19.5" thickBot="1">
      <c r="A40" s="104" t="s">
        <v>863</v>
      </c>
      <c r="B40" s="309"/>
      <c r="C40" s="309"/>
      <c r="D40" s="309"/>
      <c r="E40" s="309"/>
      <c r="F40" s="309"/>
      <c r="G40" s="309"/>
      <c r="H40" s="309"/>
      <c r="I40" s="309"/>
      <c r="J40" s="1913"/>
      <c r="K40" s="3485" t="str">
        <f t="shared" ref="K40:K41" si="0">MID(A45,3,LEN(A45)-2)</f>
        <v/>
      </c>
      <c r="L40" s="3486"/>
      <c r="M40" s="3486"/>
      <c r="N40" s="3487"/>
      <c r="O40" s="1340" t="str">
        <f>C45</f>
        <v>——</v>
      </c>
      <c r="P40" s="1911"/>
      <c r="V40" s="1911"/>
    </row>
    <row r="41" spans="1:26" ht="16.5" thickBot="1">
      <c r="A41" s="310" t="s">
        <v>356</v>
      </c>
      <c r="B41" s="311"/>
      <c r="C41" s="312" t="s">
        <v>357</v>
      </c>
      <c r="D41" s="313" t="s">
        <v>358</v>
      </c>
      <c r="E41" s="313" t="s">
        <v>359</v>
      </c>
      <c r="F41" s="314" t="s">
        <v>360</v>
      </c>
      <c r="G41" s="309"/>
      <c r="H41" s="309"/>
      <c r="I41" s="309"/>
      <c r="J41" s="1913"/>
      <c r="K41" s="3485" t="str">
        <f t="shared" si="0"/>
        <v/>
      </c>
      <c r="L41" s="3486"/>
      <c r="M41" s="3486"/>
      <c r="N41" s="3487"/>
      <c r="O41" s="1340" t="str">
        <f>C46</f>
        <v>——</v>
      </c>
      <c r="P41" s="1911"/>
      <c r="V41" s="1911"/>
    </row>
    <row r="42" spans="1:26" ht="29.25">
      <c r="A42" s="3514" t="s">
        <v>2055</v>
      </c>
      <c r="B42" s="3515"/>
      <c r="C42" s="262" t="e">
        <f ca="1">C32</f>
        <v>#REF!</v>
      </c>
      <c r="D42" s="315" t="e">
        <f ca="1">C33</f>
        <v>#REF!</v>
      </c>
      <c r="E42" s="315" t="e">
        <f ca="1">C34</f>
        <v>#REF!</v>
      </c>
      <c r="F42" s="316" t="e">
        <f ca="1">C35</f>
        <v>#REF!</v>
      </c>
      <c r="G42" s="309"/>
      <c r="H42" s="309"/>
      <c r="I42" s="317"/>
      <c r="J42" s="1913"/>
      <c r="K42" s="1224" t="s">
        <v>361</v>
      </c>
      <c r="L42" s="1930" t="s">
        <v>362</v>
      </c>
      <c r="M42" s="1225" t="s">
        <v>363</v>
      </c>
      <c r="N42" s="1931" t="s">
        <v>364</v>
      </c>
      <c r="O42" s="1932" t="s">
        <v>365</v>
      </c>
      <c r="P42" s="1911"/>
      <c r="V42" s="1911"/>
    </row>
    <row r="43" spans="1:26" ht="18">
      <c r="A43" s="3524" t="s">
        <v>2709</v>
      </c>
      <c r="B43" s="3525"/>
      <c r="C43" s="262">
        <f>IF(H33="正常操作",G33+G34+G35,G34+G35)</f>
        <v>0</v>
      </c>
      <c r="D43" s="315" t="s">
        <v>43</v>
      </c>
      <c r="E43" s="315" t="s">
        <v>44</v>
      </c>
      <c r="F43" s="316" t="s">
        <v>44</v>
      </c>
      <c r="G43" s="2583" t="s">
        <v>942</v>
      </c>
      <c r="H43" s="309"/>
      <c r="I43" s="317"/>
      <c r="J43" s="1913"/>
      <c r="K43" s="1226">
        <f>C4</f>
        <v>0</v>
      </c>
      <c r="L43" s="1227" t="e">
        <f ca="1">IF(L42="估价结果/万元",C19,C20)</f>
        <v>#REF!</v>
      </c>
      <c r="M43" s="1228" t="e">
        <f>C18</f>
        <v>#DIV/0!</v>
      </c>
      <c r="N43" s="1229" t="e">
        <f ca="1">IF(N42="测算结果/万元",G19,G20)</f>
        <v>#REF!</v>
      </c>
      <c r="O43" s="1230" t="e">
        <f ca="1">IF(O42="最终结果/万元",C32,C33)</f>
        <v>#REF!</v>
      </c>
      <c r="P43" s="1911"/>
      <c r="V43" s="1911"/>
    </row>
    <row r="44" spans="1:26" ht="18.75" thickBot="1">
      <c r="A44" s="3514" t="str">
        <f>IF(OR(项目基本情况!E8="抵押价格",项目基本情况!E8="已注销及未注销"),"3.抵押价格","——")</f>
        <v>3.抵押价格</v>
      </c>
      <c r="B44" s="3515"/>
      <c r="C44" s="262" t="e">
        <f ca="1">IF(A44="——","——",C42-C43)</f>
        <v>#REF!</v>
      </c>
      <c r="D44" s="315" t="e">
        <f ca="1">ROUND(C44*10000/'数据-汇总表'!E3,0)</f>
        <v>#REF!</v>
      </c>
      <c r="E44" s="315" t="e">
        <f ca="1">ROUND(C44*10000/'数据-汇总表'!D3,0)</f>
        <v>#REF!</v>
      </c>
      <c r="F44" s="316" t="e">
        <f ca="1">ROUND(C44/('数据-汇总表'!D3/666.67),0)</f>
        <v>#REF!</v>
      </c>
      <c r="G44" s="309"/>
      <c r="H44" s="309"/>
      <c r="I44" s="317"/>
      <c r="J44" s="1913"/>
      <c r="K44" s="1231">
        <f>D4</f>
        <v>0</v>
      </c>
      <c r="L44" s="1232" t="e">
        <f ca="1">IF(L42="估价结果/万元",D19,D20)</f>
        <v>#REF!</v>
      </c>
      <c r="M44" s="1233" t="e">
        <f>D18</f>
        <v>#DIV/0!</v>
      </c>
      <c r="N44" s="1234"/>
      <c r="O44" s="1235"/>
      <c r="P44" s="1911"/>
      <c r="V44" s="1911"/>
    </row>
    <row r="45" spans="1:26" ht="15">
      <c r="A45" s="3519" t="str">
        <f>IF(项目基本情况!E8="已注销及未注销","4.抵押担保权已注销时的抵押价格",IF(项目基本情况!E8="已注销","3.抵押担保权已注销时的抵押价格","——"))</f>
        <v>——</v>
      </c>
      <c r="B45" s="3520"/>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516" t="str">
        <f>IF(项目基本情况!E9="抵押净值",IF(A45="——","4.抵押净值","5.抵押净值"),"——")</f>
        <v>——</v>
      </c>
      <c r="B46" s="3517"/>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77" t="s">
        <v>374</v>
      </c>
      <c r="B63" s="3478"/>
      <c r="C63" s="3479"/>
      <c r="D63" s="339">
        <f>系统读取表!D15</f>
        <v>0</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521" t="s">
        <v>378</v>
      </c>
      <c r="B64" s="3522"/>
      <c r="C64" s="3522"/>
      <c r="D64" s="3522"/>
      <c r="E64" s="3522"/>
      <c r="F64" s="3522"/>
      <c r="G64" s="3523"/>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518" t="s">
        <v>386</v>
      </c>
      <c r="B66" s="3484"/>
      <c r="C66" s="3484"/>
      <c r="D66" s="259">
        <f>IF(H66="情况1",0,IF(H66="情况2",D70,IF(H66="情况3",D71,IF(H66="情况4",D72))))</f>
        <v>0</v>
      </c>
      <c r="E66" s="3280" t="str">
        <f>IF(H66="情况4","(销售额-原购置价)×税（费）率","销售额×税（费）率")</f>
        <v>销售额×税（费）率</v>
      </c>
      <c r="F66" s="348">
        <f>IF(H66="情况1","免征",'数据-取费表'!B41)</f>
        <v>5.5000000000000007E-2</v>
      </c>
      <c r="G66" s="349" t="s">
        <v>387</v>
      </c>
      <c r="H66" s="189" t="s">
        <v>3166</v>
      </c>
      <c r="I66" s="1241"/>
      <c r="J66" s="1917"/>
      <c r="K66" s="3290">
        <v>1</v>
      </c>
      <c r="L66" s="3445" t="s">
        <v>385</v>
      </c>
      <c r="M66" s="3446"/>
      <c r="N66" s="2312"/>
      <c r="O66" s="2313"/>
      <c r="P66" s="2314"/>
      <c r="Q66" s="1911"/>
      <c r="R66" s="1911"/>
      <c r="S66" s="1911"/>
      <c r="T66" s="1911"/>
      <c r="U66" s="1911"/>
      <c r="V66" s="1911"/>
    </row>
    <row r="67" spans="1:22" ht="25.5" customHeight="1">
      <c r="A67" s="350" t="s">
        <v>389</v>
      </c>
      <c r="B67" s="3496" t="s">
        <v>390</v>
      </c>
      <c r="C67" s="3496"/>
      <c r="D67" s="351">
        <v>0</v>
      </c>
      <c r="E67" s="41" t="s">
        <v>391</v>
      </c>
      <c r="F67" s="62" t="s">
        <v>21</v>
      </c>
      <c r="G67" s="3480"/>
      <c r="H67" s="3006" t="s">
        <v>2961</v>
      </c>
      <c r="I67" s="3008"/>
      <c r="J67" s="1918"/>
      <c r="K67" s="3287">
        <v>2</v>
      </c>
      <c r="L67" s="3450" t="s">
        <v>388</v>
      </c>
      <c r="M67" s="3450"/>
      <c r="N67" s="1278">
        <f>'数据-取费表'!B2</f>
        <v>44258</v>
      </c>
      <c r="O67" s="1278"/>
      <c r="P67" s="1278"/>
      <c r="Q67" s="1911"/>
      <c r="R67" s="1911"/>
      <c r="S67" s="1911"/>
      <c r="T67" s="1911"/>
      <c r="U67" s="1911"/>
      <c r="V67" s="1911"/>
    </row>
    <row r="68" spans="1:22" ht="25.5" customHeight="1">
      <c r="A68" s="352"/>
      <c r="B68" s="3496" t="s">
        <v>393</v>
      </c>
      <c r="C68" s="3496"/>
      <c r="D68" s="353"/>
      <c r="E68" s="77"/>
      <c r="F68" s="354"/>
      <c r="G68" s="3481"/>
      <c r="H68" s="3007" t="s">
        <v>2962</v>
      </c>
      <c r="I68" s="3008"/>
      <c r="J68" s="1918"/>
      <c r="K68" s="3287">
        <v>3</v>
      </c>
      <c r="L68" s="3450" t="s">
        <v>392</v>
      </c>
      <c r="M68" s="3450"/>
      <c r="N68" s="1246" t="e">
        <f ca="1">C42</f>
        <v>#REF!</v>
      </c>
      <c r="O68" s="1246"/>
      <c r="P68" s="1246"/>
      <c r="Q68" s="1911"/>
      <c r="R68" s="1911"/>
      <c r="S68" s="1911"/>
      <c r="T68" s="1911"/>
      <c r="U68" s="1911"/>
      <c r="V68" s="1911"/>
    </row>
    <row r="69" spans="1:22" ht="23.45" customHeight="1">
      <c r="A69" s="355"/>
      <c r="B69" s="3496" t="s">
        <v>394</v>
      </c>
      <c r="C69" s="3496"/>
      <c r="D69" s="356"/>
      <c r="E69" s="73"/>
      <c r="F69" s="354"/>
      <c r="G69" s="3482"/>
      <c r="H69" s="3007" t="s">
        <v>2963</v>
      </c>
      <c r="I69" s="3008"/>
      <c r="J69" s="1918"/>
      <c r="K69" s="3289">
        <v>4</v>
      </c>
      <c r="L69" s="3451" t="s">
        <v>2857</v>
      </c>
      <c r="M69" s="3452"/>
      <c r="N69" s="1248" t="e">
        <f ca="1">C44</f>
        <v>#REF!</v>
      </c>
      <c r="O69" s="1248"/>
      <c r="P69" s="1248"/>
      <c r="Q69" s="1911"/>
      <c r="R69" s="1911"/>
      <c r="S69" s="1911"/>
      <c r="T69" s="1911"/>
      <c r="U69" s="1911"/>
      <c r="V69" s="1911"/>
    </row>
    <row r="70" spans="1:22" ht="24" customHeight="1">
      <c r="A70" s="357" t="s">
        <v>395</v>
      </c>
      <c r="B70" s="3496" t="s">
        <v>396</v>
      </c>
      <c r="C70" s="3496"/>
      <c r="D70" s="356">
        <f>ROUND(D63*'数据-取费表'!B41/(1+'数据-取费表'!C42),0)</f>
        <v>0</v>
      </c>
      <c r="E70" s="17" t="s">
        <v>397</v>
      </c>
      <c r="F70" s="358">
        <f>'数据-取费表'!B41</f>
        <v>5.5000000000000007E-2</v>
      </c>
      <c r="G70" s="359"/>
      <c r="H70" s="309"/>
      <c r="I70" s="1245"/>
      <c r="J70" s="1918"/>
      <c r="K70" s="2765"/>
      <c r="L70" s="2766"/>
      <c r="M70" s="2766"/>
      <c r="N70" s="2767" t="s">
        <v>2861</v>
      </c>
      <c r="O70" s="2766"/>
      <c r="P70" s="2768"/>
      <c r="Q70" s="1911"/>
      <c r="R70" s="1911"/>
      <c r="S70" s="1911"/>
      <c r="T70" s="1911"/>
      <c r="U70" s="1911"/>
      <c r="V70" s="1911"/>
    </row>
    <row r="71" spans="1:22" ht="12" customHeight="1">
      <c r="A71" s="357" t="s">
        <v>403</v>
      </c>
      <c r="B71" s="3495" t="s">
        <v>2992</v>
      </c>
      <c r="C71" s="3512"/>
      <c r="D71" s="356">
        <f>ROUND(D63*'数据-取费表'!B41/(1+'数据-取费表'!C42),0)</f>
        <v>0</v>
      </c>
      <c r="E71" s="17" t="s">
        <v>397</v>
      </c>
      <c r="F71" s="358">
        <f>'数据-取费表'!B41</f>
        <v>5.5000000000000007E-2</v>
      </c>
      <c r="G71" s="359"/>
      <c r="H71" s="309"/>
      <c r="I71" s="1245"/>
      <c r="J71" s="1918"/>
      <c r="K71" s="3291" t="s">
        <v>398</v>
      </c>
      <c r="L71" s="3453" t="s">
        <v>399</v>
      </c>
      <c r="M71" s="3453"/>
      <c r="N71" s="3291" t="s">
        <v>400</v>
      </c>
      <c r="O71" s="3291" t="s">
        <v>401</v>
      </c>
      <c r="P71" s="3291" t="s">
        <v>402</v>
      </c>
      <c r="Q71" s="1911"/>
      <c r="R71" s="1911"/>
      <c r="S71" s="1911"/>
      <c r="T71" s="1911"/>
      <c r="U71" s="1911"/>
      <c r="V71" s="1911"/>
    </row>
    <row r="72" spans="1:22" ht="12" customHeight="1">
      <c r="A72" s="357" t="s">
        <v>405</v>
      </c>
      <c r="B72" s="3495" t="s">
        <v>2993</v>
      </c>
      <c r="C72" s="3512"/>
      <c r="D72" s="356">
        <f>C86</f>
        <v>0</v>
      </c>
      <c r="E72" s="73" t="s">
        <v>406</v>
      </c>
      <c r="F72" s="358">
        <f>'数据-取费表'!B41</f>
        <v>5.5000000000000007E-2</v>
      </c>
      <c r="G72" s="359"/>
      <c r="H72" s="1251"/>
      <c r="I72" s="1245"/>
      <c r="J72" s="1918"/>
      <c r="K72" s="3287">
        <v>1</v>
      </c>
      <c r="L72" s="3449" t="s">
        <v>404</v>
      </c>
      <c r="M72" s="3449"/>
      <c r="N72" s="1249">
        <f>D66</f>
        <v>0</v>
      </c>
      <c r="O72" s="3286" t="str">
        <f>E66</f>
        <v>销售额×税（费）率</v>
      </c>
      <c r="P72" s="1250">
        <f>F66</f>
        <v>5.5000000000000007E-2</v>
      </c>
      <c r="Q72" s="1911"/>
      <c r="R72" s="1911"/>
      <c r="S72" s="1911"/>
      <c r="T72" s="1911"/>
      <c r="U72" s="1911"/>
      <c r="V72" s="1911"/>
    </row>
    <row r="73" spans="1:22" ht="24" customHeight="1">
      <c r="A73" s="3483" t="s">
        <v>408</v>
      </c>
      <c r="B73" s="3484"/>
      <c r="C73" s="3484"/>
      <c r="D73" s="360">
        <f>IF(H73="个人住宅",0,ROUND(D63*I73,0))</f>
        <v>0</v>
      </c>
      <c r="E73" s="17" t="s">
        <v>409</v>
      </c>
      <c r="F73" s="358">
        <f>IF(H73="正常",I73,"免征")</f>
        <v>5.0000000000000001E-4</v>
      </c>
      <c r="G73" s="359"/>
      <c r="H73" s="189" t="s">
        <v>3127</v>
      </c>
      <c r="I73" s="358">
        <f>'数据-取费表'!B49</f>
        <v>5.0000000000000001E-4</v>
      </c>
      <c r="J73" s="1918"/>
      <c r="K73" s="3287">
        <v>2</v>
      </c>
      <c r="L73" s="3449" t="s">
        <v>407</v>
      </c>
      <c r="M73" s="3449"/>
      <c r="N73" s="1249">
        <f t="shared" ref="N73:P74" si="1">D73</f>
        <v>0</v>
      </c>
      <c r="O73" s="3286" t="str">
        <f t="shared" si="1"/>
        <v>销售额×税（费）率</v>
      </c>
      <c r="P73" s="1250">
        <f t="shared" si="1"/>
        <v>5.0000000000000001E-4</v>
      </c>
      <c r="Q73" s="1911"/>
      <c r="R73" s="1911"/>
      <c r="S73" s="1911"/>
      <c r="T73" s="1911"/>
      <c r="U73" s="1911"/>
      <c r="V73" s="1911"/>
    </row>
    <row r="74" spans="1:22" ht="24.75">
      <c r="A74" s="3483" t="s">
        <v>411</v>
      </c>
      <c r="B74" s="3484"/>
      <c r="C74" s="3484"/>
      <c r="D74" s="360">
        <f>IF(H74="个人住宅",D75,D76)</f>
        <v>0</v>
      </c>
      <c r="E74" s="17" t="s">
        <v>412</v>
      </c>
      <c r="F74" s="358" t="str">
        <f>IF(H74="正常",F76,"免征")</f>
        <v>——</v>
      </c>
      <c r="G74" s="970" t="s">
        <v>387</v>
      </c>
      <c r="H74" s="361" t="s">
        <v>3127</v>
      </c>
      <c r="I74" s="42"/>
      <c r="J74" s="1918"/>
      <c r="K74" s="3287">
        <v>3</v>
      </c>
      <c r="L74" s="3449" t="s">
        <v>410</v>
      </c>
      <c r="M74" s="3449"/>
      <c r="N74" s="1249">
        <f t="shared" si="1"/>
        <v>0</v>
      </c>
      <c r="O74" s="3286" t="str">
        <f t="shared" si="1"/>
        <v>增值额×税（费）率</v>
      </c>
      <c r="P74" s="1252" t="str">
        <f t="shared" si="1"/>
        <v>——</v>
      </c>
      <c r="Q74" s="1911"/>
      <c r="R74" s="1911"/>
      <c r="S74" s="1911"/>
      <c r="T74" s="1911"/>
      <c r="U74" s="1911"/>
      <c r="V74" s="1911"/>
    </row>
    <row r="75" spans="1:22" ht="12.75">
      <c r="A75" s="357" t="s">
        <v>414</v>
      </c>
      <c r="B75" s="3464" t="s">
        <v>415</v>
      </c>
      <c r="C75" s="3465"/>
      <c r="D75" s="362">
        <v>0</v>
      </c>
      <c r="E75" s="41" t="s">
        <v>416</v>
      </c>
      <c r="F75" s="363"/>
      <c r="G75" s="359"/>
      <c r="H75" s="42"/>
      <c r="I75" s="42"/>
      <c r="J75" s="1918"/>
      <c r="K75" s="3287" t="str">
        <f>IF(H77="非个人房产","",4)</f>
        <v/>
      </c>
      <c r="L75" s="3449" t="str">
        <f>IF(H77="非个人房产","——","个人所得税")</f>
        <v>——</v>
      </c>
      <c r="M75" s="3449"/>
      <c r="N75" s="1253" t="str">
        <f>D77</f>
        <v>——</v>
      </c>
      <c r="O75" s="1786" t="str">
        <f>E77</f>
        <v>——</v>
      </c>
      <c r="P75" s="1254" t="str">
        <f>F77</f>
        <v>——</v>
      </c>
      <c r="Q75" s="1911"/>
      <c r="R75" s="1911"/>
      <c r="S75" s="1911"/>
      <c r="T75" s="1911"/>
      <c r="U75" s="1911"/>
      <c r="V75" s="1911"/>
    </row>
    <row r="76" spans="1:22" ht="24.75">
      <c r="A76" s="357" t="s">
        <v>395</v>
      </c>
      <c r="B76" s="3464" t="s">
        <v>418</v>
      </c>
      <c r="C76" s="3506"/>
      <c r="D76" s="360">
        <f>IF(H76="转让取得",C99,C115)</f>
        <v>0</v>
      </c>
      <c r="E76" s="17" t="s">
        <v>419</v>
      </c>
      <c r="F76" s="53" t="s">
        <v>21</v>
      </c>
      <c r="G76" s="359"/>
      <c r="H76" s="361" t="s">
        <v>3167</v>
      </c>
      <c r="I76" s="42"/>
      <c r="J76" s="1918"/>
      <c r="K76" s="3287" t="str">
        <f>IF(项目基本情况!K6="上海银行",IF(K75="",4,K75+1),"")</f>
        <v/>
      </c>
      <c r="L76" s="3460" t="str">
        <f>IF(项目基本情况!K6="上海银行","其他处置费用","")</f>
        <v/>
      </c>
      <c r="M76" s="3461"/>
      <c r="N76" s="1249" t="str">
        <f>IF(项目基本情况!K6="上海银行",N89,"")</f>
        <v/>
      </c>
      <c r="O76" s="3462" t="str">
        <f>IF(项目基本情况!K6="上海银行","包含处置中涉及的律师、诉讼、拍卖、评估等费用","")</f>
        <v/>
      </c>
      <c r="P76" s="3463"/>
      <c r="Q76" s="1911"/>
      <c r="R76" s="1911"/>
      <c r="S76" s="1911"/>
      <c r="T76" s="1911"/>
      <c r="U76" s="1911"/>
      <c r="V76" s="1911"/>
    </row>
    <row r="77" spans="1:22" ht="24.75" thickBot="1">
      <c r="A77" s="3475" t="s">
        <v>421</v>
      </c>
      <c r="B77" s="3476"/>
      <c r="C77" s="3476"/>
      <c r="D77" s="3011" t="str">
        <f>IF(H77="非个人房产","——",IF(H77="个人住宅（满五唯一有凭证）",0,IF(H77="个人其他（无凭证）",ROUND(D63*F77,0),ROUND(C84*F77,0))))</f>
        <v>——</v>
      </c>
      <c r="E77" s="3012" t="str">
        <f>IF(H77="非个人房产","——",IF(H77="个人其他（无凭证）","销售额×税（费）率",IF(H77="个人住宅（满五唯一有凭证）","免征","差额计税")))</f>
        <v>——</v>
      </c>
      <c r="F77" s="3013" t="str">
        <f>IF(OR(H77="非个人房产",H77="个人住宅（满五唯一有凭证）"),"——",IF(H77="个人其他（有凭证）",20%,1%))</f>
        <v>——</v>
      </c>
      <c r="G77" s="971" t="s">
        <v>387</v>
      </c>
      <c r="H77" s="3010" t="s">
        <v>3168</v>
      </c>
      <c r="I77" s="3009" t="s">
        <v>2964</v>
      </c>
      <c r="J77" s="1918"/>
      <c r="K77" s="3471">
        <f>IF(AND(K75="",K76=""),4,IF(项目基本情况!K6="上海银行",K76+1,K75+1))</f>
        <v>4</v>
      </c>
      <c r="L77" s="3449" t="s">
        <v>2858</v>
      </c>
      <c r="M77" s="2763" t="s">
        <v>417</v>
      </c>
      <c r="N77" s="1255"/>
      <c r="O77" s="1256">
        <f>SUMIF(N72:N76,"&lt;9e307")</f>
        <v>0</v>
      </c>
      <c r="P77" s="1257"/>
      <c r="Q77" s="2761" t="e">
        <f ca="1">O77/N69</f>
        <v>#REF!</v>
      </c>
      <c r="R77" s="1911"/>
      <c r="S77" s="1911"/>
      <c r="T77" s="1911"/>
      <c r="U77" s="1911"/>
      <c r="V77" s="1911"/>
    </row>
    <row r="78" spans="1:22" ht="12" customHeight="1">
      <c r="A78" s="1258"/>
      <c r="B78" s="309"/>
      <c r="C78" s="309"/>
      <c r="D78" s="309"/>
      <c r="E78" s="42"/>
      <c r="F78" s="42"/>
      <c r="G78" s="42"/>
      <c r="H78" s="990"/>
      <c r="I78" s="309"/>
      <c r="J78" s="1918"/>
      <c r="K78" s="3471"/>
      <c r="L78" s="3449"/>
      <c r="M78" s="2763" t="s">
        <v>420</v>
      </c>
      <c r="N78" s="1255"/>
      <c r="O78" s="1256" t="str">
        <f>NUMBERSTRING(INT(O77*10000),2)&amp;"元整"</f>
        <v>零元整</v>
      </c>
      <c r="P78" s="1257"/>
      <c r="Q78" s="1911"/>
      <c r="R78" s="1911"/>
      <c r="S78" s="1911"/>
      <c r="T78" s="1911"/>
      <c r="U78" s="1911"/>
      <c r="V78" s="1911"/>
    </row>
    <row r="79" spans="1:22" ht="13.5" thickBot="1">
      <c r="A79" s="3526" t="s">
        <v>422</v>
      </c>
      <c r="B79" s="3526"/>
      <c r="C79" s="3526"/>
      <c r="D79" s="3526"/>
      <c r="E79" s="3526"/>
      <c r="F79" s="42"/>
      <c r="G79" s="42"/>
      <c r="H79" s="990"/>
      <c r="I79" s="309"/>
      <c r="J79" s="1918"/>
      <c r="K79" s="3447">
        <f>K77+1</f>
        <v>5</v>
      </c>
      <c r="L79" s="3449" t="s">
        <v>2859</v>
      </c>
      <c r="M79" s="2763" t="s">
        <v>417</v>
      </c>
      <c r="N79" s="1255"/>
      <c r="O79" s="1256" t="e">
        <f ca="1">N69-O77</f>
        <v>#REF!</v>
      </c>
      <c r="P79" s="1257"/>
      <c r="Q79" s="1911"/>
      <c r="R79" s="1911"/>
      <c r="S79" s="1911"/>
      <c r="T79" s="1911"/>
      <c r="U79" s="1911"/>
      <c r="V79" s="1911"/>
    </row>
    <row r="80" spans="1:22" ht="12.75">
      <c r="A80" s="3457" t="s">
        <v>423</v>
      </c>
      <c r="B80" s="3458"/>
      <c r="C80" s="3281"/>
      <c r="D80" s="3281" t="s">
        <v>424</v>
      </c>
      <c r="E80" s="364" t="s">
        <v>425</v>
      </c>
      <c r="F80" s="42"/>
      <c r="G80" s="42"/>
      <c r="H80" s="990"/>
      <c r="I80" s="309"/>
      <c r="J80" s="1911"/>
      <c r="K80" s="3448"/>
      <c r="L80" s="3449"/>
      <c r="M80" s="2763" t="s">
        <v>420</v>
      </c>
      <c r="N80" s="1255"/>
      <c r="O80" s="1256" t="e">
        <f ca="1">NUMBERSTRING(INT(O79*10000),2)&amp;"元整"</f>
        <v>#REF!</v>
      </c>
      <c r="P80" s="1257"/>
      <c r="Q80" s="1911"/>
      <c r="R80" s="1911"/>
      <c r="S80" s="1911"/>
      <c r="T80" s="1911"/>
      <c r="U80" s="1911"/>
      <c r="V80" s="1911"/>
    </row>
    <row r="81" spans="1:26" ht="13.5" thickBot="1">
      <c r="A81" s="375" t="s">
        <v>1813</v>
      </c>
      <c r="B81" s="365" t="s">
        <v>426</v>
      </c>
      <c r="C81" s="366">
        <f>ROUND((C82+C83)/(1+'数据-取费表'!C42),0)</f>
        <v>0</v>
      </c>
      <c r="D81" s="367"/>
      <c r="E81" s="368"/>
      <c r="F81" s="42"/>
      <c r="G81" s="42"/>
      <c r="H81" s="990"/>
      <c r="I81" s="309"/>
      <c r="J81" s="1911"/>
      <c r="K81" s="3287">
        <f>K79+1</f>
        <v>6</v>
      </c>
      <c r="L81" s="3469" t="s">
        <v>2860</v>
      </c>
      <c r="M81" s="3470"/>
      <c r="N81" s="1259"/>
      <c r="O81" s="1260" t="e">
        <f ca="1">ROUND(O79*10000/'数据-汇总表'!E3,0)</f>
        <v>#REF!</v>
      </c>
      <c r="P81" s="1261"/>
      <c r="Q81" s="1911"/>
      <c r="R81" s="1911"/>
      <c r="S81" s="1911"/>
      <c r="T81" s="1911"/>
      <c r="U81" s="1911"/>
      <c r="V81" s="1911"/>
    </row>
    <row r="82" spans="1:26" ht="13.5" thickTop="1">
      <c r="A82" s="369" t="s">
        <v>1814</v>
      </c>
      <c r="B82" s="370" t="s">
        <v>427</v>
      </c>
      <c r="C82" s="371">
        <f>D63</f>
        <v>0</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459" t="s">
        <v>2848</v>
      </c>
      <c r="L83" s="3288" t="s">
        <v>2849</v>
      </c>
      <c r="M83" s="2759" t="e">
        <f ca="1">IF(N69&gt;10000,N69*0.5%,IF(AND(N69&gt;1000,N69&lt;=10000),N69*1%,IF(AND(N69&gt;100,N69&lt;=1000),N69*3%,IF(AND(N69&gt;10,N69&lt;=100),N69*5%,N69*8%))))</f>
        <v>#REF!</v>
      </c>
      <c r="N83" s="53" t="e">
        <f ca="1">ROUND(M83,1)</f>
        <v>#REF!</v>
      </c>
      <c r="O83" s="2762"/>
      <c r="P83" s="1911"/>
      <c r="Q83" s="1911"/>
      <c r="R83" s="1911"/>
      <c r="S83" s="1911"/>
      <c r="T83" s="1911"/>
      <c r="U83" s="1911"/>
      <c r="V83" s="1911"/>
    </row>
    <row r="84" spans="1:26" ht="12.75">
      <c r="A84" s="375" t="s">
        <v>1816</v>
      </c>
      <c r="B84" s="376" t="s">
        <v>429</v>
      </c>
      <c r="C84" s="377"/>
      <c r="D84" s="378" t="s">
        <v>19</v>
      </c>
      <c r="E84" s="2787" t="s">
        <v>2902</v>
      </c>
      <c r="F84" s="42"/>
      <c r="G84" s="42"/>
      <c r="H84" s="990"/>
      <c r="I84" s="309"/>
      <c r="J84" s="1911"/>
      <c r="K84" s="3459"/>
      <c r="L84" s="3288" t="s">
        <v>2850</v>
      </c>
      <c r="M84" s="2759" t="e">
        <f ca="1">IF(N69&gt;2000,N69*0.5%,IF(AND(N69&gt;1000,N69&lt;=2000),N69*0.6%,IF(AND(N69&gt;500,N69&lt;=1000),N69*0.7%,IF(AND(N69&gt;200,N69&lt;=500),N69*0.8%,IF(AND(N69&gt;100,N69&lt;=200),N69*0.9%,IF(AND(N69&gt;50,N69&lt;=100),N69*1%,IF(AND(N69&gt;20,N69&lt;=50),N69*1.5%,IF(AND(N69&gt;10,N69&lt;=20),N69*2%,IF(AND(N69&gt;1,N69&lt;=10),N69*2.5%)))))))))</f>
        <v>#REF!</v>
      </c>
      <c r="N84" s="53" t="e">
        <f t="shared" ref="N84:N85" ca="1" si="2">ROUND(M84,1)</f>
        <v>#REF!</v>
      </c>
      <c r="O84" s="1911" t="s">
        <v>2851</v>
      </c>
      <c r="P84" s="1911"/>
      <c r="Q84" s="1911"/>
      <c r="R84" s="1911"/>
      <c r="S84" s="1911"/>
      <c r="T84" s="1911"/>
      <c r="U84" s="1911"/>
      <c r="V84" s="1911"/>
    </row>
    <row r="85" spans="1:26" ht="12.75">
      <c r="A85" s="375" t="s">
        <v>1817</v>
      </c>
      <c r="B85" s="376" t="s">
        <v>430</v>
      </c>
      <c r="C85" s="379">
        <f>C81-C84</f>
        <v>0</v>
      </c>
      <c r="D85" s="372" t="s">
        <v>19</v>
      </c>
      <c r="E85" s="373"/>
      <c r="F85" s="42"/>
      <c r="G85" s="42"/>
      <c r="H85" s="990"/>
      <c r="I85" s="309"/>
      <c r="J85" s="1911"/>
      <c r="K85" s="3459"/>
      <c r="L85" s="3288" t="s">
        <v>2852</v>
      </c>
      <c r="M85" s="2759" t="e">
        <f ca="1">IF(N69&gt;1000,N69*0.1%,IF(AND(N69&gt;500,N69&lt;=1000),N69*0.5%,IF(AND(N69&gt;50,N69&lt;=500),N69*1%,IF(AND(N69&gt;1,N69&lt;=50),N69*1.5%))))</f>
        <v>#REF!</v>
      </c>
      <c r="N85" s="53" t="e">
        <f t="shared" ca="1" si="2"/>
        <v>#REF!</v>
      </c>
      <c r="O85" s="1911" t="s">
        <v>2851</v>
      </c>
      <c r="P85" s="1911"/>
      <c r="Q85" s="1911"/>
      <c r="R85" s="1911"/>
      <c r="S85" s="1911"/>
      <c r="T85" s="1911"/>
      <c r="U85" s="1911"/>
      <c r="V85" s="1911"/>
    </row>
    <row r="86" spans="1:26" ht="13.5" thickBot="1">
      <c r="A86" s="380" t="s">
        <v>1818</v>
      </c>
      <c r="B86" s="381" t="s">
        <v>431</v>
      </c>
      <c r="C86" s="382">
        <f>IF(C85&lt;=0,0,ROUND(C85*D86,0))</f>
        <v>0</v>
      </c>
      <c r="D86" s="383">
        <f>'数据-取费表'!B41</f>
        <v>5.5000000000000007E-2</v>
      </c>
      <c r="E86" s="384"/>
      <c r="F86" s="42"/>
      <c r="G86" s="42"/>
      <c r="H86" s="990"/>
      <c r="I86" s="309"/>
      <c r="J86" s="1911"/>
      <c r="K86" s="3459"/>
      <c r="L86" s="3288" t="s">
        <v>2853</v>
      </c>
      <c r="M86" s="2759" t="e">
        <f ca="1">N69*0.5%</f>
        <v>#REF!</v>
      </c>
      <c r="N86" s="53" t="e">
        <f ca="1">IF(M86&gt;0.5,0.5,ROUND(M86,0))</f>
        <v>#REF!</v>
      </c>
      <c r="O86" s="1911" t="s">
        <v>2854</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59"/>
      <c r="L87" s="3288" t="s">
        <v>2855</v>
      </c>
      <c r="M87" s="2759" t="e">
        <f ca="1">IF(N69&gt;=10000,(8.25+(N69-10000)*0.01%),IF(AND(N69&gt;=8000,N69&lt;10000),(7.85+(N69-8000)*0.02%),IF(AND(N69&gt;=5000,N69&lt;8000),(6.65+(N69-5000)*0.04%),IF(AND(N69&gt;=2000,N69&lt;5000),(4.25+(PN69-2000)*0.08%),IF(AND(N69&gt;=1000,N69&lt;2000),(2.75+(N69-1000)*0.15%),IF(AND(N69&gt;=100,N69&lt;1000),(0.5+(N69-100)*0.25%),IF(AND(N69&gt;0,N69&lt;100),N69*0.5%)))))))</f>
        <v>#REF!</v>
      </c>
      <c r="N87" s="53" t="e">
        <f ca="1">ROUND(M87*0.9,1)</f>
        <v>#REF!</v>
      </c>
      <c r="O87" s="2762"/>
      <c r="P87" s="1911"/>
      <c r="Q87" s="1911"/>
      <c r="R87" s="1911"/>
      <c r="S87" s="1911"/>
      <c r="T87" s="1911"/>
      <c r="U87" s="1911"/>
      <c r="V87" s="1911"/>
      <c r="W87" s="290"/>
      <c r="X87" s="290"/>
      <c r="Y87" s="290"/>
      <c r="Z87" s="290"/>
    </row>
    <row r="88" spans="1:26" s="1267" customFormat="1" ht="15" thickBot="1">
      <c r="A88" s="3498" t="s">
        <v>432</v>
      </c>
      <c r="B88" s="3499"/>
      <c r="C88" s="3499"/>
      <c r="D88" s="3499"/>
      <c r="E88" s="3499"/>
      <c r="F88" s="3499"/>
      <c r="G88" s="3499"/>
      <c r="H88" s="3499"/>
      <c r="I88" s="1268"/>
      <c r="J88" s="1919"/>
      <c r="K88" s="3459"/>
      <c r="L88" s="3288" t="s">
        <v>2856</v>
      </c>
      <c r="M88" s="2759" t="e">
        <f ca="1">IF(N69&gt;10000,N69*0.5%,IF(AND(N69&gt;5000,N69&lt;=10000),N69*1%,IF(AND(N69&gt;1000,N69&lt;=5000),N69*2%,IF(AND(N69&gt;200,N69&lt;=1000),N69*3%,N69*5%))))</f>
        <v>#REF!</v>
      </c>
      <c r="N88" s="53" t="e">
        <f ca="1">ROUND(M88,1)</f>
        <v>#REF!</v>
      </c>
      <c r="O88" s="2762"/>
      <c r="P88" s="1916"/>
      <c r="Q88" s="1916"/>
      <c r="R88" s="1916"/>
      <c r="S88" s="1916"/>
      <c r="T88" s="1916"/>
      <c r="U88" s="1916"/>
      <c r="V88" s="1916"/>
      <c r="W88" s="1920"/>
      <c r="X88" s="1920"/>
      <c r="Y88" s="1920"/>
      <c r="Z88" s="1920"/>
    </row>
    <row r="89" spans="1:26" s="1267" customFormat="1" ht="14.25">
      <c r="A89" s="3457" t="s">
        <v>423</v>
      </c>
      <c r="B89" s="3458"/>
      <c r="C89" s="3281"/>
      <c r="D89" s="3281" t="s">
        <v>424</v>
      </c>
      <c r="E89" s="385" t="s">
        <v>433</v>
      </c>
      <c r="F89" s="386"/>
      <c r="G89" s="386"/>
      <c r="H89" s="387"/>
      <c r="I89" s="1269"/>
      <c r="J89" s="1921"/>
      <c r="K89" s="3459"/>
      <c r="L89" s="3288" t="s">
        <v>27</v>
      </c>
      <c r="M89" s="2760"/>
      <c r="N89" s="53" t="e">
        <f ca="1">ROUND(SUM(N83:N88),0)</f>
        <v>#REF!</v>
      </c>
      <c r="O89" s="2770" t="e">
        <f ca="1">N89/N69</f>
        <v>#REF!</v>
      </c>
      <c r="P89" s="1916"/>
      <c r="Q89" s="1916"/>
      <c r="R89" s="1916"/>
      <c r="S89" s="1916"/>
      <c r="T89" s="1916"/>
      <c r="U89" s="1916"/>
      <c r="V89" s="1916"/>
      <c r="W89" s="1920"/>
      <c r="X89" s="1920"/>
      <c r="Y89" s="1920"/>
      <c r="Z89" s="1920"/>
    </row>
    <row r="90" spans="1:26" s="1267" customFormat="1" ht="14.25">
      <c r="A90" s="375" t="s">
        <v>1813</v>
      </c>
      <c r="B90" s="376" t="s">
        <v>434</v>
      </c>
      <c r="C90" s="379">
        <f>ROUND(D63/(1+'数据-取费表'!C42),0)</f>
        <v>0</v>
      </c>
      <c r="D90" s="372" t="s">
        <v>19</v>
      </c>
      <c r="E90" s="3279"/>
      <c r="F90" s="3278"/>
      <c r="G90" s="3278"/>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1816</v>
      </c>
      <c r="B91" s="346" t="s">
        <v>435</v>
      </c>
      <c r="C91" s="379">
        <f>C92+C96</f>
        <v>0</v>
      </c>
      <c r="D91" s="372" t="s">
        <v>19</v>
      </c>
      <c r="E91" s="3279"/>
      <c r="F91" s="3278"/>
      <c r="G91" s="3278"/>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1814</v>
      </c>
      <c r="B92" s="370" t="s">
        <v>436</v>
      </c>
      <c r="C92" s="372">
        <f>ROUND(IF(G95="2016年5月1日后购买",C93/(1+'数据-取费表'!C30)+C94+C95,C93+C94+C95),0)</f>
        <v>0</v>
      </c>
      <c r="D92" s="372" t="s">
        <v>19</v>
      </c>
      <c r="E92" s="3279"/>
      <c r="F92" s="3278"/>
      <c r="G92" s="3278"/>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95" t="s">
        <v>441</v>
      </c>
      <c r="F94" s="3496"/>
      <c r="G94" s="3496"/>
      <c r="H94" s="3497"/>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3285"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1815</v>
      </c>
      <c r="B96" s="370" t="s">
        <v>444</v>
      </c>
      <c r="C96" s="399">
        <f>ROUND(D63*D96/(1+'数据-取费表'!C42),0)</f>
        <v>0</v>
      </c>
      <c r="D96" s="400">
        <f>'数据-取费表'!B43</f>
        <v>5.000000000000001E-3</v>
      </c>
      <c r="E96" s="3454" t="s">
        <v>2412</v>
      </c>
      <c r="F96" s="3455"/>
      <c r="G96" s="3455"/>
      <c r="H96" s="3456"/>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1817</v>
      </c>
      <c r="B97" s="376" t="s">
        <v>445</v>
      </c>
      <c r="C97" s="379">
        <f>C90-C91</f>
        <v>0</v>
      </c>
      <c r="D97" s="372" t="s">
        <v>19</v>
      </c>
      <c r="E97" s="3279"/>
      <c r="F97" s="3278"/>
      <c r="G97" s="3278"/>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1818</v>
      </c>
      <c r="B98" s="376" t="s">
        <v>446</v>
      </c>
      <c r="C98" s="401">
        <f>IF(C97&lt;=0,0,C97/C91)</f>
        <v>0</v>
      </c>
      <c r="D98" s="372" t="s">
        <v>19</v>
      </c>
      <c r="E98" s="26" t="str">
        <f>IF(C98&gt;=200%,"增值额超过扣除项目金额200%",IF(C98&gt;=100%,"增值额超过扣除项目金额100%，未超过200%",IF(C98&gt;=50%,"增值额超过扣除项目金额50%，未超过100%",IF(C98&lt;50%,"增值额未超过扣除项目金额50%"))))</f>
        <v>增值额未超过扣除项目金额50%</v>
      </c>
      <c r="F98" s="3278"/>
      <c r="G98" s="3278"/>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ROUND(IF(C97&lt;=0,0,IF(C98&gt;=200%,C97*60%-C91*35%,IF(C98&gt;=100%,C97*50%-C91*15%,IF(C98&gt;=50%,C97*40%-C91*5%,IF(C98&lt;50%,C97*30%,0))))),0)</f>
        <v>0</v>
      </c>
      <c r="D99" s="403" t="s">
        <v>19</v>
      </c>
      <c r="E99" s="404"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98" t="s">
        <v>448</v>
      </c>
      <c r="B101" s="3499"/>
      <c r="C101" s="3499"/>
      <c r="D101" s="3499"/>
      <c r="E101" s="3499"/>
      <c r="F101" s="3499"/>
      <c r="G101" s="3499"/>
      <c r="H101" s="3499"/>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57" t="s">
        <v>423</v>
      </c>
      <c r="B102" s="3458"/>
      <c r="C102" s="3281"/>
      <c r="D102" s="32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ROUND(D63/(1+'数据-取费表'!C42),0)</f>
        <v>0</v>
      </c>
      <c r="D103" s="372" t="s">
        <v>19</v>
      </c>
      <c r="E103" s="3279"/>
      <c r="F103" s="3278"/>
      <c r="G103" s="32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1816</v>
      </c>
      <c r="B104" s="346" t="s">
        <v>435</v>
      </c>
      <c r="C104" s="379">
        <f>IF(H106="仅含出让金",C105+C108+C109+C110+C111+C112,C105+C109+C110+C111+C112)</f>
        <v>18348.240000000002</v>
      </c>
      <c r="D104" s="409"/>
      <c r="E104" s="3279"/>
      <c r="F104" s="3278"/>
      <c r="G104" s="32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1814</v>
      </c>
      <c r="B105" s="370" t="s">
        <v>449</v>
      </c>
      <c r="C105" s="399">
        <f>C106+C107</f>
        <v>18348.240000000002</v>
      </c>
      <c r="D105" s="400"/>
      <c r="E105" s="3284"/>
      <c r="F105" s="3282"/>
      <c r="G105" s="3282"/>
      <c r="H105" s="3283"/>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v>17634.240000000002</v>
      </c>
      <c r="D106" s="400"/>
      <c r="E106" s="411" t="s">
        <v>451</v>
      </c>
      <c r="F106" s="3282"/>
      <c r="G106" s="412" t="s">
        <v>452</v>
      </c>
      <c r="H106" s="413" t="s">
        <v>3169</v>
      </c>
      <c r="I106" s="11"/>
      <c r="J106" s="1916"/>
      <c r="K106" s="3244"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714</v>
      </c>
      <c r="D107" s="400">
        <f>'数据-取费表'!B48+'数据-取费表'!B49</f>
        <v>4.0500000000000001E-2</v>
      </c>
      <c r="E107" s="411" t="s">
        <v>453</v>
      </c>
      <c r="F107" s="3282"/>
      <c r="G107" s="3282"/>
      <c r="H107" s="3283"/>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1815</v>
      </c>
      <c r="B108" s="370" t="s">
        <v>454</v>
      </c>
      <c r="C108" s="410"/>
      <c r="D108" s="400"/>
      <c r="E108" s="411" t="str">
        <f>IF(H106="-","土地取得成本中已包含该笔费用"," ")</f>
        <v xml:space="preserve"> </v>
      </c>
      <c r="F108" s="3282"/>
      <c r="G108" s="3510" t="s">
        <v>2956</v>
      </c>
      <c r="H108" s="3511"/>
      <c r="I108" s="2859"/>
      <c r="J108" s="1916"/>
      <c r="K108" s="3244"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88" t="s">
        <v>456</v>
      </c>
      <c r="F109" s="3455"/>
      <c r="G109" s="3455"/>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0</v>
      </c>
      <c r="D110" s="3275">
        <v>0</v>
      </c>
      <c r="E110" s="3488" t="s">
        <v>458</v>
      </c>
      <c r="F110" s="3455"/>
      <c r="G110" s="3455"/>
      <c r="H110" s="3456"/>
      <c r="I110" s="11"/>
      <c r="J110" s="1916"/>
      <c r="K110" s="3245"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ROUND(D63*D111/(1+'数据-取费表'!C42),0)</f>
        <v>0</v>
      </c>
      <c r="D111" s="400">
        <f>'数据-取费表'!B43</f>
        <v>5.000000000000001E-3</v>
      </c>
      <c r="E111" s="3454" t="s">
        <v>2412</v>
      </c>
      <c r="F111" s="3455"/>
      <c r="G111" s="3455"/>
      <c r="H111" s="3456"/>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88" t="s">
        <v>2435</v>
      </c>
      <c r="F112" s="3455"/>
      <c r="G112" s="3455"/>
      <c r="H112" s="3456"/>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1817</v>
      </c>
      <c r="B113" s="376" t="s">
        <v>445</v>
      </c>
      <c r="C113" s="379">
        <f>ROUND(C103-C104,0)</f>
        <v>-18348</v>
      </c>
      <c r="D113" s="372" t="s">
        <v>19</v>
      </c>
      <c r="E113" s="3279"/>
      <c r="F113" s="3278"/>
      <c r="G113" s="32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1818</v>
      </c>
      <c r="B114" s="376" t="s">
        <v>446</v>
      </c>
      <c r="C114" s="401">
        <f>IF(C113&lt;=0,0,C113/C104)</f>
        <v>0</v>
      </c>
      <c r="D114" s="372" t="s">
        <v>19</v>
      </c>
      <c r="E114" s="26" t="str">
        <f>IF(C114&gt;=200%,"增值额超过扣除项目金额200%",IF(C114&gt;=100%,"增值额超过扣除项目金额100%，未超过200%",IF(C114&gt;=50%,"增值额超过扣除项目金额50%，未超过100%",IF(C114&lt;50%,"增值额未超过扣除项目金额50%"))))</f>
        <v>增值额未超过扣除项目金额50%</v>
      </c>
      <c r="F114" s="3278"/>
      <c r="G114" s="32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ROUND(IF(C113&lt;=0,0,IF(C114&gt;=200%,C113*60%-C104*35%,IF(C114&gt;=100%,C113*50%-C104*15%,IF(C114&gt;=50%,C113*40%-C104*5%,IF(C114&lt;50%,C113*30%,0))))),0)</f>
        <v>0</v>
      </c>
      <c r="D115" s="403" t="s">
        <v>19</v>
      </c>
      <c r="E115" s="404" t="str">
        <f>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E112:H112"/>
    <mergeCell ref="A101:H101"/>
    <mergeCell ref="A102:B102"/>
    <mergeCell ref="G108:H108"/>
    <mergeCell ref="E109:G109"/>
    <mergeCell ref="E110:H110"/>
    <mergeCell ref="E111:H111"/>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A74:C74"/>
    <mergeCell ref="L74:M74"/>
    <mergeCell ref="B75:C75"/>
    <mergeCell ref="L75:M75"/>
    <mergeCell ref="B76:C76"/>
    <mergeCell ref="L76:M76"/>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64:G64"/>
    <mergeCell ref="N35:N37"/>
    <mergeCell ref="O35:O37"/>
    <mergeCell ref="K39:N39"/>
    <mergeCell ref="K40:N40"/>
    <mergeCell ref="K41:N41"/>
    <mergeCell ref="A42:B42"/>
    <mergeCell ref="L35:L37"/>
    <mergeCell ref="A43:B43"/>
    <mergeCell ref="A44:B44"/>
    <mergeCell ref="A45:B45"/>
    <mergeCell ref="A46:B46"/>
    <mergeCell ref="A63:C63"/>
    <mergeCell ref="E18:I18"/>
    <mergeCell ref="A24:A25"/>
    <mergeCell ref="A31:I31"/>
    <mergeCell ref="E33:E35"/>
    <mergeCell ref="K35:K37"/>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8" type="noConversion"/>
  <conditionalFormatting sqref="C5:C7">
    <cfRule type="cellIs" dxfId="198" priority="10" stopIfTrue="1" operator="equal">
      <formula>25</formula>
    </cfRule>
  </conditionalFormatting>
  <conditionalFormatting sqref="C8:C9">
    <cfRule type="cellIs" dxfId="197" priority="9" stopIfTrue="1" operator="equal">
      <formula>15</formula>
    </cfRule>
  </conditionalFormatting>
  <conditionalFormatting sqref="C14:C16">
    <cfRule type="cellIs" dxfId="196" priority="8" stopIfTrue="1" operator="equal">
      <formula>30</formula>
    </cfRule>
  </conditionalFormatting>
  <conditionalFormatting sqref="D5:D7">
    <cfRule type="cellIs" dxfId="195" priority="7" stopIfTrue="1" operator="equal">
      <formula>25</formula>
    </cfRule>
  </conditionalFormatting>
  <conditionalFormatting sqref="D8:D9">
    <cfRule type="cellIs" dxfId="194" priority="6" stopIfTrue="1" operator="equal">
      <formula>15</formula>
    </cfRule>
  </conditionalFormatting>
  <conditionalFormatting sqref="C10:D13">
    <cfRule type="cellIs" dxfId="193" priority="5" stopIfTrue="1" operator="equal">
      <formula>15</formula>
    </cfRule>
  </conditionalFormatting>
  <conditionalFormatting sqref="D14:D16">
    <cfRule type="cellIs" dxfId="192" priority="4" stopIfTrue="1" operator="equal">
      <formula>30</formula>
    </cfRule>
  </conditionalFormatting>
  <conditionalFormatting sqref="C108">
    <cfRule type="expression" dxfId="191" priority="3" stopIfTrue="1">
      <formula>$H$106&lt;&gt;"仅含出让金"</formula>
    </cfRule>
  </conditionalFormatting>
  <conditionalFormatting sqref="C109">
    <cfRule type="expression" dxfId="190" priority="2" stopIfTrue="1">
      <formula>$H$109="由企业提供"</formula>
    </cfRule>
  </conditionalFormatting>
  <conditionalFormatting sqref="I33">
    <cfRule type="expression" dxfId="189" priority="1" stopIfTrue="1">
      <formula>$H$33="同一抵押权人同一抵押物续贷"</formula>
    </cfRule>
  </conditionalFormatting>
  <dataValidations count="21">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85" zoomScale="70" zoomScaleNormal="100" zoomScaleSheetLayoutView="70" zoomScalePageLayoutView="80" workbookViewId="0">
      <selection activeCell="A102" sqref="A102:H115"/>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89" t="str">
        <f>项目基本情况!K2</f>
        <v>出让国有建设用地使用权</v>
      </c>
      <c r="B2" s="3490"/>
      <c r="C2" s="3491"/>
      <c r="D2" s="3491"/>
      <c r="E2" s="3491"/>
      <c r="F2" s="3491"/>
      <c r="G2" s="3490"/>
      <c r="H2" s="3490"/>
      <c r="I2" s="3492"/>
      <c r="J2" s="1912"/>
      <c r="K2" s="1911"/>
      <c r="L2" s="1911"/>
      <c r="M2" s="1911"/>
      <c r="N2" s="1911"/>
      <c r="O2" s="1911"/>
      <c r="P2" s="1911"/>
      <c r="Q2" s="1911"/>
      <c r="R2" s="1911"/>
      <c r="S2" s="1911"/>
      <c r="T2" s="1911"/>
      <c r="U2" s="1911"/>
      <c r="V2" s="1911"/>
    </row>
    <row r="3" spans="1:22" ht="14.25">
      <c r="A3" s="3500" t="s">
        <v>298</v>
      </c>
      <c r="B3" s="3501"/>
      <c r="C3" s="3501"/>
      <c r="D3" s="3501"/>
      <c r="E3" s="3501"/>
      <c r="F3" s="3501"/>
      <c r="G3" s="3501"/>
      <c r="H3" s="3501"/>
      <c r="I3" s="3501"/>
      <c r="J3" s="1912"/>
      <c r="K3" s="1911"/>
      <c r="L3" s="1911"/>
      <c r="M3" s="1911"/>
      <c r="N3" s="1911"/>
      <c r="O3" s="1911"/>
      <c r="P3" s="1911"/>
      <c r="Q3" s="1911"/>
      <c r="R3" s="1911"/>
      <c r="S3" s="1911"/>
      <c r="T3" s="1911"/>
      <c r="U3" s="1911"/>
      <c r="V3" s="1911"/>
    </row>
    <row r="4" spans="1:22" ht="14.25">
      <c r="A4" s="256" t="s">
        <v>299</v>
      </c>
      <c r="B4" s="257" t="s">
        <v>300</v>
      </c>
      <c r="C4" s="258"/>
      <c r="D4" s="258"/>
      <c r="E4" s="3464" t="s">
        <v>301</v>
      </c>
      <c r="F4" s="3506"/>
      <c r="G4" s="3506"/>
      <c r="H4" s="3506"/>
      <c r="I4" s="3465"/>
      <c r="J4" s="1912"/>
      <c r="K4" s="1911"/>
      <c r="L4" s="3196"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93" t="s">
        <v>302</v>
      </c>
      <c r="B5" s="3494">
        <v>25</v>
      </c>
      <c r="C5" s="3502"/>
      <c r="D5" s="3505"/>
      <c r="E5" s="259" t="s">
        <v>303</v>
      </c>
      <c r="F5" s="260"/>
      <c r="G5" s="260"/>
      <c r="H5" s="260"/>
      <c r="I5" s="261"/>
      <c r="J5" s="1912"/>
      <c r="K5" s="1911"/>
      <c r="L5" s="1911"/>
      <c r="M5" s="1911"/>
      <c r="N5" s="1911"/>
      <c r="O5" s="1911"/>
      <c r="P5" s="1911"/>
      <c r="Q5" s="1911"/>
      <c r="R5" s="1911"/>
      <c r="S5" s="1911"/>
      <c r="T5" s="1911"/>
      <c r="U5" s="1911"/>
      <c r="V5" s="1911"/>
    </row>
    <row r="6" spans="1:22" ht="14.25">
      <c r="A6" s="3493"/>
      <c r="B6" s="3494"/>
      <c r="C6" s="3503"/>
      <c r="D6" s="3505"/>
      <c r="E6" s="259" t="s">
        <v>304</v>
      </c>
      <c r="F6" s="260"/>
      <c r="G6" s="260"/>
      <c r="H6" s="260"/>
      <c r="I6" s="261"/>
      <c r="J6" s="1912"/>
      <c r="K6" s="1911"/>
      <c r="L6" s="1911"/>
      <c r="M6" s="1911"/>
      <c r="N6" s="1911"/>
      <c r="O6" s="1911"/>
      <c r="P6" s="1911"/>
      <c r="Q6" s="1911"/>
      <c r="R6" s="1911"/>
      <c r="S6" s="1911"/>
      <c r="T6" s="1911"/>
      <c r="U6" s="1911"/>
      <c r="V6" s="1911"/>
    </row>
    <row r="7" spans="1:22" ht="14.25">
      <c r="A7" s="3493"/>
      <c r="B7" s="3494"/>
      <c r="C7" s="3504"/>
      <c r="D7" s="3505"/>
      <c r="E7" s="259" t="s">
        <v>305</v>
      </c>
      <c r="F7" s="260"/>
      <c r="G7" s="260"/>
      <c r="H7" s="260"/>
      <c r="I7" s="261"/>
      <c r="J7" s="1912"/>
      <c r="K7" s="1911"/>
      <c r="L7" s="1911"/>
      <c r="M7" s="1911"/>
      <c r="N7" s="1911"/>
      <c r="O7" s="1911"/>
      <c r="P7" s="1911"/>
      <c r="Q7" s="1911"/>
      <c r="R7" s="1911"/>
      <c r="S7" s="1911"/>
      <c r="T7" s="1911"/>
      <c r="U7" s="1911"/>
      <c r="V7" s="1911"/>
    </row>
    <row r="8" spans="1:22" ht="14.25">
      <c r="A8" s="3493" t="s">
        <v>306</v>
      </c>
      <c r="B8" s="3494">
        <v>15</v>
      </c>
      <c r="C8" s="3502"/>
      <c r="D8" s="3505"/>
      <c r="E8" s="259" t="s">
        <v>307</v>
      </c>
      <c r="F8" s="260"/>
      <c r="G8" s="260"/>
      <c r="H8" s="260"/>
      <c r="I8" s="261"/>
      <c r="J8" s="1912"/>
      <c r="K8" s="1911"/>
      <c r="L8" s="1911"/>
      <c r="M8" s="1911"/>
      <c r="N8" s="1911"/>
      <c r="O8" s="1911"/>
      <c r="P8" s="1911"/>
      <c r="Q8" s="1911"/>
      <c r="R8" s="1911"/>
      <c r="S8" s="1911"/>
      <c r="T8" s="1911"/>
      <c r="U8" s="1911"/>
      <c r="V8" s="1911"/>
    </row>
    <row r="9" spans="1:22" ht="14.25">
      <c r="A9" s="3493"/>
      <c r="B9" s="3494"/>
      <c r="C9" s="3504"/>
      <c r="D9" s="3505"/>
      <c r="E9" s="259" t="s">
        <v>308</v>
      </c>
      <c r="F9" s="260"/>
      <c r="G9" s="260"/>
      <c r="H9" s="260"/>
      <c r="I9" s="261"/>
      <c r="J9" s="1912"/>
      <c r="K9" s="1911"/>
      <c r="L9" s="1911"/>
      <c r="M9" s="1911"/>
      <c r="N9" s="1911"/>
      <c r="O9" s="1911"/>
      <c r="P9" s="1911"/>
      <c r="Q9" s="1911"/>
      <c r="R9" s="1911"/>
      <c r="S9" s="1911"/>
      <c r="T9" s="1911"/>
      <c r="U9" s="1911"/>
      <c r="V9" s="1911"/>
    </row>
    <row r="10" spans="1:22" ht="14.25">
      <c r="A10" s="3493" t="s">
        <v>309</v>
      </c>
      <c r="B10" s="3494">
        <v>15</v>
      </c>
      <c r="C10" s="3502"/>
      <c r="D10" s="3505"/>
      <c r="E10" s="259" t="s">
        <v>310</v>
      </c>
      <c r="F10" s="260"/>
      <c r="G10" s="260"/>
      <c r="H10" s="260"/>
      <c r="I10" s="261"/>
      <c r="J10" s="1912"/>
      <c r="K10" s="1911"/>
      <c r="L10" s="1911"/>
      <c r="M10" s="1911"/>
      <c r="N10" s="1911"/>
      <c r="O10" s="1911"/>
      <c r="P10" s="1911"/>
      <c r="Q10" s="1911"/>
      <c r="R10" s="1911"/>
      <c r="S10" s="1911"/>
      <c r="T10" s="1911"/>
      <c r="U10" s="1911"/>
      <c r="V10" s="1911"/>
    </row>
    <row r="11" spans="1:22" ht="14.25">
      <c r="A11" s="3493"/>
      <c r="B11" s="3494"/>
      <c r="C11" s="3504"/>
      <c r="D11" s="3505"/>
      <c r="E11" s="259" t="s">
        <v>311</v>
      </c>
      <c r="F11" s="260"/>
      <c r="G11" s="260"/>
      <c r="H11" s="260"/>
      <c r="I11" s="261"/>
      <c r="J11" s="1912"/>
      <c r="K11" s="1911"/>
      <c r="L11" s="1911"/>
      <c r="M11" s="1911"/>
      <c r="N11" s="1911"/>
      <c r="O11" s="1911"/>
      <c r="P11" s="1911"/>
      <c r="Q11" s="1911"/>
      <c r="R11" s="1911"/>
      <c r="S11" s="1911"/>
      <c r="T11" s="1911"/>
      <c r="U11" s="1911"/>
      <c r="V11" s="1911"/>
    </row>
    <row r="12" spans="1:22" ht="14.25">
      <c r="A12" s="3493" t="s">
        <v>312</v>
      </c>
      <c r="B12" s="3494">
        <v>15</v>
      </c>
      <c r="C12" s="3502"/>
      <c r="D12" s="3505"/>
      <c r="E12" s="259" t="s">
        <v>313</v>
      </c>
      <c r="F12" s="260"/>
      <c r="G12" s="260"/>
      <c r="H12" s="260"/>
      <c r="I12" s="261"/>
      <c r="J12" s="1912"/>
      <c r="K12" s="1911"/>
      <c r="L12" s="1911"/>
      <c r="M12" s="1911"/>
      <c r="N12" s="1911"/>
      <c r="O12" s="1911"/>
      <c r="P12" s="1911"/>
      <c r="Q12" s="1911"/>
      <c r="R12" s="1911"/>
      <c r="S12" s="1911"/>
      <c r="T12" s="1911"/>
      <c r="U12" s="1911"/>
      <c r="V12" s="1911"/>
    </row>
    <row r="13" spans="1:22" ht="14.25">
      <c r="A13" s="3493"/>
      <c r="B13" s="3494"/>
      <c r="C13" s="3504"/>
      <c r="D13" s="3505"/>
      <c r="E13" s="259" t="s">
        <v>314</v>
      </c>
      <c r="F13" s="260"/>
      <c r="G13" s="260"/>
      <c r="H13" s="260"/>
      <c r="I13" s="261"/>
      <c r="J13" s="1912"/>
      <c r="K13" s="1911"/>
      <c r="L13" s="1911"/>
      <c r="M13" s="1911"/>
      <c r="N13" s="1911"/>
      <c r="O13" s="1911"/>
      <c r="P13" s="1911"/>
      <c r="Q13" s="1911"/>
      <c r="R13" s="1911"/>
      <c r="S13" s="1911"/>
      <c r="T13" s="1911"/>
      <c r="U13" s="1911"/>
      <c r="V13" s="1911"/>
    </row>
    <row r="14" spans="1:22" ht="14.25">
      <c r="A14" s="3493" t="s">
        <v>315</v>
      </c>
      <c r="B14" s="3494">
        <v>30</v>
      </c>
      <c r="C14" s="3502"/>
      <c r="D14" s="3505"/>
      <c r="E14" s="259" t="s">
        <v>316</v>
      </c>
      <c r="F14" s="260"/>
      <c r="G14" s="260"/>
      <c r="H14" s="260"/>
      <c r="I14" s="261"/>
      <c r="J14" s="1912"/>
      <c r="K14" s="1911"/>
      <c r="L14" s="1911"/>
      <c r="M14" s="1911"/>
      <c r="N14" s="1911"/>
      <c r="O14" s="1911"/>
      <c r="P14" s="1911"/>
      <c r="Q14" s="1911"/>
      <c r="R14" s="1911"/>
      <c r="S14" s="1911"/>
      <c r="T14" s="1911"/>
      <c r="U14" s="1911"/>
      <c r="V14" s="1911"/>
    </row>
    <row r="15" spans="1:22" ht="14.25">
      <c r="A15" s="3493"/>
      <c r="B15" s="3494"/>
      <c r="C15" s="3503"/>
      <c r="D15" s="3505"/>
      <c r="E15" s="259" t="s">
        <v>317</v>
      </c>
      <c r="F15" s="260"/>
      <c r="G15" s="260"/>
      <c r="H15" s="260"/>
      <c r="I15" s="261"/>
      <c r="J15" s="1912"/>
      <c r="K15" s="1911"/>
      <c r="L15" s="1911"/>
      <c r="M15" s="1911"/>
      <c r="N15" s="1911"/>
      <c r="O15" s="1911"/>
      <c r="P15" s="1911"/>
      <c r="Q15" s="1911"/>
      <c r="R15" s="1911"/>
      <c r="S15" s="1911"/>
      <c r="T15" s="1911"/>
      <c r="U15" s="1911"/>
      <c r="V15" s="1911"/>
    </row>
    <row r="16" spans="1:22" ht="14.25">
      <c r="A16" s="3493"/>
      <c r="B16" s="3494"/>
      <c r="C16" s="3504"/>
      <c r="D16" s="3505"/>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0</v>
      </c>
      <c r="D17" s="263">
        <f>SUM(D5:D16)</f>
        <v>0</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t="e">
        <f>ROUND(C17/SUM(C17:D17),2)</f>
        <v>#DIV/0!</v>
      </c>
      <c r="D18" s="265" t="e">
        <f>1-C18</f>
        <v>#DIV/0!</v>
      </c>
      <c r="E18" s="3507" t="s">
        <v>2958</v>
      </c>
      <c r="F18" s="3508"/>
      <c r="G18" s="3508"/>
      <c r="H18" s="3508"/>
      <c r="I18" s="3508"/>
      <c r="J18" s="1911"/>
      <c r="K18" s="1911"/>
      <c r="L18" s="1911"/>
      <c r="M18" s="1911"/>
      <c r="N18" s="1911"/>
      <c r="O18" s="1911"/>
      <c r="P18" s="1911"/>
      <c r="Q18" s="1911"/>
      <c r="R18" s="1911"/>
      <c r="S18" s="1911"/>
      <c r="T18" s="1911"/>
      <c r="U18" s="1911"/>
      <c r="V18" s="1911"/>
    </row>
    <row r="19" spans="1:26" ht="15">
      <c r="A19" s="266" t="s">
        <v>321</v>
      </c>
      <c r="B19" s="267" t="s">
        <v>322</v>
      </c>
      <c r="C19" s="268" t="e">
        <f ca="1">SUMIF(INDIRECT("'"&amp;C4&amp;"'"&amp;"!A:A"),'结果表-24净值'!B19,INDIRECT("'"&amp;C4&amp;"'"&amp;"!B:B"))</f>
        <v>#REF!</v>
      </c>
      <c r="D19" s="269" t="e">
        <f ca="1">SUMIF(INDIRECT("'"&amp;D4&amp;"'"&amp;"!A:A"),'结果表-24净值'!B19,INDIRECT("'"&amp;D4&amp;"'"&amp;"!B:B"))</f>
        <v>#REF!</v>
      </c>
      <c r="E19" s="266" t="s">
        <v>323</v>
      </c>
      <c r="F19" s="267" t="s">
        <v>322</v>
      </c>
      <c r="G19" s="270" t="e">
        <f ca="1">ROUND(C19*$C$18+D19*$D$18,0)</f>
        <v>#REF!</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t="e">
        <f ca="1">SUMIF(INDIRECT("'"&amp;C4&amp;"'"&amp;"!A:A"),'结果表-24净值'!B20,INDIRECT("'"&amp;C4&amp;"'"&amp;"!B:B"))</f>
        <v>#REF!</v>
      </c>
      <c r="D20" s="275" t="e">
        <f ca="1">SUMIF(INDIRECT("'"&amp;D4&amp;"'"&amp;"!A:A"),'结果表-24净值'!B20,INDIRECT("'"&amp;D4&amp;"'"&amp;"!B:B"))</f>
        <v>#REF!</v>
      </c>
      <c r="E20" s="272"/>
      <c r="F20" s="273" t="s">
        <v>325</v>
      </c>
      <c r="G20" s="276" t="e">
        <f ca="1">ROUND(C20*$C$18+D20*$D$18,0)</f>
        <v>#REF!</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SUMIF(INDIRECT("'"&amp;C4&amp;"'"&amp;"!A:A"),'结果表-24净值'!B21,INDIRECT("'"&amp;C4&amp;"'"&amp;"!B:B"))</f>
        <v>#REF!</v>
      </c>
      <c r="D21" s="149" t="e">
        <f ca="1">SUMIF(INDIRECT("'"&amp;D4&amp;"'"&amp;"!A:A"),'结果表-24净值'!B21,INDIRECT("'"&amp;D4&amp;"'"&amp;"!B:B"))</f>
        <v>#REF!</v>
      </c>
      <c r="E21" s="272"/>
      <c r="F21" s="278" t="s">
        <v>327</v>
      </c>
      <c r="G21" s="280" t="e">
        <f ca="1">ROUND(C21*$C$18+D21*$D$18,0)</f>
        <v>#REF!</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t="e">
        <f ca="1">IF(C19&lt;D19,D19/C19-1,C19/D19-1)</f>
        <v>#REF!</v>
      </c>
      <c r="E22" s="282"/>
      <c r="F22" s="283"/>
      <c r="G22" s="284" t="e">
        <f ca="1">ROUND(G19/('数据-汇总表'!D3/666.67),0)</f>
        <v>#REF!</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66"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513"/>
      <c r="B25" s="1274" t="s">
        <v>331</v>
      </c>
      <c r="C25" s="288">
        <f>IF(B30=0,0,C30)</f>
        <v>0</v>
      </c>
      <c r="D25" s="289"/>
      <c r="E25" s="309"/>
      <c r="F25" s="309"/>
      <c r="G25" s="309"/>
      <c r="H25" s="309"/>
      <c r="I25" s="309"/>
      <c r="J25" s="1911"/>
      <c r="K25" s="1208" t="e">
        <f ca="1">项目基本情况!B16&amp;"国有建设用地使用权价格："&amp;O38&amp;"万元"</f>
        <v>#REF!</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e">
        <f ca="1">"大写金额：人民币"&amp;NUMBERSTRING(INT(O38*10000),2)&amp;"元整"</f>
        <v>#REF!</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e">
        <f ca="1">"单位面积地价："&amp;M38&amp;"元/平方米"</f>
        <v>#REF!</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e">
        <f ca="1">"楼面地价："&amp;N38&amp;"元/平方米"</f>
        <v>#REF!</v>
      </c>
      <c r="L28" s="1205"/>
      <c r="M28" s="1205"/>
      <c r="N28" s="1205"/>
      <c r="O28" s="1204"/>
      <c r="P28" s="1911"/>
      <c r="V28" s="1911"/>
    </row>
    <row r="29" spans="1:26" ht="18">
      <c r="A29" s="291"/>
      <c r="B29" s="292"/>
      <c r="C29" s="292"/>
      <c r="D29" s="293"/>
      <c r="E29" s="309"/>
      <c r="F29" s="309"/>
      <c r="G29" s="309"/>
      <c r="H29" s="309"/>
      <c r="I29" s="309"/>
      <c r="J29" s="1911"/>
      <c r="K29" s="1211" t="e">
        <f ca="1">IF(OR(项目基本情况!E8="抵押价格",项目基本情况!E8="已注销及未注销"),"抵押价格："&amp;O39&amp;"万元","——")</f>
        <v>#REF!</v>
      </c>
      <c r="L29" s="1205"/>
      <c r="M29" s="1205"/>
      <c r="N29" s="1205"/>
      <c r="O29" s="1204"/>
      <c r="P29" s="1911"/>
      <c r="V29" s="1911"/>
    </row>
    <row r="30" spans="1:26" ht="18.75" thickBot="1">
      <c r="A30" s="2800" t="s">
        <v>336</v>
      </c>
      <c r="B30" s="307"/>
      <c r="C30" s="307"/>
      <c r="D30" s="308"/>
      <c r="E30" s="3003" t="s">
        <v>2959</v>
      </c>
      <c r="F30" s="309"/>
      <c r="G30" s="309"/>
      <c r="H30" s="309"/>
      <c r="I30" s="309"/>
      <c r="J30" s="1911"/>
      <c r="K30" s="1211" t="e">
        <f ca="1">IF(K29="——","——","大写金额：人民币"&amp;NUMBERSTRING(INT(O39*10000),2)&amp;"元整")</f>
        <v>#REF!</v>
      </c>
      <c r="L30" s="1205"/>
      <c r="M30" s="1205"/>
      <c r="N30" s="1205"/>
      <c r="O30" s="1204"/>
      <c r="P30" s="1911"/>
      <c r="V30" s="1911"/>
    </row>
    <row r="31" spans="1:26" ht="24" customHeight="1" thickBot="1">
      <c r="A31" s="3509" t="s">
        <v>2960</v>
      </c>
      <c r="B31" s="3509"/>
      <c r="C31" s="3509"/>
      <c r="D31" s="3509"/>
      <c r="E31" s="3509"/>
      <c r="F31" s="3509"/>
      <c r="G31" s="3509"/>
      <c r="H31" s="3509"/>
      <c r="I31" s="3509"/>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1678</v>
      </c>
      <c r="C32" s="264" t="e">
        <f ca="1">G19-C24</f>
        <v>#REF!</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t="e">
        <f ca="1">ROUND(C32*10000/'数据-汇总表'!E3,0)</f>
        <v>#REF!</v>
      </c>
      <c r="D33" s="1333" t="s">
        <v>1681</v>
      </c>
      <c r="E33" s="3466"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1682</v>
      </c>
      <c r="C34" s="262" t="e">
        <f ca="1">ROUND(C32*10000/'数据-汇总表'!D3,0)</f>
        <v>#REF!</v>
      </c>
      <c r="D34" s="1335" t="s">
        <v>1681</v>
      </c>
      <c r="E34" s="3467"/>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t="e">
        <f ca="1">ROUND(C32/('数据-汇总表'!D3/666.67),0)</f>
        <v>#REF!</v>
      </c>
      <c r="D35" s="1338" t="s">
        <v>1683</v>
      </c>
      <c r="E35" s="3468"/>
      <c r="F35" s="299" t="s">
        <v>342</v>
      </c>
      <c r="G35" s="969"/>
      <c r="H35" s="968" t="s">
        <v>343</v>
      </c>
      <c r="I35" s="309"/>
      <c r="J35" s="1911"/>
      <c r="K35" s="3472" t="s">
        <v>350</v>
      </c>
      <c r="L35" s="3472" t="s">
        <v>351</v>
      </c>
      <c r="M35" s="1217" t="s">
        <v>352</v>
      </c>
      <c r="N35" s="3472" t="s">
        <v>353</v>
      </c>
      <c r="O35" s="3472" t="s">
        <v>354</v>
      </c>
      <c r="P35" s="1911"/>
      <c r="V35" s="1911"/>
    </row>
    <row r="36" spans="1:26" ht="16.5" customHeight="1">
      <c r="A36" s="301" t="s">
        <v>344</v>
      </c>
      <c r="B36" s="302" t="s">
        <v>333</v>
      </c>
      <c r="C36" s="303" t="s">
        <v>345</v>
      </c>
      <c r="D36" s="303" t="s">
        <v>346</v>
      </c>
      <c r="E36" s="304" t="s">
        <v>347</v>
      </c>
      <c r="F36" s="309"/>
      <c r="G36" s="309"/>
      <c r="H36" s="309"/>
      <c r="I36" s="309"/>
      <c r="J36" s="1913"/>
      <c r="K36" s="3473"/>
      <c r="L36" s="3473"/>
      <c r="M36" s="1219" t="s">
        <v>355</v>
      </c>
      <c r="N36" s="3473"/>
      <c r="O36" s="3473"/>
      <c r="P36" s="1911"/>
      <c r="V36" s="1911"/>
    </row>
    <row r="37" spans="1:26" ht="16.5" customHeight="1" thickBot="1">
      <c r="A37" s="1213" t="s">
        <v>348</v>
      </c>
      <c r="B37" s="305"/>
      <c r="C37" s="292"/>
      <c r="D37" s="292"/>
      <c r="E37" s="293"/>
      <c r="F37" s="309"/>
      <c r="G37" s="309"/>
      <c r="H37" s="309"/>
      <c r="I37" s="309"/>
      <c r="J37" s="1913"/>
      <c r="K37" s="3474"/>
      <c r="L37" s="3474"/>
      <c r="M37" s="1220"/>
      <c r="N37" s="3474"/>
      <c r="O37" s="3474"/>
      <c r="P37" s="1911"/>
      <c r="V37" s="1911"/>
    </row>
    <row r="38" spans="1:26" ht="16.5" customHeight="1" thickBot="1">
      <c r="A38" s="1213" t="s">
        <v>349</v>
      </c>
      <c r="B38" s="305"/>
      <c r="C38" s="292"/>
      <c r="D38" s="292"/>
      <c r="E38" s="293"/>
      <c r="F38" s="309"/>
      <c r="G38" s="309"/>
      <c r="H38" s="309"/>
      <c r="I38" s="309"/>
      <c r="J38" s="1913"/>
      <c r="K38" s="1221">
        <f>'数据-汇总表'!D3</f>
        <v>54426.77</v>
      </c>
      <c r="L38" s="1222">
        <f>'数据-汇总表'!E3</f>
        <v>136066.92000000001</v>
      </c>
      <c r="M38" s="1222" t="e">
        <f ca="1">C34</f>
        <v>#REF!</v>
      </c>
      <c r="N38" s="1222" t="e">
        <f ca="1">C33</f>
        <v>#REF!</v>
      </c>
      <c r="O38" s="1223" t="e">
        <f ca="1">C32</f>
        <v>#REF!</v>
      </c>
      <c r="P38" s="1911"/>
      <c r="V38" s="1911"/>
    </row>
    <row r="39" spans="1:26" ht="16.5" customHeight="1" thickBot="1">
      <c r="A39" s="1218"/>
      <c r="B39" s="306"/>
      <c r="C39" s="307"/>
      <c r="D39" s="307"/>
      <c r="E39" s="308"/>
      <c r="F39" s="309"/>
      <c r="G39" s="309"/>
      <c r="H39" s="309"/>
      <c r="I39" s="309"/>
      <c r="J39" s="1913"/>
      <c r="K39" s="3485" t="str">
        <f>MID(A44,3,LEN(A44)-2)</f>
        <v>抵押价格</v>
      </c>
      <c r="L39" s="3486"/>
      <c r="M39" s="3486"/>
      <c r="N39" s="3487"/>
      <c r="O39" s="1340" t="e">
        <f ca="1">C44</f>
        <v>#REF!</v>
      </c>
      <c r="P39" s="1911"/>
      <c r="V39" s="1911"/>
    </row>
    <row r="40" spans="1:26" ht="19.5" thickBot="1">
      <c r="A40" s="104" t="s">
        <v>863</v>
      </c>
      <c r="B40" s="309"/>
      <c r="C40" s="309"/>
      <c r="D40" s="309"/>
      <c r="E40" s="309"/>
      <c r="F40" s="309"/>
      <c r="G40" s="309"/>
      <c r="H40" s="309"/>
      <c r="I40" s="309"/>
      <c r="J40" s="1913"/>
      <c r="K40" s="3485" t="str">
        <f t="shared" ref="K40:K41" si="0">MID(A45,3,LEN(A45)-2)</f>
        <v/>
      </c>
      <c r="L40" s="3486"/>
      <c r="M40" s="3486"/>
      <c r="N40" s="3487"/>
      <c r="O40" s="1340" t="str">
        <f>C45</f>
        <v>——</v>
      </c>
      <c r="P40" s="1911"/>
      <c r="V40" s="1911"/>
    </row>
    <row r="41" spans="1:26" ht="16.5" thickBot="1">
      <c r="A41" s="310" t="s">
        <v>356</v>
      </c>
      <c r="B41" s="311"/>
      <c r="C41" s="312" t="s">
        <v>357</v>
      </c>
      <c r="D41" s="313" t="s">
        <v>358</v>
      </c>
      <c r="E41" s="313" t="s">
        <v>359</v>
      </c>
      <c r="F41" s="314" t="s">
        <v>360</v>
      </c>
      <c r="G41" s="309"/>
      <c r="H41" s="309"/>
      <c r="I41" s="309"/>
      <c r="J41" s="1913"/>
      <c r="K41" s="3485" t="str">
        <f t="shared" si="0"/>
        <v/>
      </c>
      <c r="L41" s="3486"/>
      <c r="M41" s="3486"/>
      <c r="N41" s="3487"/>
      <c r="O41" s="1340" t="str">
        <f>C46</f>
        <v>——</v>
      </c>
      <c r="P41" s="1911"/>
      <c r="V41" s="1911"/>
    </row>
    <row r="42" spans="1:26" ht="29.25">
      <c r="A42" s="3514" t="s">
        <v>2055</v>
      </c>
      <c r="B42" s="3515"/>
      <c r="C42" s="262" t="e">
        <f ca="1">C32</f>
        <v>#REF!</v>
      </c>
      <c r="D42" s="315" t="e">
        <f ca="1">C33</f>
        <v>#REF!</v>
      </c>
      <c r="E42" s="315" t="e">
        <f ca="1">C34</f>
        <v>#REF!</v>
      </c>
      <c r="F42" s="316" t="e">
        <f ca="1">C35</f>
        <v>#REF!</v>
      </c>
      <c r="G42" s="309"/>
      <c r="H42" s="309"/>
      <c r="I42" s="317"/>
      <c r="J42" s="1913"/>
      <c r="K42" s="1224" t="s">
        <v>361</v>
      </c>
      <c r="L42" s="1930" t="s">
        <v>362</v>
      </c>
      <c r="M42" s="1225" t="s">
        <v>363</v>
      </c>
      <c r="N42" s="1931" t="s">
        <v>364</v>
      </c>
      <c r="O42" s="1932" t="s">
        <v>365</v>
      </c>
      <c r="P42" s="1911"/>
      <c r="V42" s="1911"/>
    </row>
    <row r="43" spans="1:26" ht="18">
      <c r="A43" s="3524" t="s">
        <v>2709</v>
      </c>
      <c r="B43" s="3525"/>
      <c r="C43" s="262">
        <f>IF(H33="正常操作",G33+G34+G35,G34+G35)</f>
        <v>0</v>
      </c>
      <c r="D43" s="315" t="s">
        <v>43</v>
      </c>
      <c r="E43" s="315" t="s">
        <v>44</v>
      </c>
      <c r="F43" s="316" t="s">
        <v>44</v>
      </c>
      <c r="G43" s="2583" t="s">
        <v>942</v>
      </c>
      <c r="H43" s="309"/>
      <c r="I43" s="317"/>
      <c r="J43" s="1913"/>
      <c r="K43" s="1226">
        <f>C4</f>
        <v>0</v>
      </c>
      <c r="L43" s="1227" t="e">
        <f ca="1">IF(L42="估价结果/万元",C19,C20)</f>
        <v>#REF!</v>
      </c>
      <c r="M43" s="1228" t="e">
        <f>C18</f>
        <v>#DIV/0!</v>
      </c>
      <c r="N43" s="1229" t="e">
        <f ca="1">IF(N42="测算结果/万元",G19,G20)</f>
        <v>#REF!</v>
      </c>
      <c r="O43" s="1230" t="e">
        <f ca="1">IF(O42="最终结果/万元",C32,C33)</f>
        <v>#REF!</v>
      </c>
      <c r="P43" s="1911"/>
      <c r="V43" s="1911"/>
    </row>
    <row r="44" spans="1:26" ht="18.75" thickBot="1">
      <c r="A44" s="3514" t="str">
        <f>IF(OR(项目基本情况!E8="抵押价格",项目基本情况!E8="已注销及未注销"),"3.抵押价格","——")</f>
        <v>3.抵押价格</v>
      </c>
      <c r="B44" s="3515"/>
      <c r="C44" s="262" t="e">
        <f ca="1">IF(A44="——","——",C42-C43)</f>
        <v>#REF!</v>
      </c>
      <c r="D44" s="315" t="e">
        <f ca="1">ROUND(C44*10000/'数据-汇总表'!E3,0)</f>
        <v>#REF!</v>
      </c>
      <c r="E44" s="315" t="e">
        <f ca="1">ROUND(C44*10000/'数据-汇总表'!D3,0)</f>
        <v>#REF!</v>
      </c>
      <c r="F44" s="316" t="e">
        <f ca="1">ROUND(C44/('数据-汇总表'!D3/666.67),0)</f>
        <v>#REF!</v>
      </c>
      <c r="G44" s="309"/>
      <c r="H44" s="309"/>
      <c r="I44" s="317"/>
      <c r="J44" s="1913"/>
      <c r="K44" s="1231">
        <f>D4</f>
        <v>0</v>
      </c>
      <c r="L44" s="1232" t="e">
        <f ca="1">IF(L42="估价结果/万元",D19,D20)</f>
        <v>#REF!</v>
      </c>
      <c r="M44" s="1233" t="e">
        <f>D18</f>
        <v>#DIV/0!</v>
      </c>
      <c r="N44" s="1234"/>
      <c r="O44" s="1235"/>
      <c r="P44" s="1911"/>
      <c r="V44" s="1911"/>
    </row>
    <row r="45" spans="1:26" ht="15">
      <c r="A45" s="3519" t="str">
        <f>IF(项目基本情况!E8="已注销及未注销","4.抵押担保权已注销时的抵押价格",IF(项目基本情况!E8="已注销","3.抵押担保权已注销时的抵押价格","——"))</f>
        <v>——</v>
      </c>
      <c r="B45" s="3520"/>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516" t="str">
        <f>IF(项目基本情况!E9="抵押净值",IF(A45="——","4.抵押净值","5.抵押净值"),"——")</f>
        <v>——</v>
      </c>
      <c r="B46" s="3517"/>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77" t="s">
        <v>374</v>
      </c>
      <c r="B63" s="3478"/>
      <c r="C63" s="3479"/>
      <c r="D63" s="339">
        <f ca="1">系统读取表!D16*F63</f>
        <v>32197</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521" t="s">
        <v>378</v>
      </c>
      <c r="B64" s="3522"/>
      <c r="C64" s="3522"/>
      <c r="D64" s="3522"/>
      <c r="E64" s="3522"/>
      <c r="F64" s="3522"/>
      <c r="G64" s="3523"/>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518" t="s">
        <v>386</v>
      </c>
      <c r="B66" s="3484"/>
      <c r="C66" s="3484"/>
      <c r="D66" s="259">
        <f ca="1">IF(H66="情况1",0,IF(H66="情况2",D70,IF(H66="情况3",D71,IF(H66="情况4",D72))))</f>
        <v>1687</v>
      </c>
      <c r="E66" s="3280" t="str">
        <f>IF(H66="情况4","(销售额-原购置价)×税（费）率","销售额×税（费）率")</f>
        <v>销售额×税（费）率</v>
      </c>
      <c r="F66" s="348">
        <f>IF(H66="情况1","免征",'数据-取费表'!B41)</f>
        <v>5.5000000000000007E-2</v>
      </c>
      <c r="G66" s="349" t="s">
        <v>387</v>
      </c>
      <c r="H66" s="189" t="s">
        <v>3166</v>
      </c>
      <c r="I66" s="1241"/>
      <c r="J66" s="1917"/>
      <c r="K66" s="3290">
        <v>1</v>
      </c>
      <c r="L66" s="3445" t="s">
        <v>385</v>
      </c>
      <c r="M66" s="3446"/>
      <c r="N66" s="2312"/>
      <c r="O66" s="2313"/>
      <c r="P66" s="2314"/>
      <c r="Q66" s="1911"/>
      <c r="R66" s="1911"/>
      <c r="S66" s="1911"/>
      <c r="T66" s="1911"/>
      <c r="U66" s="1911"/>
      <c r="V66" s="1911"/>
    </row>
    <row r="67" spans="1:22" ht="25.5" customHeight="1">
      <c r="A67" s="350" t="s">
        <v>389</v>
      </c>
      <c r="B67" s="3496" t="s">
        <v>390</v>
      </c>
      <c r="C67" s="3496"/>
      <c r="D67" s="351">
        <v>0</v>
      </c>
      <c r="E67" s="41" t="s">
        <v>391</v>
      </c>
      <c r="F67" s="62" t="s">
        <v>21</v>
      </c>
      <c r="G67" s="3480"/>
      <c r="H67" s="3006" t="s">
        <v>2961</v>
      </c>
      <c r="I67" s="3008"/>
      <c r="J67" s="1918"/>
      <c r="K67" s="3287">
        <v>2</v>
      </c>
      <c r="L67" s="3450" t="s">
        <v>388</v>
      </c>
      <c r="M67" s="3450"/>
      <c r="N67" s="1278">
        <f>'数据-取费表'!B2</f>
        <v>44258</v>
      </c>
      <c r="O67" s="1278"/>
      <c r="P67" s="1278"/>
      <c r="Q67" s="1911"/>
      <c r="R67" s="1911"/>
      <c r="S67" s="1911"/>
      <c r="T67" s="1911"/>
      <c r="U67" s="1911"/>
      <c r="V67" s="1911"/>
    </row>
    <row r="68" spans="1:22" ht="25.5" customHeight="1">
      <c r="A68" s="352"/>
      <c r="B68" s="3496" t="s">
        <v>393</v>
      </c>
      <c r="C68" s="3496"/>
      <c r="D68" s="353"/>
      <c r="E68" s="77"/>
      <c r="F68" s="354"/>
      <c r="G68" s="3481"/>
      <c r="H68" s="3007" t="s">
        <v>2962</v>
      </c>
      <c r="I68" s="3008"/>
      <c r="J68" s="1918"/>
      <c r="K68" s="3287">
        <v>3</v>
      </c>
      <c r="L68" s="3450" t="s">
        <v>392</v>
      </c>
      <c r="M68" s="3450"/>
      <c r="N68" s="1246">
        <f ca="1">系统读取表!D16</f>
        <v>32197</v>
      </c>
      <c r="O68" s="1246"/>
      <c r="P68" s="1246"/>
      <c r="Q68" s="1911"/>
      <c r="R68" s="1911"/>
      <c r="S68" s="1911"/>
      <c r="T68" s="1911"/>
      <c r="U68" s="1911"/>
      <c r="V68" s="1911"/>
    </row>
    <row r="69" spans="1:22" ht="23.45" customHeight="1">
      <c r="A69" s="355"/>
      <c r="B69" s="3496" t="s">
        <v>394</v>
      </c>
      <c r="C69" s="3496"/>
      <c r="D69" s="356"/>
      <c r="E69" s="73"/>
      <c r="F69" s="354"/>
      <c r="G69" s="3482"/>
      <c r="H69" s="3007" t="s">
        <v>2963</v>
      </c>
      <c r="I69" s="3008"/>
      <c r="J69" s="1918"/>
      <c r="K69" s="3289">
        <v>4</v>
      </c>
      <c r="L69" s="3451" t="s">
        <v>2857</v>
      </c>
      <c r="M69" s="3452"/>
      <c r="N69" s="1248">
        <f ca="1">N68</f>
        <v>32197</v>
      </c>
      <c r="O69" s="1248"/>
      <c r="P69" s="1248"/>
      <c r="Q69" s="1911"/>
      <c r="R69" s="1911"/>
      <c r="S69" s="1911"/>
      <c r="T69" s="1911"/>
      <c r="U69" s="1911"/>
      <c r="V69" s="1911"/>
    </row>
    <row r="70" spans="1:22" ht="24" customHeight="1">
      <c r="A70" s="357" t="s">
        <v>395</v>
      </c>
      <c r="B70" s="3496" t="s">
        <v>396</v>
      </c>
      <c r="C70" s="3496"/>
      <c r="D70" s="356">
        <f ca="1">ROUND(D63*'数据-取费表'!B41/(1+'数据-取费表'!C42),0)</f>
        <v>1687</v>
      </c>
      <c r="E70" s="17" t="s">
        <v>397</v>
      </c>
      <c r="F70" s="358">
        <f>'数据-取费表'!B41</f>
        <v>5.5000000000000007E-2</v>
      </c>
      <c r="G70" s="359"/>
      <c r="H70" s="309"/>
      <c r="I70" s="1245"/>
      <c r="J70" s="1918"/>
      <c r="K70" s="2765"/>
      <c r="L70" s="2766"/>
      <c r="M70" s="2766"/>
      <c r="N70" s="2767" t="s">
        <v>2861</v>
      </c>
      <c r="O70" s="2766"/>
      <c r="P70" s="2768"/>
      <c r="Q70" s="1911"/>
      <c r="R70" s="1911"/>
      <c r="S70" s="1911"/>
      <c r="T70" s="1911"/>
      <c r="U70" s="1911"/>
      <c r="V70" s="1911"/>
    </row>
    <row r="71" spans="1:22" ht="12" customHeight="1">
      <c r="A71" s="357" t="s">
        <v>403</v>
      </c>
      <c r="B71" s="3495" t="s">
        <v>2992</v>
      </c>
      <c r="C71" s="3512"/>
      <c r="D71" s="356">
        <f ca="1">ROUND(D63*'数据-取费表'!B41/(1+'数据-取费表'!C42),0)</f>
        <v>1687</v>
      </c>
      <c r="E71" s="17" t="s">
        <v>397</v>
      </c>
      <c r="F71" s="358">
        <f>'数据-取费表'!B41</f>
        <v>5.5000000000000007E-2</v>
      </c>
      <c r="G71" s="359"/>
      <c r="H71" s="309"/>
      <c r="I71" s="1245"/>
      <c r="J71" s="1918"/>
      <c r="K71" s="3291" t="s">
        <v>398</v>
      </c>
      <c r="L71" s="3453" t="s">
        <v>399</v>
      </c>
      <c r="M71" s="3453"/>
      <c r="N71" s="3291" t="s">
        <v>400</v>
      </c>
      <c r="O71" s="3291" t="s">
        <v>401</v>
      </c>
      <c r="P71" s="3291" t="s">
        <v>402</v>
      </c>
      <c r="Q71" s="1911"/>
      <c r="R71" s="1911"/>
      <c r="S71" s="1911"/>
      <c r="T71" s="1911"/>
      <c r="U71" s="1911"/>
      <c r="V71" s="1911"/>
    </row>
    <row r="72" spans="1:22" ht="12" customHeight="1">
      <c r="A72" s="357" t="s">
        <v>405</v>
      </c>
      <c r="B72" s="3495" t="s">
        <v>2993</v>
      </c>
      <c r="C72" s="3512"/>
      <c r="D72" s="356">
        <f ca="1">C86</f>
        <v>1687</v>
      </c>
      <c r="E72" s="73" t="s">
        <v>406</v>
      </c>
      <c r="F72" s="358">
        <f>'数据-取费表'!B41</f>
        <v>5.5000000000000007E-2</v>
      </c>
      <c r="G72" s="359"/>
      <c r="H72" s="1251"/>
      <c r="I72" s="1245"/>
      <c r="J72" s="1918"/>
      <c r="K72" s="3287">
        <v>1</v>
      </c>
      <c r="L72" s="3449" t="s">
        <v>404</v>
      </c>
      <c r="M72" s="3449"/>
      <c r="N72" s="1249">
        <f ca="1">D66</f>
        <v>1687</v>
      </c>
      <c r="O72" s="3286" t="str">
        <f>E66</f>
        <v>销售额×税（费）率</v>
      </c>
      <c r="P72" s="1250">
        <f>F66</f>
        <v>5.5000000000000007E-2</v>
      </c>
      <c r="Q72" s="1911"/>
      <c r="R72" s="1911"/>
      <c r="S72" s="1911"/>
      <c r="T72" s="1911"/>
      <c r="U72" s="1911"/>
      <c r="V72" s="1911"/>
    </row>
    <row r="73" spans="1:22" ht="24" customHeight="1">
      <c r="A73" s="3483" t="s">
        <v>408</v>
      </c>
      <c r="B73" s="3484"/>
      <c r="C73" s="3484"/>
      <c r="D73" s="360">
        <f ca="1">IF(H73="个人住宅",0,ROUND(D63*I73,0))</f>
        <v>16</v>
      </c>
      <c r="E73" s="17" t="s">
        <v>409</v>
      </c>
      <c r="F73" s="358">
        <f>IF(H73="正常",I73,"免征")</f>
        <v>5.0000000000000001E-4</v>
      </c>
      <c r="G73" s="359"/>
      <c r="H73" s="189" t="s">
        <v>3127</v>
      </c>
      <c r="I73" s="358">
        <f>'数据-取费表'!B49</f>
        <v>5.0000000000000001E-4</v>
      </c>
      <c r="J73" s="1918"/>
      <c r="K73" s="3287">
        <v>2</v>
      </c>
      <c r="L73" s="3449" t="s">
        <v>407</v>
      </c>
      <c r="M73" s="3449"/>
      <c r="N73" s="1249">
        <f t="shared" ref="N73:P74" ca="1" si="1">D73</f>
        <v>16</v>
      </c>
      <c r="O73" s="3286" t="str">
        <f t="shared" si="1"/>
        <v>销售额×税（费）率</v>
      </c>
      <c r="P73" s="1250">
        <f t="shared" si="1"/>
        <v>5.0000000000000001E-4</v>
      </c>
      <c r="Q73" s="1911"/>
      <c r="R73" s="1911"/>
      <c r="S73" s="1911"/>
      <c r="T73" s="1911"/>
      <c r="U73" s="1911"/>
      <c r="V73" s="1911"/>
    </row>
    <row r="74" spans="1:22" ht="24.75">
      <c r="A74" s="3483" t="s">
        <v>411</v>
      </c>
      <c r="B74" s="3484"/>
      <c r="C74" s="3484"/>
      <c r="D74" s="360">
        <f ca="1">IF(H74="个人住宅",D75,D76)</f>
        <v>2902</v>
      </c>
      <c r="E74" s="17" t="s">
        <v>412</v>
      </c>
      <c r="F74" s="358" t="str">
        <f>IF(H74="正常",F76,"免征")</f>
        <v>——</v>
      </c>
      <c r="G74" s="970" t="s">
        <v>387</v>
      </c>
      <c r="H74" s="361" t="s">
        <v>3127</v>
      </c>
      <c r="I74" s="42"/>
      <c r="J74" s="1918"/>
      <c r="K74" s="3287">
        <v>3</v>
      </c>
      <c r="L74" s="3449" t="s">
        <v>410</v>
      </c>
      <c r="M74" s="3449"/>
      <c r="N74" s="1249">
        <f t="shared" ca="1" si="1"/>
        <v>2902</v>
      </c>
      <c r="O74" s="3286" t="str">
        <f t="shared" si="1"/>
        <v>增值额×税（费）率</v>
      </c>
      <c r="P74" s="1252" t="str">
        <f t="shared" si="1"/>
        <v>——</v>
      </c>
      <c r="Q74" s="1911"/>
      <c r="R74" s="1911"/>
      <c r="S74" s="1911"/>
      <c r="T74" s="1911"/>
      <c r="U74" s="1911"/>
      <c r="V74" s="1911"/>
    </row>
    <row r="75" spans="1:22" ht="12.75">
      <c r="A75" s="357" t="s">
        <v>414</v>
      </c>
      <c r="B75" s="3464" t="s">
        <v>415</v>
      </c>
      <c r="C75" s="3465"/>
      <c r="D75" s="362">
        <v>0</v>
      </c>
      <c r="E75" s="41" t="s">
        <v>416</v>
      </c>
      <c r="F75" s="363"/>
      <c r="G75" s="359"/>
      <c r="H75" s="42"/>
      <c r="I75" s="42"/>
      <c r="J75" s="1918"/>
      <c r="K75" s="3287" t="str">
        <f>IF(H77="非个人房产","",4)</f>
        <v/>
      </c>
      <c r="L75" s="3449" t="str">
        <f>IF(H77="非个人房产","——","个人所得税")</f>
        <v>——</v>
      </c>
      <c r="M75" s="3449"/>
      <c r="N75" s="1253" t="str">
        <f>D77</f>
        <v>——</v>
      </c>
      <c r="O75" s="1786" t="str">
        <f>E77</f>
        <v>——</v>
      </c>
      <c r="P75" s="1254" t="str">
        <f>F77</f>
        <v>——</v>
      </c>
      <c r="Q75" s="1911"/>
      <c r="R75" s="1911"/>
      <c r="S75" s="1911"/>
      <c r="T75" s="1911"/>
      <c r="U75" s="1911"/>
      <c r="V75" s="1911"/>
    </row>
    <row r="76" spans="1:22" ht="24.75">
      <c r="A76" s="357" t="s">
        <v>395</v>
      </c>
      <c r="B76" s="3464" t="s">
        <v>418</v>
      </c>
      <c r="C76" s="3506"/>
      <c r="D76" s="360">
        <f ca="1">IF(H76="转让取得",C99,C115)</f>
        <v>2902</v>
      </c>
      <c r="E76" s="17" t="s">
        <v>419</v>
      </c>
      <c r="F76" s="53" t="s">
        <v>21</v>
      </c>
      <c r="G76" s="359"/>
      <c r="H76" s="361" t="s">
        <v>3167</v>
      </c>
      <c r="I76" s="42"/>
      <c r="J76" s="1918"/>
      <c r="K76" s="3287" t="str">
        <f>IF(项目基本情况!K6="上海银行",IF(K75="",4,K75+1),"")</f>
        <v/>
      </c>
      <c r="L76" s="3460" t="str">
        <f>IF(项目基本情况!K6="上海银行","其他处置费用","")</f>
        <v/>
      </c>
      <c r="M76" s="3461"/>
      <c r="N76" s="1249" t="str">
        <f>IF(项目基本情况!K6="上海银行",N89,"")</f>
        <v/>
      </c>
      <c r="O76" s="3462" t="str">
        <f>IF(项目基本情况!K6="上海银行","包含处置中涉及的律师、诉讼、拍卖、评估等费用","")</f>
        <v/>
      </c>
      <c r="P76" s="3463"/>
      <c r="Q76" s="1911"/>
      <c r="R76" s="1911"/>
      <c r="S76" s="1911"/>
      <c r="T76" s="1911"/>
      <c r="U76" s="1911"/>
      <c r="V76" s="1911"/>
    </row>
    <row r="77" spans="1:22" ht="24.75" thickBot="1">
      <c r="A77" s="3475" t="s">
        <v>421</v>
      </c>
      <c r="B77" s="3476"/>
      <c r="C77" s="3476"/>
      <c r="D77" s="3011" t="str">
        <f>IF(H77="非个人房产","——",IF(H77="个人住宅（满五唯一有凭证）",0,IF(H77="个人其他（无凭证）",ROUND(D63*F77,0),ROUND(C84*F77,0))))</f>
        <v>——</v>
      </c>
      <c r="E77" s="3012" t="str">
        <f>IF(H77="非个人房产","——",IF(H77="个人其他（无凭证）","销售额×税（费）率",IF(H77="个人住宅（满五唯一有凭证）","免征","差额计税")))</f>
        <v>——</v>
      </c>
      <c r="F77" s="3013" t="str">
        <f>IF(OR(H77="非个人房产",H77="个人住宅（满五唯一有凭证）"),"——",IF(H77="个人其他（有凭证）",20%,1%))</f>
        <v>——</v>
      </c>
      <c r="G77" s="971" t="s">
        <v>387</v>
      </c>
      <c r="H77" s="3010" t="s">
        <v>3168</v>
      </c>
      <c r="I77" s="3009" t="s">
        <v>2964</v>
      </c>
      <c r="J77" s="1918"/>
      <c r="K77" s="3471">
        <f>IF(AND(K75="",K76=""),4,IF(项目基本情况!K6="上海银行",K76+1,K75+1))</f>
        <v>4</v>
      </c>
      <c r="L77" s="3449" t="s">
        <v>2858</v>
      </c>
      <c r="M77" s="2763" t="s">
        <v>417</v>
      </c>
      <c r="N77" s="1255"/>
      <c r="O77" s="1256">
        <f ca="1">SUMIF(N72:N76,"&lt;9e307")</f>
        <v>4605</v>
      </c>
      <c r="P77" s="1257"/>
      <c r="Q77" s="2761">
        <f ca="1">O77/N69</f>
        <v>0.14302574774047272</v>
      </c>
      <c r="R77" s="1911"/>
      <c r="S77" s="1911"/>
      <c r="T77" s="1911"/>
      <c r="U77" s="1911"/>
      <c r="V77" s="1911"/>
    </row>
    <row r="78" spans="1:22" ht="12" customHeight="1">
      <c r="A78" s="1258"/>
      <c r="B78" s="309"/>
      <c r="C78" s="309"/>
      <c r="D78" s="309"/>
      <c r="E78" s="42"/>
      <c r="F78" s="42"/>
      <c r="G78" s="42"/>
      <c r="H78" s="990"/>
      <c r="I78" s="309"/>
      <c r="J78" s="1918"/>
      <c r="K78" s="3471"/>
      <c r="L78" s="3449"/>
      <c r="M78" s="2763" t="s">
        <v>420</v>
      </c>
      <c r="N78" s="1255"/>
      <c r="O78" s="1256" t="str">
        <f ca="1">NUMBERSTRING(INT(O77*10000),2)&amp;"元整"</f>
        <v>肆仟陆佰零伍万元整</v>
      </c>
      <c r="P78" s="1257"/>
      <c r="Q78" s="1911"/>
      <c r="R78" s="1911"/>
      <c r="S78" s="1911"/>
      <c r="T78" s="1911"/>
      <c r="U78" s="1911"/>
      <c r="V78" s="1911"/>
    </row>
    <row r="79" spans="1:22" ht="13.5" thickBot="1">
      <c r="A79" s="3526" t="s">
        <v>422</v>
      </c>
      <c r="B79" s="3526"/>
      <c r="C79" s="3526"/>
      <c r="D79" s="3526"/>
      <c r="E79" s="3526"/>
      <c r="F79" s="42"/>
      <c r="G79" s="42"/>
      <c r="H79" s="990"/>
      <c r="I79" s="309"/>
      <c r="J79" s="1918"/>
      <c r="K79" s="3447">
        <f>K77+1</f>
        <v>5</v>
      </c>
      <c r="L79" s="3449" t="s">
        <v>2859</v>
      </c>
      <c r="M79" s="2763" t="s">
        <v>417</v>
      </c>
      <c r="N79" s="1255"/>
      <c r="O79" s="1256">
        <f ca="1">N69-O77</f>
        <v>27592</v>
      </c>
      <c r="P79" s="1257"/>
      <c r="Q79" s="1911"/>
      <c r="R79" s="1911"/>
      <c r="S79" s="1911"/>
      <c r="T79" s="1911"/>
      <c r="U79" s="1911"/>
      <c r="V79" s="1911"/>
    </row>
    <row r="80" spans="1:22" ht="25.5">
      <c r="A80" s="3457" t="s">
        <v>423</v>
      </c>
      <c r="B80" s="3458"/>
      <c r="C80" s="3281"/>
      <c r="D80" s="3281" t="s">
        <v>424</v>
      </c>
      <c r="E80" s="364" t="s">
        <v>425</v>
      </c>
      <c r="F80" s="42"/>
      <c r="G80" s="42"/>
      <c r="H80" s="990"/>
      <c r="I80" s="309"/>
      <c r="J80" s="1911"/>
      <c r="K80" s="3448"/>
      <c r="L80" s="3449"/>
      <c r="M80" s="2763" t="s">
        <v>420</v>
      </c>
      <c r="N80" s="1255"/>
      <c r="O80" s="1256" t="str">
        <f ca="1">NUMBERSTRING(INT(O79*10000),2)&amp;"元整"</f>
        <v>贰亿柒仟伍佰玖拾贰万元整</v>
      </c>
      <c r="P80" s="1257"/>
      <c r="Q80" s="1911"/>
      <c r="R80" s="1911"/>
      <c r="S80" s="1911"/>
      <c r="T80" s="1911"/>
      <c r="U80" s="1911"/>
      <c r="V80" s="1911"/>
    </row>
    <row r="81" spans="1:26" ht="13.5" thickBot="1">
      <c r="A81" s="375" t="s">
        <v>1813</v>
      </c>
      <c r="B81" s="365" t="s">
        <v>426</v>
      </c>
      <c r="C81" s="366">
        <f ca="1">ROUND((C82+C83)/(1+'数据-取费表'!C42),0)</f>
        <v>30664</v>
      </c>
      <c r="D81" s="367"/>
      <c r="E81" s="368"/>
      <c r="F81" s="42"/>
      <c r="G81" s="42"/>
      <c r="H81" s="990"/>
      <c r="I81" s="309"/>
      <c r="J81" s="1911"/>
      <c r="K81" s="3287">
        <f>K79+1</f>
        <v>6</v>
      </c>
      <c r="L81" s="3469" t="s">
        <v>2860</v>
      </c>
      <c r="M81" s="3470"/>
      <c r="N81" s="1259"/>
      <c r="O81" s="1260">
        <f ca="1">ROUND(O79*10000/'数据-汇总表'!E3,0)</f>
        <v>2028</v>
      </c>
      <c r="P81" s="1261"/>
      <c r="Q81" s="1911"/>
      <c r="R81" s="1911"/>
      <c r="S81" s="1911"/>
      <c r="T81" s="1911"/>
      <c r="U81" s="1911"/>
      <c r="V81" s="1911"/>
    </row>
    <row r="82" spans="1:26" ht="13.5" thickTop="1">
      <c r="A82" s="369" t="s">
        <v>1814</v>
      </c>
      <c r="B82" s="370" t="s">
        <v>427</v>
      </c>
      <c r="C82" s="371">
        <f ca="1">D63</f>
        <v>32197</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459" t="s">
        <v>2848</v>
      </c>
      <c r="L83" s="3288" t="s">
        <v>2849</v>
      </c>
      <c r="M83" s="2759">
        <f ca="1">IF(N69&gt;10000,N69*0.5%,IF(AND(N69&gt;1000,N69&lt;=10000),N69*1%,IF(AND(N69&gt;100,N69&lt;=1000),N69*3%,IF(AND(N69&gt;10,N69&lt;=100),N69*5%,N69*8%))))</f>
        <v>160.98500000000001</v>
      </c>
      <c r="N83" s="53">
        <f ca="1">ROUND(M83,1)</f>
        <v>161</v>
      </c>
      <c r="O83" s="2762"/>
      <c r="P83" s="1911"/>
      <c r="Q83" s="1911"/>
      <c r="R83" s="1911"/>
      <c r="S83" s="1911"/>
      <c r="T83" s="1911"/>
      <c r="U83" s="1911"/>
      <c r="V83" s="1911"/>
    </row>
    <row r="84" spans="1:26" ht="12.75">
      <c r="A84" s="375" t="s">
        <v>1816</v>
      </c>
      <c r="B84" s="376" t="s">
        <v>429</v>
      </c>
      <c r="C84" s="377"/>
      <c r="D84" s="378" t="s">
        <v>19</v>
      </c>
      <c r="E84" s="2787" t="s">
        <v>2902</v>
      </c>
      <c r="F84" s="42"/>
      <c r="G84" s="42"/>
      <c r="H84" s="990"/>
      <c r="I84" s="309"/>
      <c r="J84" s="1911"/>
      <c r="K84" s="3459"/>
      <c r="L84" s="3288" t="s">
        <v>2850</v>
      </c>
      <c r="M84" s="2759">
        <f ca="1">IF(N69&gt;2000,N69*0.5%,IF(AND(N69&gt;1000,N69&lt;=2000),N69*0.6%,IF(AND(N69&gt;500,N69&lt;=1000),N69*0.7%,IF(AND(N69&gt;200,N69&lt;=500),N69*0.8%,IF(AND(N69&gt;100,N69&lt;=200),N69*0.9%,IF(AND(N69&gt;50,N69&lt;=100),N69*1%,IF(AND(N69&gt;20,N69&lt;=50),N69*1.5%,IF(AND(N69&gt;10,N69&lt;=20),N69*2%,IF(AND(N69&gt;1,N69&lt;=10),N69*2.5%)))))))))</f>
        <v>160.98500000000001</v>
      </c>
      <c r="N84" s="53">
        <f t="shared" ref="N84:N85" ca="1" si="2">ROUND(M84,1)</f>
        <v>161</v>
      </c>
      <c r="O84" s="1911" t="s">
        <v>2851</v>
      </c>
      <c r="P84" s="1911"/>
      <c r="Q84" s="1911"/>
      <c r="R84" s="1911"/>
      <c r="S84" s="1911"/>
      <c r="T84" s="1911"/>
      <c r="U84" s="1911"/>
      <c r="V84" s="1911"/>
    </row>
    <row r="85" spans="1:26" ht="12.75">
      <c r="A85" s="375" t="s">
        <v>1817</v>
      </c>
      <c r="B85" s="376" t="s">
        <v>430</v>
      </c>
      <c r="C85" s="379">
        <f ca="1">C81-C84</f>
        <v>30664</v>
      </c>
      <c r="D85" s="372" t="s">
        <v>19</v>
      </c>
      <c r="E85" s="373"/>
      <c r="F85" s="42"/>
      <c r="G85" s="42"/>
      <c r="H85" s="990"/>
      <c r="I85" s="309"/>
      <c r="J85" s="1911"/>
      <c r="K85" s="3459"/>
      <c r="L85" s="3288" t="s">
        <v>2852</v>
      </c>
      <c r="M85" s="2759">
        <f ca="1">IF(N69&gt;1000,N69*0.1%,IF(AND(N69&gt;500,N69&lt;=1000),N69*0.5%,IF(AND(N69&gt;50,N69&lt;=500),N69*1%,IF(AND(N69&gt;1,N69&lt;=50),N69*1.5%))))</f>
        <v>32.197000000000003</v>
      </c>
      <c r="N85" s="53">
        <f t="shared" ca="1" si="2"/>
        <v>32.200000000000003</v>
      </c>
      <c r="O85" s="1911" t="s">
        <v>2851</v>
      </c>
      <c r="P85" s="1911"/>
      <c r="Q85" s="1911"/>
      <c r="R85" s="1911"/>
      <c r="S85" s="1911"/>
      <c r="T85" s="1911"/>
      <c r="U85" s="1911"/>
      <c r="V85" s="1911"/>
    </row>
    <row r="86" spans="1:26" ht="13.5" thickBot="1">
      <c r="A86" s="380" t="s">
        <v>1818</v>
      </c>
      <c r="B86" s="381" t="s">
        <v>431</v>
      </c>
      <c r="C86" s="382">
        <f ca="1">IF(C85&lt;=0,0,ROUND(C85*D86,0))</f>
        <v>1687</v>
      </c>
      <c r="D86" s="383">
        <f>'数据-取费表'!B41</f>
        <v>5.5000000000000007E-2</v>
      </c>
      <c r="E86" s="384"/>
      <c r="F86" s="42"/>
      <c r="G86" s="42"/>
      <c r="H86" s="990"/>
      <c r="I86" s="309"/>
      <c r="J86" s="1911"/>
      <c r="K86" s="3459"/>
      <c r="L86" s="3288" t="s">
        <v>2853</v>
      </c>
      <c r="M86" s="2759">
        <f ca="1">N69*0.5%</f>
        <v>160.98500000000001</v>
      </c>
      <c r="N86" s="53">
        <f ca="1">IF(M86&gt;0.5,0.5,ROUND(M86,0))</f>
        <v>0.5</v>
      </c>
      <c r="O86" s="1911" t="s">
        <v>2854</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59"/>
      <c r="L87" s="3288" t="s">
        <v>2855</v>
      </c>
      <c r="M87" s="2759">
        <f ca="1">IF(N69&gt;=10000,(8.25+(N69-10000)*0.01%),IF(AND(N69&gt;=8000,N69&lt;10000),(7.85+(N69-8000)*0.02%),IF(AND(N69&gt;=5000,N69&lt;8000),(6.65+(N69-5000)*0.04%),IF(AND(N69&gt;=2000,N69&lt;5000),(4.25+(PN69-2000)*0.08%),IF(AND(N69&gt;=1000,N69&lt;2000),(2.75+(N69-1000)*0.15%),IF(AND(N69&gt;=100,N69&lt;1000),(0.5+(N69-100)*0.25%),IF(AND(N69&gt;0,N69&lt;100),N69*0.5%)))))))</f>
        <v>10.4697</v>
      </c>
      <c r="N87" s="53">
        <f ca="1">ROUND(M87*0.9,1)</f>
        <v>9.4</v>
      </c>
      <c r="O87" s="2762"/>
      <c r="P87" s="1911"/>
      <c r="Q87" s="1911"/>
      <c r="R87" s="1911"/>
      <c r="S87" s="1911"/>
      <c r="T87" s="1911"/>
      <c r="U87" s="1911"/>
      <c r="V87" s="1911"/>
      <c r="W87" s="290"/>
      <c r="X87" s="290"/>
      <c r="Y87" s="290"/>
      <c r="Z87" s="290"/>
    </row>
    <row r="88" spans="1:26" s="1267" customFormat="1" ht="15" thickBot="1">
      <c r="A88" s="3498" t="s">
        <v>432</v>
      </c>
      <c r="B88" s="3499"/>
      <c r="C88" s="3499"/>
      <c r="D88" s="3499"/>
      <c r="E88" s="3499"/>
      <c r="F88" s="3499"/>
      <c r="G88" s="3499"/>
      <c r="H88" s="3499"/>
      <c r="I88" s="1268"/>
      <c r="J88" s="1919"/>
      <c r="K88" s="3459"/>
      <c r="L88" s="3288" t="s">
        <v>2856</v>
      </c>
      <c r="M88" s="2759">
        <f ca="1">IF(N69&gt;10000,N69*0.5%,IF(AND(N69&gt;5000,N69&lt;=10000),N69*1%,IF(AND(N69&gt;1000,N69&lt;=5000),N69*2%,IF(AND(N69&gt;200,N69&lt;=1000),N69*3%,N69*5%))))</f>
        <v>160.98500000000001</v>
      </c>
      <c r="N88" s="53">
        <f ca="1">ROUND(M88,1)</f>
        <v>161</v>
      </c>
      <c r="O88" s="2762"/>
      <c r="P88" s="1916"/>
      <c r="Q88" s="1916"/>
      <c r="R88" s="1916"/>
      <c r="S88" s="1916"/>
      <c r="T88" s="1916"/>
      <c r="U88" s="1916"/>
      <c r="V88" s="1916"/>
      <c r="W88" s="1920"/>
      <c r="X88" s="1920"/>
      <c r="Y88" s="1920"/>
      <c r="Z88" s="1920"/>
    </row>
    <row r="89" spans="1:26" s="1267" customFormat="1" ht="14.25">
      <c r="A89" s="3457" t="s">
        <v>423</v>
      </c>
      <c r="B89" s="3458"/>
      <c r="C89" s="3281"/>
      <c r="D89" s="3281" t="s">
        <v>424</v>
      </c>
      <c r="E89" s="385" t="s">
        <v>433</v>
      </c>
      <c r="F89" s="386"/>
      <c r="G89" s="386"/>
      <c r="H89" s="387"/>
      <c r="I89" s="1269"/>
      <c r="J89" s="1921"/>
      <c r="K89" s="3459"/>
      <c r="L89" s="3288" t="s">
        <v>27</v>
      </c>
      <c r="M89" s="2760"/>
      <c r="N89" s="53">
        <f ca="1">ROUND(SUM(N83:N88),0)</f>
        <v>525</v>
      </c>
      <c r="O89" s="2770">
        <f ca="1">N89/N69</f>
        <v>1.6305867006242817E-2</v>
      </c>
      <c r="P89" s="1916"/>
      <c r="Q89" s="1916"/>
      <c r="R89" s="1916"/>
      <c r="S89" s="1916"/>
      <c r="T89" s="1916"/>
      <c r="U89" s="1916"/>
      <c r="V89" s="1916"/>
      <c r="W89" s="1920"/>
      <c r="X89" s="1920"/>
      <c r="Y89" s="1920"/>
      <c r="Z89" s="1920"/>
    </row>
    <row r="90" spans="1:26" s="1267" customFormat="1" ht="14.25">
      <c r="A90" s="375" t="s">
        <v>1813</v>
      </c>
      <c r="B90" s="376" t="s">
        <v>434</v>
      </c>
      <c r="C90" s="379">
        <f ca="1">ROUND(D63/(1+'数据-取费表'!C42),0)</f>
        <v>30664</v>
      </c>
      <c r="D90" s="372" t="s">
        <v>19</v>
      </c>
      <c r="E90" s="3279"/>
      <c r="F90" s="3278"/>
      <c r="G90" s="3278"/>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1816</v>
      </c>
      <c r="B91" s="346" t="s">
        <v>435</v>
      </c>
      <c r="C91" s="379">
        <f ca="1">C92+C96</f>
        <v>153</v>
      </c>
      <c r="D91" s="372" t="s">
        <v>19</v>
      </c>
      <c r="E91" s="3279"/>
      <c r="F91" s="3278"/>
      <c r="G91" s="3278"/>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1814</v>
      </c>
      <c r="B92" s="370" t="s">
        <v>436</v>
      </c>
      <c r="C92" s="372">
        <f>ROUND(IF(G95="2016年5月1日后购买",C93/(1+'数据-取费表'!C30)+C94+C95,C93+C94+C95),0)</f>
        <v>0</v>
      </c>
      <c r="D92" s="372" t="s">
        <v>19</v>
      </c>
      <c r="E92" s="3279"/>
      <c r="F92" s="3278"/>
      <c r="G92" s="3278"/>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95" t="s">
        <v>441</v>
      </c>
      <c r="F94" s="3496"/>
      <c r="G94" s="3496"/>
      <c r="H94" s="3497"/>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3285"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1815</v>
      </c>
      <c r="B96" s="370" t="s">
        <v>444</v>
      </c>
      <c r="C96" s="399">
        <f ca="1">ROUND(D63*D96/(1+'数据-取费表'!C42),0)</f>
        <v>153</v>
      </c>
      <c r="D96" s="400">
        <f>'数据-取费表'!B43</f>
        <v>5.000000000000001E-3</v>
      </c>
      <c r="E96" s="3454" t="s">
        <v>2412</v>
      </c>
      <c r="F96" s="3455"/>
      <c r="G96" s="3455"/>
      <c r="H96" s="3456"/>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1817</v>
      </c>
      <c r="B97" s="376" t="s">
        <v>445</v>
      </c>
      <c r="C97" s="379">
        <f ca="1">C90-C91</f>
        <v>30511</v>
      </c>
      <c r="D97" s="372" t="s">
        <v>19</v>
      </c>
      <c r="E97" s="3279"/>
      <c r="F97" s="3278"/>
      <c r="G97" s="3278"/>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1818</v>
      </c>
      <c r="B98" s="376" t="s">
        <v>446</v>
      </c>
      <c r="C98" s="401">
        <f ca="1">IF(C97&lt;=0,0,C97/C91)</f>
        <v>199.41830065359477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3278"/>
      <c r="G98" s="3278"/>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 ca="1">ROUND(IF(C97&lt;=0,0,IF(C98&gt;=200%,C97*60%-C91*35%,IF(C98&gt;=100%,C97*50%-C91*15%,IF(C98&gt;=50%,C97*40%-C91*5%,IF(C98&lt;50%,C97*30%,0))))),0)</f>
        <v>18253</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98" t="s">
        <v>448</v>
      </c>
      <c r="B101" s="3499"/>
      <c r="C101" s="3499"/>
      <c r="D101" s="3499"/>
      <c r="E101" s="3499"/>
      <c r="F101" s="3499"/>
      <c r="G101" s="3499"/>
      <c r="H101" s="3499"/>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57" t="s">
        <v>423</v>
      </c>
      <c r="B102" s="3458"/>
      <c r="C102" s="3281"/>
      <c r="D102" s="32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 ca="1">ROUND(D63/(1+'数据-取费表'!C42),0)</f>
        <v>30664</v>
      </c>
      <c r="D103" s="372" t="s">
        <v>19</v>
      </c>
      <c r="E103" s="3279"/>
      <c r="F103" s="3278"/>
      <c r="G103" s="32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1816</v>
      </c>
      <c r="B104" s="346" t="s">
        <v>435</v>
      </c>
      <c r="C104" s="379">
        <f ca="1">IF(H106="仅含出让金",C105+C108+C109+C110+C111+C112,C105+C109+C110+C111+C112)</f>
        <v>20990.639999999999</v>
      </c>
      <c r="D104" s="409"/>
      <c r="E104" s="3279"/>
      <c r="F104" s="3278"/>
      <c r="G104" s="32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1814</v>
      </c>
      <c r="B105" s="370" t="s">
        <v>449</v>
      </c>
      <c r="C105" s="399">
        <f>C106+C107</f>
        <v>18943.64</v>
      </c>
      <c r="D105" s="400"/>
      <c r="E105" s="3284"/>
      <c r="F105" s="3282"/>
      <c r="G105" s="3282"/>
      <c r="H105" s="3283"/>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v>18206.64</v>
      </c>
      <c r="D106" s="400"/>
      <c r="E106" s="411" t="s">
        <v>451</v>
      </c>
      <c r="F106" s="3282"/>
      <c r="G106" s="412" t="s">
        <v>452</v>
      </c>
      <c r="H106" s="413" t="s">
        <v>3169</v>
      </c>
      <c r="I106" s="11"/>
      <c r="J106" s="1916"/>
      <c r="K106" s="3244"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737</v>
      </c>
      <c r="D107" s="400">
        <f>'数据-取费表'!B48+'数据-取费表'!B49</f>
        <v>4.0500000000000001E-2</v>
      </c>
      <c r="E107" s="411" t="s">
        <v>453</v>
      </c>
      <c r="F107" s="3282"/>
      <c r="G107" s="3282"/>
      <c r="H107" s="3283"/>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1815</v>
      </c>
      <c r="B108" s="370" t="s">
        <v>454</v>
      </c>
      <c r="C108" s="410"/>
      <c r="D108" s="400"/>
      <c r="E108" s="411" t="str">
        <f>IF(H106="-","土地取得成本中已包含该笔费用"," ")</f>
        <v xml:space="preserve"> </v>
      </c>
      <c r="F108" s="3282"/>
      <c r="G108" s="3510" t="s">
        <v>2956</v>
      </c>
      <c r="H108" s="3511"/>
      <c r="I108" s="2859"/>
      <c r="J108" s="1916"/>
      <c r="K108" s="3244"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88" t="s">
        <v>456</v>
      </c>
      <c r="F109" s="3455"/>
      <c r="G109" s="3455"/>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1894</v>
      </c>
      <c r="D110" s="3275">
        <v>0.1</v>
      </c>
      <c r="E110" s="3488" t="s">
        <v>458</v>
      </c>
      <c r="F110" s="3455"/>
      <c r="G110" s="3455"/>
      <c r="H110" s="3456"/>
      <c r="I110" s="11"/>
      <c r="J110" s="1916"/>
      <c r="K110" s="3245"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 ca="1">ROUND(D63*D111/(1+'数据-取费表'!C42),0)</f>
        <v>153</v>
      </c>
      <c r="D111" s="400">
        <f>'数据-取费表'!B43</f>
        <v>5.000000000000001E-3</v>
      </c>
      <c r="E111" s="3454" t="s">
        <v>2412</v>
      </c>
      <c r="F111" s="3455"/>
      <c r="G111" s="3455"/>
      <c r="H111" s="3456"/>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88" t="s">
        <v>2435</v>
      </c>
      <c r="F112" s="3455"/>
      <c r="G112" s="3455"/>
      <c r="H112" s="3456"/>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1817</v>
      </c>
      <c r="B113" s="376" t="s">
        <v>445</v>
      </c>
      <c r="C113" s="379">
        <f ca="1">ROUND(C103-C104,0)</f>
        <v>9673</v>
      </c>
      <c r="D113" s="372" t="s">
        <v>19</v>
      </c>
      <c r="E113" s="3279"/>
      <c r="F113" s="3278"/>
      <c r="G113" s="32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1818</v>
      </c>
      <c r="B114" s="376" t="s">
        <v>446</v>
      </c>
      <c r="C114" s="401">
        <f ca="1">IF(C113&lt;=0,0,C113/C104)</f>
        <v>0.46082444365679182</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3278"/>
      <c r="G114" s="32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 ca="1">ROUND(IF(C113&lt;=0,0,IF(C114&gt;=200%,C113*60%-C104*35%,IF(C114&gt;=100%,C113*50%-C104*15%,IF(C114&gt;=50%,C113*40%-C104*5%,IF(C114&lt;50%,C113*30%,0))))),0)</f>
        <v>2902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4">
    <mergeCell ref="E112:H112"/>
    <mergeCell ref="A101:H101"/>
    <mergeCell ref="A102:B102"/>
    <mergeCell ref="G108:H108"/>
    <mergeCell ref="E109:G109"/>
    <mergeCell ref="E110:H110"/>
    <mergeCell ref="E111:H111"/>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A74:C74"/>
    <mergeCell ref="L74:M74"/>
    <mergeCell ref="B75:C75"/>
    <mergeCell ref="L75:M75"/>
    <mergeCell ref="B76:C76"/>
    <mergeCell ref="L76:M76"/>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64:G64"/>
    <mergeCell ref="N35:N37"/>
    <mergeCell ref="O35:O37"/>
    <mergeCell ref="K39:N39"/>
    <mergeCell ref="K40:N40"/>
    <mergeCell ref="K41:N41"/>
    <mergeCell ref="A42:B42"/>
    <mergeCell ref="L35:L37"/>
    <mergeCell ref="A43:B43"/>
    <mergeCell ref="A44:B44"/>
    <mergeCell ref="A45:B45"/>
    <mergeCell ref="A46:B46"/>
    <mergeCell ref="A63:C63"/>
    <mergeCell ref="E18:I18"/>
    <mergeCell ref="A24:A25"/>
    <mergeCell ref="A31:I31"/>
    <mergeCell ref="E33:E35"/>
    <mergeCell ref="K35:K37"/>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8" type="noConversion"/>
  <conditionalFormatting sqref="C5:C7">
    <cfRule type="cellIs" dxfId="188" priority="10" stopIfTrue="1" operator="equal">
      <formula>25</formula>
    </cfRule>
  </conditionalFormatting>
  <conditionalFormatting sqref="C8:C9">
    <cfRule type="cellIs" dxfId="187" priority="9" stopIfTrue="1" operator="equal">
      <formula>15</formula>
    </cfRule>
  </conditionalFormatting>
  <conditionalFormatting sqref="C14:C16">
    <cfRule type="cellIs" dxfId="186" priority="8" stopIfTrue="1" operator="equal">
      <formula>30</formula>
    </cfRule>
  </conditionalFormatting>
  <conditionalFormatting sqref="D5:D7">
    <cfRule type="cellIs" dxfId="185" priority="7" stopIfTrue="1" operator="equal">
      <formula>25</formula>
    </cfRule>
  </conditionalFormatting>
  <conditionalFormatting sqref="D8:D9">
    <cfRule type="cellIs" dxfId="184" priority="6" stopIfTrue="1" operator="equal">
      <formula>15</formula>
    </cfRule>
  </conditionalFormatting>
  <conditionalFormatting sqref="C10:D13">
    <cfRule type="cellIs" dxfId="183" priority="5" stopIfTrue="1" operator="equal">
      <formula>15</formula>
    </cfRule>
  </conditionalFormatting>
  <conditionalFormatting sqref="D14:D16">
    <cfRule type="cellIs" dxfId="182" priority="4" stopIfTrue="1" operator="equal">
      <formula>30</formula>
    </cfRule>
  </conditionalFormatting>
  <conditionalFormatting sqref="C108">
    <cfRule type="expression" dxfId="181" priority="3" stopIfTrue="1">
      <formula>$H$106&lt;&gt;"仅含出让金"</formula>
    </cfRule>
  </conditionalFormatting>
  <conditionalFormatting sqref="C109">
    <cfRule type="expression" dxfId="180" priority="2" stopIfTrue="1">
      <formula>$H$109="由企业提供"</formula>
    </cfRule>
  </conditionalFormatting>
  <conditionalFormatting sqref="I33">
    <cfRule type="expression" dxfId="17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1891</v>
      </c>
      <c r="B36" s="1582" t="s">
        <v>1892</v>
      </c>
    </row>
    <row r="37" spans="1:9" ht="28.5" customHeight="1">
      <c r="A37" s="1582"/>
      <c r="B37" s="3354" t="str">
        <f>项目基本情况!B1</f>
        <v>出让国有建设用地使用权抵押价格预评估</v>
      </c>
      <c r="C37" s="3354"/>
      <c r="D37" s="3354"/>
      <c r="E37" s="3354"/>
      <c r="F37" s="3354"/>
      <c r="G37" s="3354"/>
      <c r="H37" s="3354"/>
      <c r="I37" s="3354"/>
    </row>
    <row r="38" spans="1:9">
      <c r="A38" s="1584"/>
      <c r="B38" s="1584"/>
    </row>
    <row r="39" spans="1:9">
      <c r="A39" s="1582" t="s">
        <v>1891</v>
      </c>
      <c r="B39" s="1582" t="s">
        <v>2034</v>
      </c>
    </row>
    <row r="40" spans="1:9">
      <c r="A40" s="1582"/>
      <c r="B40" s="1582">
        <f>项目基本情况!B5</f>
        <v>0</v>
      </c>
    </row>
    <row r="41" spans="1:9">
      <c r="A41" s="1582"/>
      <c r="B41" s="1582"/>
    </row>
    <row r="42" spans="1:9">
      <c r="A42" s="1582" t="s">
        <v>1891</v>
      </c>
      <c r="B42" s="1582" t="s">
        <v>2035</v>
      </c>
    </row>
    <row r="43" spans="1:9">
      <c r="A43" s="1582"/>
      <c r="B43" s="1582" t="s">
        <v>1893</v>
      </c>
    </row>
    <row r="44" spans="1:9">
      <c r="A44" s="1582"/>
      <c r="B44" s="1582"/>
    </row>
    <row r="45" spans="1:9">
      <c r="A45" s="1582" t="s">
        <v>1891</v>
      </c>
      <c r="B45" s="1582" t="s">
        <v>2033</v>
      </c>
    </row>
    <row r="46" spans="1:9" s="1582" customFormat="1" ht="12.75">
      <c r="B46" s="1582" t="str">
        <f>项目基本情况!K4</f>
        <v>土地估价师、土地估价师</v>
      </c>
    </row>
    <row r="47" spans="1:9">
      <c r="A47" s="1582"/>
      <c r="B47" s="1582"/>
    </row>
    <row r="48" spans="1:9">
      <c r="A48" s="1582" t="s">
        <v>1891</v>
      </c>
      <c r="B48" s="1582" t="s">
        <v>2036</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79" zoomScale="70" zoomScaleNormal="100" zoomScaleSheetLayoutView="70" zoomScalePageLayoutView="80" workbookViewId="0">
      <selection activeCell="A102" sqref="A102:H115"/>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89" t="str">
        <f>项目基本情况!K2</f>
        <v>出让国有建设用地使用权</v>
      </c>
      <c r="B2" s="3490"/>
      <c r="C2" s="3491"/>
      <c r="D2" s="3491"/>
      <c r="E2" s="3491"/>
      <c r="F2" s="3491"/>
      <c r="G2" s="3490"/>
      <c r="H2" s="3490"/>
      <c r="I2" s="3492"/>
      <c r="J2" s="1912"/>
      <c r="K2" s="1911"/>
      <c r="L2" s="1911"/>
      <c r="M2" s="1911"/>
      <c r="N2" s="1911"/>
      <c r="O2" s="1911"/>
      <c r="P2" s="1911"/>
      <c r="Q2" s="1911"/>
      <c r="R2" s="1911"/>
      <c r="S2" s="1911"/>
      <c r="T2" s="1911"/>
      <c r="U2" s="1911"/>
      <c r="V2" s="1911"/>
    </row>
    <row r="3" spans="1:22" ht="14.25">
      <c r="A3" s="3500" t="s">
        <v>298</v>
      </c>
      <c r="B3" s="3501"/>
      <c r="C3" s="3501"/>
      <c r="D3" s="3501"/>
      <c r="E3" s="3501"/>
      <c r="F3" s="3501"/>
      <c r="G3" s="3501"/>
      <c r="H3" s="3501"/>
      <c r="I3" s="3501"/>
      <c r="J3" s="1912"/>
      <c r="K3" s="1911"/>
      <c r="L3" s="1911"/>
      <c r="M3" s="1911"/>
      <c r="N3" s="1911"/>
      <c r="O3" s="1911"/>
      <c r="P3" s="1911"/>
      <c r="Q3" s="1911"/>
      <c r="R3" s="1911"/>
      <c r="S3" s="1911"/>
      <c r="T3" s="1911"/>
      <c r="U3" s="1911"/>
      <c r="V3" s="1911"/>
    </row>
    <row r="4" spans="1:22" ht="14.25">
      <c r="A4" s="256" t="s">
        <v>299</v>
      </c>
      <c r="B4" s="257" t="s">
        <v>300</v>
      </c>
      <c r="C4" s="258"/>
      <c r="D4" s="258"/>
      <c r="E4" s="3464" t="s">
        <v>301</v>
      </c>
      <c r="F4" s="3506"/>
      <c r="G4" s="3506"/>
      <c r="H4" s="3506"/>
      <c r="I4" s="3465"/>
      <c r="J4" s="1912"/>
      <c r="K4" s="1911"/>
      <c r="L4" s="3196"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93" t="s">
        <v>302</v>
      </c>
      <c r="B5" s="3494">
        <v>25</v>
      </c>
      <c r="C5" s="3502"/>
      <c r="D5" s="3505"/>
      <c r="E5" s="259" t="s">
        <v>303</v>
      </c>
      <c r="F5" s="260"/>
      <c r="G5" s="260"/>
      <c r="H5" s="260"/>
      <c r="I5" s="261"/>
      <c r="J5" s="1912"/>
      <c r="K5" s="1911"/>
      <c r="L5" s="1911"/>
      <c r="M5" s="1911"/>
      <c r="N5" s="1911"/>
      <c r="O5" s="1911"/>
      <c r="P5" s="1911"/>
      <c r="Q5" s="1911"/>
      <c r="R5" s="1911"/>
      <c r="S5" s="1911"/>
      <c r="T5" s="1911"/>
      <c r="U5" s="1911"/>
      <c r="V5" s="1911"/>
    </row>
    <row r="6" spans="1:22" ht="14.25">
      <c r="A6" s="3493"/>
      <c r="B6" s="3494"/>
      <c r="C6" s="3503"/>
      <c r="D6" s="3505"/>
      <c r="E6" s="259" t="s">
        <v>304</v>
      </c>
      <c r="F6" s="260"/>
      <c r="G6" s="260"/>
      <c r="H6" s="260"/>
      <c r="I6" s="261"/>
      <c r="J6" s="1912"/>
      <c r="K6" s="1911"/>
      <c r="L6" s="1911"/>
      <c r="M6" s="1911"/>
      <c r="N6" s="1911"/>
      <c r="O6" s="1911"/>
      <c r="P6" s="1911"/>
      <c r="Q6" s="1911"/>
      <c r="R6" s="1911"/>
      <c r="S6" s="1911"/>
      <c r="T6" s="1911"/>
      <c r="U6" s="1911"/>
      <c r="V6" s="1911"/>
    </row>
    <row r="7" spans="1:22" ht="14.25">
      <c r="A7" s="3493"/>
      <c r="B7" s="3494"/>
      <c r="C7" s="3504"/>
      <c r="D7" s="3505"/>
      <c r="E7" s="259" t="s">
        <v>305</v>
      </c>
      <c r="F7" s="260"/>
      <c r="G7" s="260"/>
      <c r="H7" s="260"/>
      <c r="I7" s="261"/>
      <c r="J7" s="1912"/>
      <c r="K7" s="1911"/>
      <c r="L7" s="1911"/>
      <c r="M7" s="1911"/>
      <c r="N7" s="1911"/>
      <c r="O7" s="1911"/>
      <c r="P7" s="1911"/>
      <c r="Q7" s="1911"/>
      <c r="R7" s="1911"/>
      <c r="S7" s="1911"/>
      <c r="T7" s="1911"/>
      <c r="U7" s="1911"/>
      <c r="V7" s="1911"/>
    </row>
    <row r="8" spans="1:22" ht="14.25">
      <c r="A8" s="3493" t="s">
        <v>306</v>
      </c>
      <c r="B8" s="3494">
        <v>15</v>
      </c>
      <c r="C8" s="3502"/>
      <c r="D8" s="3505"/>
      <c r="E8" s="259" t="s">
        <v>307</v>
      </c>
      <c r="F8" s="260"/>
      <c r="G8" s="260"/>
      <c r="H8" s="260"/>
      <c r="I8" s="261"/>
      <c r="J8" s="1912"/>
      <c r="K8" s="1911"/>
      <c r="L8" s="1911"/>
      <c r="M8" s="1911"/>
      <c r="N8" s="1911"/>
      <c r="O8" s="1911"/>
      <c r="P8" s="1911"/>
      <c r="Q8" s="1911"/>
      <c r="R8" s="1911"/>
      <c r="S8" s="1911"/>
      <c r="T8" s="1911"/>
      <c r="U8" s="1911"/>
      <c r="V8" s="1911"/>
    </row>
    <row r="9" spans="1:22" ht="14.25">
      <c r="A9" s="3493"/>
      <c r="B9" s="3494"/>
      <c r="C9" s="3504"/>
      <c r="D9" s="3505"/>
      <c r="E9" s="259" t="s">
        <v>308</v>
      </c>
      <c r="F9" s="260"/>
      <c r="G9" s="260"/>
      <c r="H9" s="260"/>
      <c r="I9" s="261"/>
      <c r="J9" s="1912"/>
      <c r="K9" s="1911"/>
      <c r="L9" s="1911"/>
      <c r="M9" s="1911"/>
      <c r="N9" s="1911"/>
      <c r="O9" s="1911"/>
      <c r="P9" s="1911"/>
      <c r="Q9" s="1911"/>
      <c r="R9" s="1911"/>
      <c r="S9" s="1911"/>
      <c r="T9" s="1911"/>
      <c r="U9" s="1911"/>
      <c r="V9" s="1911"/>
    </row>
    <row r="10" spans="1:22" ht="14.25">
      <c r="A10" s="3493" t="s">
        <v>309</v>
      </c>
      <c r="B10" s="3494">
        <v>15</v>
      </c>
      <c r="C10" s="3502"/>
      <c r="D10" s="3505"/>
      <c r="E10" s="259" t="s">
        <v>310</v>
      </c>
      <c r="F10" s="260"/>
      <c r="G10" s="260"/>
      <c r="H10" s="260"/>
      <c r="I10" s="261"/>
      <c r="J10" s="1912"/>
      <c r="K10" s="1911"/>
      <c r="L10" s="1911"/>
      <c r="M10" s="1911"/>
      <c r="N10" s="1911"/>
      <c r="O10" s="1911"/>
      <c r="P10" s="1911"/>
      <c r="Q10" s="1911"/>
      <c r="R10" s="1911"/>
      <c r="S10" s="1911"/>
      <c r="T10" s="1911"/>
      <c r="U10" s="1911"/>
      <c r="V10" s="1911"/>
    </row>
    <row r="11" spans="1:22" ht="14.25">
      <c r="A11" s="3493"/>
      <c r="B11" s="3494"/>
      <c r="C11" s="3504"/>
      <c r="D11" s="3505"/>
      <c r="E11" s="259" t="s">
        <v>311</v>
      </c>
      <c r="F11" s="260"/>
      <c r="G11" s="260"/>
      <c r="H11" s="260"/>
      <c r="I11" s="261"/>
      <c r="J11" s="1912"/>
      <c r="K11" s="1911"/>
      <c r="L11" s="1911"/>
      <c r="M11" s="1911"/>
      <c r="N11" s="1911"/>
      <c r="O11" s="1911"/>
      <c r="P11" s="1911"/>
      <c r="Q11" s="1911"/>
      <c r="R11" s="1911"/>
      <c r="S11" s="1911"/>
      <c r="T11" s="1911"/>
      <c r="U11" s="1911"/>
      <c r="V11" s="1911"/>
    </row>
    <row r="12" spans="1:22" ht="14.25">
      <c r="A12" s="3493" t="s">
        <v>312</v>
      </c>
      <c r="B12" s="3494">
        <v>15</v>
      </c>
      <c r="C12" s="3502"/>
      <c r="D12" s="3505"/>
      <c r="E12" s="259" t="s">
        <v>313</v>
      </c>
      <c r="F12" s="260"/>
      <c r="G12" s="260"/>
      <c r="H12" s="260"/>
      <c r="I12" s="261"/>
      <c r="J12" s="1912"/>
      <c r="K12" s="1911"/>
      <c r="L12" s="1911"/>
      <c r="M12" s="1911"/>
      <c r="N12" s="1911"/>
      <c r="O12" s="1911"/>
      <c r="P12" s="1911"/>
      <c r="Q12" s="1911"/>
      <c r="R12" s="1911"/>
      <c r="S12" s="1911"/>
      <c r="T12" s="1911"/>
      <c r="U12" s="1911"/>
      <c r="V12" s="1911"/>
    </row>
    <row r="13" spans="1:22" ht="14.25">
      <c r="A13" s="3493"/>
      <c r="B13" s="3494"/>
      <c r="C13" s="3504"/>
      <c r="D13" s="3505"/>
      <c r="E13" s="259" t="s">
        <v>314</v>
      </c>
      <c r="F13" s="260"/>
      <c r="G13" s="260"/>
      <c r="H13" s="260"/>
      <c r="I13" s="261"/>
      <c r="J13" s="1912"/>
      <c r="K13" s="1911"/>
      <c r="L13" s="1911"/>
      <c r="M13" s="1911"/>
      <c r="N13" s="1911"/>
      <c r="O13" s="1911"/>
      <c r="P13" s="1911"/>
      <c r="Q13" s="1911"/>
      <c r="R13" s="1911"/>
      <c r="S13" s="1911"/>
      <c r="T13" s="1911"/>
      <c r="U13" s="1911"/>
      <c r="V13" s="1911"/>
    </row>
    <row r="14" spans="1:22" ht="14.25">
      <c r="A14" s="3493" t="s">
        <v>315</v>
      </c>
      <c r="B14" s="3494">
        <v>30</v>
      </c>
      <c r="C14" s="3502"/>
      <c r="D14" s="3505"/>
      <c r="E14" s="259" t="s">
        <v>316</v>
      </c>
      <c r="F14" s="260"/>
      <c r="G14" s="260"/>
      <c r="H14" s="260"/>
      <c r="I14" s="261"/>
      <c r="J14" s="1912"/>
      <c r="K14" s="1911"/>
      <c r="L14" s="1911"/>
      <c r="M14" s="1911"/>
      <c r="N14" s="1911"/>
      <c r="O14" s="1911"/>
      <c r="P14" s="1911"/>
      <c r="Q14" s="1911"/>
      <c r="R14" s="1911"/>
      <c r="S14" s="1911"/>
      <c r="T14" s="1911"/>
      <c r="U14" s="1911"/>
      <c r="V14" s="1911"/>
    </row>
    <row r="15" spans="1:22" ht="14.25">
      <c r="A15" s="3493"/>
      <c r="B15" s="3494"/>
      <c r="C15" s="3503"/>
      <c r="D15" s="3505"/>
      <c r="E15" s="259" t="s">
        <v>317</v>
      </c>
      <c r="F15" s="260"/>
      <c r="G15" s="260"/>
      <c r="H15" s="260"/>
      <c r="I15" s="261"/>
      <c r="J15" s="1912"/>
      <c r="K15" s="1911"/>
      <c r="L15" s="1911"/>
      <c r="M15" s="1911"/>
      <c r="N15" s="1911"/>
      <c r="O15" s="1911"/>
      <c r="P15" s="1911"/>
      <c r="Q15" s="1911"/>
      <c r="R15" s="1911"/>
      <c r="S15" s="1911"/>
      <c r="T15" s="1911"/>
      <c r="U15" s="1911"/>
      <c r="V15" s="1911"/>
    </row>
    <row r="16" spans="1:22" ht="14.25">
      <c r="A16" s="3493"/>
      <c r="B16" s="3494"/>
      <c r="C16" s="3504"/>
      <c r="D16" s="3505"/>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0</v>
      </c>
      <c r="D17" s="263">
        <f>SUM(D5:D16)</f>
        <v>0</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t="e">
        <f>ROUND(C17/SUM(C17:D17),2)</f>
        <v>#DIV/0!</v>
      </c>
      <c r="D18" s="265" t="e">
        <f>1-C18</f>
        <v>#DIV/0!</v>
      </c>
      <c r="E18" s="3507" t="s">
        <v>2958</v>
      </c>
      <c r="F18" s="3508"/>
      <c r="G18" s="3508"/>
      <c r="H18" s="3508"/>
      <c r="I18" s="3508"/>
      <c r="J18" s="1911"/>
      <c r="K18" s="1911"/>
      <c r="L18" s="1911"/>
      <c r="M18" s="1911"/>
      <c r="N18" s="1911"/>
      <c r="O18" s="1911"/>
      <c r="P18" s="1911"/>
      <c r="Q18" s="1911"/>
      <c r="R18" s="1911"/>
      <c r="S18" s="1911"/>
      <c r="T18" s="1911"/>
      <c r="U18" s="1911"/>
      <c r="V18" s="1911"/>
    </row>
    <row r="19" spans="1:26" ht="15">
      <c r="A19" s="266" t="s">
        <v>321</v>
      </c>
      <c r="B19" s="267" t="s">
        <v>322</v>
      </c>
      <c r="C19" s="268" t="e">
        <f ca="1">SUMIF(INDIRECT("'"&amp;C4&amp;"'"&amp;"!A:A"),'结果表-27净值'!B19,INDIRECT("'"&amp;C4&amp;"'"&amp;"!B:B"))</f>
        <v>#REF!</v>
      </c>
      <c r="D19" s="269" t="e">
        <f ca="1">SUMIF(INDIRECT("'"&amp;D4&amp;"'"&amp;"!A:A"),'结果表-27净值'!B19,INDIRECT("'"&amp;D4&amp;"'"&amp;"!B:B"))</f>
        <v>#REF!</v>
      </c>
      <c r="E19" s="266" t="s">
        <v>323</v>
      </c>
      <c r="F19" s="267" t="s">
        <v>322</v>
      </c>
      <c r="G19" s="270" t="e">
        <f ca="1">ROUND(C19*$C$18+D19*$D$18,0)</f>
        <v>#REF!</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t="e">
        <f ca="1">SUMIF(INDIRECT("'"&amp;C4&amp;"'"&amp;"!A:A"),'结果表-27净值'!B20,INDIRECT("'"&amp;C4&amp;"'"&amp;"!B:B"))</f>
        <v>#REF!</v>
      </c>
      <c r="D20" s="275" t="e">
        <f ca="1">SUMIF(INDIRECT("'"&amp;D4&amp;"'"&amp;"!A:A"),'结果表-27净值'!B20,INDIRECT("'"&amp;D4&amp;"'"&amp;"!B:B"))</f>
        <v>#REF!</v>
      </c>
      <c r="E20" s="272"/>
      <c r="F20" s="273" t="s">
        <v>325</v>
      </c>
      <c r="G20" s="276" t="e">
        <f ca="1">ROUND(C20*$C$18+D20*$D$18,0)</f>
        <v>#REF!</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SUMIF(INDIRECT("'"&amp;C4&amp;"'"&amp;"!A:A"),'结果表-27净值'!B21,INDIRECT("'"&amp;C4&amp;"'"&amp;"!B:B"))</f>
        <v>#REF!</v>
      </c>
      <c r="D21" s="149" t="e">
        <f ca="1">SUMIF(INDIRECT("'"&amp;D4&amp;"'"&amp;"!A:A"),'结果表-27净值'!B21,INDIRECT("'"&amp;D4&amp;"'"&amp;"!B:B"))</f>
        <v>#REF!</v>
      </c>
      <c r="E21" s="272"/>
      <c r="F21" s="278" t="s">
        <v>327</v>
      </c>
      <c r="G21" s="280" t="e">
        <f ca="1">ROUND(C21*$C$18+D21*$D$18,0)</f>
        <v>#REF!</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t="e">
        <f ca="1">IF(C19&lt;D19,D19/C19-1,C19/D19-1)</f>
        <v>#REF!</v>
      </c>
      <c r="E22" s="282"/>
      <c r="F22" s="283"/>
      <c r="G22" s="284" t="e">
        <f ca="1">ROUND(G19/('数据-汇总表'!D3/666.67),0)</f>
        <v>#REF!</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66"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513"/>
      <c r="B25" s="1274" t="s">
        <v>331</v>
      </c>
      <c r="C25" s="288">
        <f>IF(B30=0,0,C30)</f>
        <v>0</v>
      </c>
      <c r="D25" s="289"/>
      <c r="E25" s="309"/>
      <c r="F25" s="309"/>
      <c r="G25" s="309"/>
      <c r="H25" s="309"/>
      <c r="I25" s="309"/>
      <c r="J25" s="1911"/>
      <c r="K25" s="1208" t="e">
        <f ca="1">项目基本情况!B16&amp;"国有建设用地使用权价格："&amp;O38&amp;"万元"</f>
        <v>#REF!</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e">
        <f ca="1">"大写金额：人民币"&amp;NUMBERSTRING(INT(O38*10000),2)&amp;"元整"</f>
        <v>#REF!</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e">
        <f ca="1">"单位面积地价："&amp;M38&amp;"元/平方米"</f>
        <v>#REF!</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e">
        <f ca="1">"楼面地价："&amp;N38&amp;"元/平方米"</f>
        <v>#REF!</v>
      </c>
      <c r="L28" s="1205"/>
      <c r="M28" s="1205"/>
      <c r="N28" s="1205"/>
      <c r="O28" s="1204"/>
      <c r="P28" s="1911"/>
      <c r="V28" s="1911"/>
    </row>
    <row r="29" spans="1:26" ht="18">
      <c r="A29" s="291"/>
      <c r="B29" s="292"/>
      <c r="C29" s="292"/>
      <c r="D29" s="293"/>
      <c r="E29" s="309"/>
      <c r="F29" s="309"/>
      <c r="G29" s="309"/>
      <c r="H29" s="309"/>
      <c r="I29" s="309"/>
      <c r="J29" s="1911"/>
      <c r="K29" s="1211" t="e">
        <f ca="1">IF(OR(项目基本情况!E8="抵押价格",项目基本情况!E8="已注销及未注销"),"抵押价格："&amp;O39&amp;"万元","——")</f>
        <v>#REF!</v>
      </c>
      <c r="L29" s="1205"/>
      <c r="M29" s="1205"/>
      <c r="N29" s="1205"/>
      <c r="O29" s="1204"/>
      <c r="P29" s="1911"/>
      <c r="V29" s="1911"/>
    </row>
    <row r="30" spans="1:26" ht="18.75" thickBot="1">
      <c r="A30" s="2800" t="s">
        <v>336</v>
      </c>
      <c r="B30" s="307"/>
      <c r="C30" s="307"/>
      <c r="D30" s="308"/>
      <c r="E30" s="3003" t="s">
        <v>2959</v>
      </c>
      <c r="F30" s="309"/>
      <c r="G30" s="309"/>
      <c r="H30" s="309"/>
      <c r="I30" s="309"/>
      <c r="J30" s="1911"/>
      <c r="K30" s="1211" t="e">
        <f ca="1">IF(K29="——","——","大写金额：人民币"&amp;NUMBERSTRING(INT(O39*10000),2)&amp;"元整")</f>
        <v>#REF!</v>
      </c>
      <c r="L30" s="1205"/>
      <c r="M30" s="1205"/>
      <c r="N30" s="1205"/>
      <c r="O30" s="1204"/>
      <c r="P30" s="1911"/>
      <c r="V30" s="1911"/>
    </row>
    <row r="31" spans="1:26" ht="24" customHeight="1" thickBot="1">
      <c r="A31" s="3509" t="s">
        <v>2960</v>
      </c>
      <c r="B31" s="3509"/>
      <c r="C31" s="3509"/>
      <c r="D31" s="3509"/>
      <c r="E31" s="3509"/>
      <c r="F31" s="3509"/>
      <c r="G31" s="3509"/>
      <c r="H31" s="3509"/>
      <c r="I31" s="3509"/>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1678</v>
      </c>
      <c r="C32" s="264" t="e">
        <f ca="1">G19-C24</f>
        <v>#REF!</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t="e">
        <f ca="1">ROUND(C32*10000/'数据-汇总表'!E3,0)</f>
        <v>#REF!</v>
      </c>
      <c r="D33" s="1333" t="s">
        <v>1681</v>
      </c>
      <c r="E33" s="3466"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1682</v>
      </c>
      <c r="C34" s="262" t="e">
        <f ca="1">ROUND(C32*10000/'数据-汇总表'!D3,0)</f>
        <v>#REF!</v>
      </c>
      <c r="D34" s="1335" t="s">
        <v>1681</v>
      </c>
      <c r="E34" s="3467"/>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t="e">
        <f ca="1">ROUND(C32/('数据-汇总表'!D3/666.67),0)</f>
        <v>#REF!</v>
      </c>
      <c r="D35" s="1338" t="s">
        <v>1683</v>
      </c>
      <c r="E35" s="3468"/>
      <c r="F35" s="299" t="s">
        <v>342</v>
      </c>
      <c r="G35" s="969"/>
      <c r="H35" s="968" t="s">
        <v>343</v>
      </c>
      <c r="I35" s="309"/>
      <c r="J35" s="1911"/>
      <c r="K35" s="3472" t="s">
        <v>350</v>
      </c>
      <c r="L35" s="3472" t="s">
        <v>351</v>
      </c>
      <c r="M35" s="1217" t="s">
        <v>352</v>
      </c>
      <c r="N35" s="3472" t="s">
        <v>353</v>
      </c>
      <c r="O35" s="3472" t="s">
        <v>354</v>
      </c>
      <c r="P35" s="1911"/>
      <c r="V35" s="1911"/>
    </row>
    <row r="36" spans="1:26" ht="16.5" customHeight="1">
      <c r="A36" s="301" t="s">
        <v>344</v>
      </c>
      <c r="B36" s="302" t="s">
        <v>333</v>
      </c>
      <c r="C36" s="303" t="s">
        <v>334</v>
      </c>
      <c r="D36" s="303" t="s">
        <v>346</v>
      </c>
      <c r="E36" s="304" t="s">
        <v>347</v>
      </c>
      <c r="F36" s="309"/>
      <c r="G36" s="309"/>
      <c r="H36" s="309"/>
      <c r="I36" s="309"/>
      <c r="J36" s="1913"/>
      <c r="K36" s="3473"/>
      <c r="L36" s="3473"/>
      <c r="M36" s="1219" t="s">
        <v>355</v>
      </c>
      <c r="N36" s="3473"/>
      <c r="O36" s="3473"/>
      <c r="P36" s="1911"/>
      <c r="V36" s="1911"/>
    </row>
    <row r="37" spans="1:26" ht="16.5" customHeight="1" thickBot="1">
      <c r="A37" s="1213" t="s">
        <v>348</v>
      </c>
      <c r="B37" s="305"/>
      <c r="C37" s="292"/>
      <c r="D37" s="292"/>
      <c r="E37" s="293"/>
      <c r="F37" s="309"/>
      <c r="G37" s="309"/>
      <c r="H37" s="309"/>
      <c r="I37" s="309"/>
      <c r="J37" s="1913"/>
      <c r="K37" s="3474"/>
      <c r="L37" s="3474"/>
      <c r="M37" s="1220"/>
      <c r="N37" s="3474"/>
      <c r="O37" s="3474"/>
      <c r="P37" s="1911"/>
      <c r="V37" s="1911"/>
    </row>
    <row r="38" spans="1:26" ht="16.5" customHeight="1" thickBot="1">
      <c r="A38" s="1213" t="s">
        <v>349</v>
      </c>
      <c r="B38" s="305"/>
      <c r="C38" s="292"/>
      <c r="D38" s="292"/>
      <c r="E38" s="293"/>
      <c r="F38" s="309"/>
      <c r="G38" s="309"/>
      <c r="H38" s="309"/>
      <c r="I38" s="309"/>
      <c r="J38" s="1913"/>
      <c r="K38" s="1221">
        <f>'数据-汇总表'!D3</f>
        <v>54426.77</v>
      </c>
      <c r="L38" s="1222">
        <f>'数据-汇总表'!E3</f>
        <v>136066.92000000001</v>
      </c>
      <c r="M38" s="1222" t="e">
        <f ca="1">C34</f>
        <v>#REF!</v>
      </c>
      <c r="N38" s="1222" t="e">
        <f ca="1">C33</f>
        <v>#REF!</v>
      </c>
      <c r="O38" s="1223" t="e">
        <f ca="1">C32</f>
        <v>#REF!</v>
      </c>
      <c r="P38" s="1911"/>
      <c r="V38" s="1911"/>
    </row>
    <row r="39" spans="1:26" ht="16.5" customHeight="1" thickBot="1">
      <c r="A39" s="1218"/>
      <c r="B39" s="306"/>
      <c r="C39" s="307"/>
      <c r="D39" s="307"/>
      <c r="E39" s="308"/>
      <c r="F39" s="309"/>
      <c r="G39" s="309"/>
      <c r="H39" s="309"/>
      <c r="I39" s="309"/>
      <c r="J39" s="1913"/>
      <c r="K39" s="3485" t="str">
        <f>MID(A44,3,LEN(A44)-2)</f>
        <v>抵押价格</v>
      </c>
      <c r="L39" s="3486"/>
      <c r="M39" s="3486"/>
      <c r="N39" s="3487"/>
      <c r="O39" s="1340" t="e">
        <f ca="1">C44</f>
        <v>#REF!</v>
      </c>
      <c r="P39" s="1911"/>
      <c r="V39" s="1911"/>
    </row>
    <row r="40" spans="1:26" ht="19.5" thickBot="1">
      <c r="A40" s="104" t="s">
        <v>863</v>
      </c>
      <c r="B40" s="309"/>
      <c r="C40" s="309"/>
      <c r="D40" s="309"/>
      <c r="E40" s="309"/>
      <c r="F40" s="309"/>
      <c r="G40" s="309"/>
      <c r="H40" s="309"/>
      <c r="I40" s="309"/>
      <c r="J40" s="1913"/>
      <c r="K40" s="3485" t="str">
        <f t="shared" ref="K40:K41" si="0">MID(A45,3,LEN(A45)-2)</f>
        <v/>
      </c>
      <c r="L40" s="3486"/>
      <c r="M40" s="3486"/>
      <c r="N40" s="3487"/>
      <c r="O40" s="1340" t="str">
        <f>C45</f>
        <v>——</v>
      </c>
      <c r="P40" s="1911"/>
      <c r="V40" s="1911"/>
    </row>
    <row r="41" spans="1:26" ht="16.5" thickBot="1">
      <c r="A41" s="310" t="s">
        <v>356</v>
      </c>
      <c r="B41" s="311"/>
      <c r="C41" s="312" t="s">
        <v>357</v>
      </c>
      <c r="D41" s="313" t="s">
        <v>358</v>
      </c>
      <c r="E41" s="313" t="s">
        <v>359</v>
      </c>
      <c r="F41" s="314" t="s">
        <v>360</v>
      </c>
      <c r="G41" s="309"/>
      <c r="H41" s="309"/>
      <c r="I41" s="309"/>
      <c r="J41" s="1913"/>
      <c r="K41" s="3485" t="str">
        <f t="shared" si="0"/>
        <v/>
      </c>
      <c r="L41" s="3486"/>
      <c r="M41" s="3486"/>
      <c r="N41" s="3487"/>
      <c r="O41" s="1340" t="str">
        <f>C46</f>
        <v>——</v>
      </c>
      <c r="P41" s="1911"/>
      <c r="V41" s="1911"/>
    </row>
    <row r="42" spans="1:26" ht="29.25">
      <c r="A42" s="3514" t="s">
        <v>2055</v>
      </c>
      <c r="B42" s="3515"/>
      <c r="C42" s="262" t="e">
        <f ca="1">C32</f>
        <v>#REF!</v>
      </c>
      <c r="D42" s="315" t="e">
        <f ca="1">C33</f>
        <v>#REF!</v>
      </c>
      <c r="E42" s="315" t="e">
        <f ca="1">C34</f>
        <v>#REF!</v>
      </c>
      <c r="F42" s="316" t="e">
        <f ca="1">C35</f>
        <v>#REF!</v>
      </c>
      <c r="G42" s="309"/>
      <c r="H42" s="309"/>
      <c r="I42" s="317"/>
      <c r="J42" s="1913"/>
      <c r="K42" s="1224" t="s">
        <v>361</v>
      </c>
      <c r="L42" s="1930" t="s">
        <v>362</v>
      </c>
      <c r="M42" s="1225" t="s">
        <v>363</v>
      </c>
      <c r="N42" s="1931" t="s">
        <v>364</v>
      </c>
      <c r="O42" s="1932" t="s">
        <v>365</v>
      </c>
      <c r="P42" s="1911"/>
      <c r="V42" s="1911"/>
    </row>
    <row r="43" spans="1:26" ht="18">
      <c r="A43" s="3524" t="s">
        <v>2709</v>
      </c>
      <c r="B43" s="3525"/>
      <c r="C43" s="262">
        <f>IF(H33="正常操作",G33+G34+G35,G34+G35)</f>
        <v>0</v>
      </c>
      <c r="D43" s="315" t="s">
        <v>43</v>
      </c>
      <c r="E43" s="315" t="s">
        <v>44</v>
      </c>
      <c r="F43" s="316" t="s">
        <v>44</v>
      </c>
      <c r="G43" s="2583" t="s">
        <v>942</v>
      </c>
      <c r="H43" s="309"/>
      <c r="I43" s="317"/>
      <c r="J43" s="1913"/>
      <c r="K43" s="1226">
        <f>C4</f>
        <v>0</v>
      </c>
      <c r="L43" s="1227" t="e">
        <f ca="1">IF(L42="估价结果/万元",C19,C20)</f>
        <v>#REF!</v>
      </c>
      <c r="M43" s="1228" t="e">
        <f>C18</f>
        <v>#DIV/0!</v>
      </c>
      <c r="N43" s="1229" t="e">
        <f ca="1">IF(N42="测算结果/万元",G19,G20)</f>
        <v>#REF!</v>
      </c>
      <c r="O43" s="1230" t="e">
        <f ca="1">IF(O42="最终结果/万元",C32,C33)</f>
        <v>#REF!</v>
      </c>
      <c r="P43" s="1911"/>
      <c r="V43" s="1911"/>
    </row>
    <row r="44" spans="1:26" ht="18.75" thickBot="1">
      <c r="A44" s="3514" t="str">
        <f>IF(OR(项目基本情况!E8="抵押价格",项目基本情况!E8="已注销及未注销"),"3.抵押价格","——")</f>
        <v>3.抵押价格</v>
      </c>
      <c r="B44" s="3515"/>
      <c r="C44" s="262" t="e">
        <f ca="1">IF(A44="——","——",C42-C43)</f>
        <v>#REF!</v>
      </c>
      <c r="D44" s="315" t="e">
        <f ca="1">ROUND(C44*10000/'数据-汇总表'!E3,0)</f>
        <v>#REF!</v>
      </c>
      <c r="E44" s="315" t="e">
        <f ca="1">ROUND(C44*10000/'数据-汇总表'!D3,0)</f>
        <v>#REF!</v>
      </c>
      <c r="F44" s="316" t="e">
        <f ca="1">ROUND(C44/('数据-汇总表'!D3/666.67),0)</f>
        <v>#REF!</v>
      </c>
      <c r="G44" s="309"/>
      <c r="H44" s="309"/>
      <c r="I44" s="317"/>
      <c r="J44" s="1913"/>
      <c r="K44" s="1231">
        <f>D4</f>
        <v>0</v>
      </c>
      <c r="L44" s="1232" t="e">
        <f ca="1">IF(L42="估价结果/万元",D19,D20)</f>
        <v>#REF!</v>
      </c>
      <c r="M44" s="1233" t="e">
        <f>D18</f>
        <v>#DIV/0!</v>
      </c>
      <c r="N44" s="1234"/>
      <c r="O44" s="1235"/>
      <c r="P44" s="1911"/>
      <c r="V44" s="1911"/>
    </row>
    <row r="45" spans="1:26" ht="15">
      <c r="A45" s="3519" t="str">
        <f>IF(项目基本情况!E8="已注销及未注销","4.抵押担保权已注销时的抵押价格",IF(项目基本情况!E8="已注销","3.抵押担保权已注销时的抵押价格","——"))</f>
        <v>——</v>
      </c>
      <c r="B45" s="3520"/>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516" t="str">
        <f>IF(项目基本情况!E9="抵押净值",IF(A45="——","4.抵押净值","5.抵押净值"),"——")</f>
        <v>——</v>
      </c>
      <c r="B46" s="3517"/>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77" t="s">
        <v>374</v>
      </c>
      <c r="B63" s="3478"/>
      <c r="C63" s="3479"/>
      <c r="D63" s="339">
        <f ca="1">系统读取表!D17*F63</f>
        <v>21238</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521" t="s">
        <v>378</v>
      </c>
      <c r="B64" s="3522"/>
      <c r="C64" s="3522"/>
      <c r="D64" s="3522"/>
      <c r="E64" s="3522"/>
      <c r="F64" s="3522"/>
      <c r="G64" s="3523"/>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518" t="s">
        <v>386</v>
      </c>
      <c r="B66" s="3484"/>
      <c r="C66" s="3484"/>
      <c r="D66" s="259">
        <f ca="1">IF(H66="情况1",0,IF(H66="情况2",D70,IF(H66="情况3",D71,IF(H66="情况4",D72))))</f>
        <v>1112</v>
      </c>
      <c r="E66" s="3304" t="str">
        <f>IF(H66="情况4","(销售额-原购置价)×税（费）率","销售额×税（费）率")</f>
        <v>销售额×税（费）率</v>
      </c>
      <c r="F66" s="348">
        <f>IF(H66="情况1","免征",'数据-取费表'!B41)</f>
        <v>5.5000000000000007E-2</v>
      </c>
      <c r="G66" s="349" t="s">
        <v>387</v>
      </c>
      <c r="H66" s="189" t="s">
        <v>3166</v>
      </c>
      <c r="I66" s="1241"/>
      <c r="J66" s="1917"/>
      <c r="K66" s="3296">
        <v>1</v>
      </c>
      <c r="L66" s="3445" t="s">
        <v>385</v>
      </c>
      <c r="M66" s="3446"/>
      <c r="N66" s="2312"/>
      <c r="O66" s="2313"/>
      <c r="P66" s="2314"/>
      <c r="Q66" s="1911"/>
      <c r="R66" s="1911"/>
      <c r="S66" s="1911"/>
      <c r="T66" s="1911"/>
      <c r="U66" s="1911"/>
      <c r="V66" s="1911"/>
    </row>
    <row r="67" spans="1:22" ht="25.5" customHeight="1">
      <c r="A67" s="350" t="s">
        <v>389</v>
      </c>
      <c r="B67" s="3496" t="s">
        <v>390</v>
      </c>
      <c r="C67" s="3496"/>
      <c r="D67" s="351">
        <v>0</v>
      </c>
      <c r="E67" s="41" t="s">
        <v>391</v>
      </c>
      <c r="F67" s="62" t="s">
        <v>21</v>
      </c>
      <c r="G67" s="3480"/>
      <c r="H67" s="3006" t="s">
        <v>2961</v>
      </c>
      <c r="I67" s="3008"/>
      <c r="J67" s="1918"/>
      <c r="K67" s="3303">
        <v>2</v>
      </c>
      <c r="L67" s="3450" t="s">
        <v>388</v>
      </c>
      <c r="M67" s="3450"/>
      <c r="N67" s="1278">
        <f>'数据-取费表'!B2</f>
        <v>44258</v>
      </c>
      <c r="O67" s="1278"/>
      <c r="P67" s="1278"/>
      <c r="Q67" s="1911"/>
      <c r="R67" s="1911"/>
      <c r="S67" s="1911"/>
      <c r="T67" s="1911"/>
      <c r="U67" s="1911"/>
      <c r="V67" s="1911"/>
    </row>
    <row r="68" spans="1:22" ht="25.5" customHeight="1">
      <c r="A68" s="352"/>
      <c r="B68" s="3496" t="s">
        <v>393</v>
      </c>
      <c r="C68" s="3496"/>
      <c r="D68" s="353"/>
      <c r="E68" s="77"/>
      <c r="F68" s="354"/>
      <c r="G68" s="3481"/>
      <c r="H68" s="3007" t="s">
        <v>2962</v>
      </c>
      <c r="I68" s="3008"/>
      <c r="J68" s="1918"/>
      <c r="K68" s="3303">
        <v>3</v>
      </c>
      <c r="L68" s="3450" t="s">
        <v>392</v>
      </c>
      <c r="M68" s="3450"/>
      <c r="N68" s="1246">
        <f ca="1">系统读取表!D17</f>
        <v>21238</v>
      </c>
      <c r="O68" s="1246"/>
      <c r="P68" s="1246"/>
      <c r="Q68" s="1911"/>
      <c r="R68" s="1911"/>
      <c r="S68" s="1911"/>
      <c r="T68" s="1911"/>
      <c r="U68" s="1911"/>
      <c r="V68" s="1911"/>
    </row>
    <row r="69" spans="1:22" ht="23.45" customHeight="1">
      <c r="A69" s="355"/>
      <c r="B69" s="3496" t="s">
        <v>394</v>
      </c>
      <c r="C69" s="3496"/>
      <c r="D69" s="356"/>
      <c r="E69" s="73"/>
      <c r="F69" s="354"/>
      <c r="G69" s="3482"/>
      <c r="H69" s="3007" t="s">
        <v>2963</v>
      </c>
      <c r="I69" s="3008"/>
      <c r="J69" s="1918"/>
      <c r="K69" s="3295">
        <v>4</v>
      </c>
      <c r="L69" s="3451" t="s">
        <v>2857</v>
      </c>
      <c r="M69" s="3452"/>
      <c r="N69" s="1248">
        <f ca="1">N68</f>
        <v>21238</v>
      </c>
      <c r="O69" s="1248"/>
      <c r="P69" s="1248"/>
      <c r="Q69" s="1911"/>
      <c r="R69" s="1911"/>
      <c r="S69" s="1911"/>
      <c r="T69" s="1911"/>
      <c r="U69" s="1911"/>
      <c r="V69" s="1911"/>
    </row>
    <row r="70" spans="1:22" ht="24" customHeight="1">
      <c r="A70" s="357" t="s">
        <v>395</v>
      </c>
      <c r="B70" s="3496" t="s">
        <v>396</v>
      </c>
      <c r="C70" s="3496"/>
      <c r="D70" s="356">
        <f ca="1">ROUND(D63*'数据-取费表'!B41/(1+'数据-取费表'!C42),0)</f>
        <v>1112</v>
      </c>
      <c r="E70" s="17" t="s">
        <v>397</v>
      </c>
      <c r="F70" s="358">
        <f>'数据-取费表'!B41</f>
        <v>5.5000000000000007E-2</v>
      </c>
      <c r="G70" s="359"/>
      <c r="H70" s="309"/>
      <c r="I70" s="1245"/>
      <c r="J70" s="1918"/>
      <c r="K70" s="2765"/>
      <c r="L70" s="2766"/>
      <c r="M70" s="2766"/>
      <c r="N70" s="2767" t="s">
        <v>2861</v>
      </c>
      <c r="O70" s="2766"/>
      <c r="P70" s="2768"/>
      <c r="Q70" s="1911"/>
      <c r="R70" s="1911"/>
      <c r="S70" s="1911"/>
      <c r="T70" s="1911"/>
      <c r="U70" s="1911"/>
      <c r="V70" s="1911"/>
    </row>
    <row r="71" spans="1:22" ht="12" customHeight="1">
      <c r="A71" s="357" t="s">
        <v>403</v>
      </c>
      <c r="B71" s="3495" t="s">
        <v>2992</v>
      </c>
      <c r="C71" s="3512"/>
      <c r="D71" s="356">
        <f ca="1">ROUND(D63*'数据-取费表'!B41/(1+'数据-取费表'!C42),0)</f>
        <v>1112</v>
      </c>
      <c r="E71" s="17" t="s">
        <v>397</v>
      </c>
      <c r="F71" s="358">
        <f>'数据-取费表'!B41</f>
        <v>5.5000000000000007E-2</v>
      </c>
      <c r="G71" s="359"/>
      <c r="H71" s="309"/>
      <c r="I71" s="1245"/>
      <c r="J71" s="1918"/>
      <c r="K71" s="3298" t="s">
        <v>398</v>
      </c>
      <c r="L71" s="3453" t="s">
        <v>399</v>
      </c>
      <c r="M71" s="3453"/>
      <c r="N71" s="3298" t="s">
        <v>400</v>
      </c>
      <c r="O71" s="3298" t="s">
        <v>401</v>
      </c>
      <c r="P71" s="3298" t="s">
        <v>402</v>
      </c>
      <c r="Q71" s="1911"/>
      <c r="R71" s="1911"/>
      <c r="S71" s="1911"/>
      <c r="T71" s="1911"/>
      <c r="U71" s="1911"/>
      <c r="V71" s="1911"/>
    </row>
    <row r="72" spans="1:22" ht="12" customHeight="1">
      <c r="A72" s="357" t="s">
        <v>405</v>
      </c>
      <c r="B72" s="3495" t="s">
        <v>2993</v>
      </c>
      <c r="C72" s="3512"/>
      <c r="D72" s="356">
        <f ca="1">C86</f>
        <v>1112</v>
      </c>
      <c r="E72" s="73" t="s">
        <v>406</v>
      </c>
      <c r="F72" s="358">
        <f>'数据-取费表'!B41</f>
        <v>5.5000000000000007E-2</v>
      </c>
      <c r="G72" s="359"/>
      <c r="H72" s="1251"/>
      <c r="I72" s="1245"/>
      <c r="J72" s="1918"/>
      <c r="K72" s="3303">
        <v>1</v>
      </c>
      <c r="L72" s="3449" t="s">
        <v>404</v>
      </c>
      <c r="M72" s="3449"/>
      <c r="N72" s="1249">
        <f ca="1">D66</f>
        <v>1112</v>
      </c>
      <c r="O72" s="3297" t="str">
        <f>E66</f>
        <v>销售额×税（费）率</v>
      </c>
      <c r="P72" s="1250">
        <f>F66</f>
        <v>5.5000000000000007E-2</v>
      </c>
      <c r="Q72" s="1911"/>
      <c r="R72" s="1911"/>
      <c r="S72" s="1911"/>
      <c r="T72" s="1911"/>
      <c r="U72" s="1911"/>
      <c r="V72" s="1911"/>
    </row>
    <row r="73" spans="1:22" ht="24" customHeight="1">
      <c r="A73" s="3483" t="s">
        <v>408</v>
      </c>
      <c r="B73" s="3484"/>
      <c r="C73" s="3484"/>
      <c r="D73" s="360">
        <f ca="1">IF(H73="个人住宅",0,ROUND(D63*I73,0))</f>
        <v>11</v>
      </c>
      <c r="E73" s="17" t="s">
        <v>409</v>
      </c>
      <c r="F73" s="358">
        <f>IF(H73="正常",I73,"免征")</f>
        <v>5.0000000000000001E-4</v>
      </c>
      <c r="G73" s="359"/>
      <c r="H73" s="189" t="s">
        <v>3127</v>
      </c>
      <c r="I73" s="358">
        <f>'数据-取费表'!B49</f>
        <v>5.0000000000000001E-4</v>
      </c>
      <c r="J73" s="1918"/>
      <c r="K73" s="3303">
        <v>2</v>
      </c>
      <c r="L73" s="3449" t="s">
        <v>407</v>
      </c>
      <c r="M73" s="3449"/>
      <c r="N73" s="1249">
        <f t="shared" ref="N73:P74" ca="1" si="1">D73</f>
        <v>11</v>
      </c>
      <c r="O73" s="3297" t="str">
        <f t="shared" si="1"/>
        <v>销售额×税（费）率</v>
      </c>
      <c r="P73" s="1250">
        <f t="shared" si="1"/>
        <v>5.0000000000000001E-4</v>
      </c>
      <c r="Q73" s="1911"/>
      <c r="R73" s="1911"/>
      <c r="S73" s="1911"/>
      <c r="T73" s="1911"/>
      <c r="U73" s="1911"/>
      <c r="V73" s="1911"/>
    </row>
    <row r="74" spans="1:22" ht="24.75">
      <c r="A74" s="3483" t="s">
        <v>411</v>
      </c>
      <c r="B74" s="3484"/>
      <c r="C74" s="3484"/>
      <c r="D74" s="360">
        <f ca="1">IF(H74="个人住宅",D75,D76)</f>
        <v>1830</v>
      </c>
      <c r="E74" s="17" t="s">
        <v>412</v>
      </c>
      <c r="F74" s="358" t="str">
        <f>IF(H74="正常",F76,"免征")</f>
        <v>——</v>
      </c>
      <c r="G74" s="970" t="s">
        <v>387</v>
      </c>
      <c r="H74" s="361" t="s">
        <v>3127</v>
      </c>
      <c r="I74" s="42"/>
      <c r="J74" s="1918"/>
      <c r="K74" s="3303">
        <v>3</v>
      </c>
      <c r="L74" s="3449" t="s">
        <v>410</v>
      </c>
      <c r="M74" s="3449"/>
      <c r="N74" s="1249">
        <f t="shared" ca="1" si="1"/>
        <v>1830</v>
      </c>
      <c r="O74" s="3297" t="str">
        <f t="shared" si="1"/>
        <v>增值额×税（费）率</v>
      </c>
      <c r="P74" s="1252" t="str">
        <f t="shared" si="1"/>
        <v>——</v>
      </c>
      <c r="Q74" s="1911"/>
      <c r="R74" s="1911"/>
      <c r="S74" s="1911"/>
      <c r="T74" s="1911"/>
      <c r="U74" s="1911"/>
      <c r="V74" s="1911"/>
    </row>
    <row r="75" spans="1:22" ht="12.75">
      <c r="A75" s="357" t="s">
        <v>414</v>
      </c>
      <c r="B75" s="3464" t="s">
        <v>415</v>
      </c>
      <c r="C75" s="3465"/>
      <c r="D75" s="362">
        <v>0</v>
      </c>
      <c r="E75" s="41" t="s">
        <v>416</v>
      </c>
      <c r="F75" s="363"/>
      <c r="G75" s="359"/>
      <c r="H75" s="42"/>
      <c r="I75" s="42"/>
      <c r="J75" s="1918"/>
      <c r="K75" s="3303" t="str">
        <f>IF(H77="非个人房产","",4)</f>
        <v/>
      </c>
      <c r="L75" s="3449" t="str">
        <f>IF(H77="非个人房产","——","个人所得税")</f>
        <v>——</v>
      </c>
      <c r="M75" s="3449"/>
      <c r="N75" s="1253" t="str">
        <f>D77</f>
        <v>——</v>
      </c>
      <c r="O75" s="1786" t="str">
        <f>E77</f>
        <v>——</v>
      </c>
      <c r="P75" s="1254" t="str">
        <f>F77</f>
        <v>——</v>
      </c>
      <c r="Q75" s="1911"/>
      <c r="R75" s="1911"/>
      <c r="S75" s="1911"/>
      <c r="T75" s="1911"/>
      <c r="U75" s="1911"/>
      <c r="V75" s="1911"/>
    </row>
    <row r="76" spans="1:22" ht="24.75">
      <c r="A76" s="357" t="s">
        <v>395</v>
      </c>
      <c r="B76" s="3464" t="s">
        <v>418</v>
      </c>
      <c r="C76" s="3506"/>
      <c r="D76" s="360">
        <f ca="1">IF(H76="转让取得",C99,C115)</f>
        <v>1830</v>
      </c>
      <c r="E76" s="17" t="s">
        <v>419</v>
      </c>
      <c r="F76" s="53" t="s">
        <v>21</v>
      </c>
      <c r="G76" s="359"/>
      <c r="H76" s="361" t="s">
        <v>3167</v>
      </c>
      <c r="I76" s="42"/>
      <c r="J76" s="1918"/>
      <c r="K76" s="3303" t="str">
        <f>IF(项目基本情况!K6="上海银行",IF(K75="",4,K75+1),"")</f>
        <v/>
      </c>
      <c r="L76" s="3460" t="str">
        <f>IF(项目基本情况!K6="上海银行","其他处置费用","")</f>
        <v/>
      </c>
      <c r="M76" s="3461"/>
      <c r="N76" s="1249" t="str">
        <f>IF(项目基本情况!K6="上海银行",N89,"")</f>
        <v/>
      </c>
      <c r="O76" s="3462" t="str">
        <f>IF(项目基本情况!K6="上海银行","包含处置中涉及的律师、诉讼、拍卖、评估等费用","")</f>
        <v/>
      </c>
      <c r="P76" s="3463"/>
      <c r="Q76" s="1911"/>
      <c r="R76" s="1911"/>
      <c r="S76" s="1911"/>
      <c r="T76" s="1911"/>
      <c r="U76" s="1911"/>
      <c r="V76" s="1911"/>
    </row>
    <row r="77" spans="1:22" ht="24.75" thickBot="1">
      <c r="A77" s="3475" t="s">
        <v>421</v>
      </c>
      <c r="B77" s="3476"/>
      <c r="C77" s="3476"/>
      <c r="D77" s="3011" t="str">
        <f>IF(H77="非个人房产","——",IF(H77="个人住宅（满五唯一有凭证）",0,IF(H77="个人其他（无凭证）",ROUND(D63*F77,0),ROUND(C84*F77,0))))</f>
        <v>——</v>
      </c>
      <c r="E77" s="3012" t="str">
        <f>IF(H77="非个人房产","——",IF(H77="个人其他（无凭证）","销售额×税（费）率",IF(H77="个人住宅（满五唯一有凭证）","免征","差额计税")))</f>
        <v>——</v>
      </c>
      <c r="F77" s="3013" t="str">
        <f>IF(OR(H77="非个人房产",H77="个人住宅（满五唯一有凭证）"),"——",IF(H77="个人其他（有凭证）",20%,1%))</f>
        <v>——</v>
      </c>
      <c r="G77" s="971" t="s">
        <v>387</v>
      </c>
      <c r="H77" s="3010" t="s">
        <v>3168</v>
      </c>
      <c r="I77" s="3009" t="s">
        <v>2964</v>
      </c>
      <c r="J77" s="1918"/>
      <c r="K77" s="3471">
        <f>IF(AND(K75="",K76=""),4,IF(项目基本情况!K6="上海银行",K76+1,K75+1))</f>
        <v>4</v>
      </c>
      <c r="L77" s="3449" t="s">
        <v>2858</v>
      </c>
      <c r="M77" s="2763" t="s">
        <v>417</v>
      </c>
      <c r="N77" s="1255"/>
      <c r="O77" s="1256">
        <f ca="1">SUMIF(N72:N76,"&lt;9e307")</f>
        <v>2953</v>
      </c>
      <c r="P77" s="1257"/>
      <c r="Q77" s="2761">
        <f ca="1">O77/N69</f>
        <v>0.13904322440907807</v>
      </c>
      <c r="R77" s="1911"/>
      <c r="S77" s="1911"/>
      <c r="T77" s="1911"/>
      <c r="U77" s="1911"/>
      <c r="V77" s="1911"/>
    </row>
    <row r="78" spans="1:22" ht="12" customHeight="1">
      <c r="A78" s="1258"/>
      <c r="B78" s="309"/>
      <c r="C78" s="309"/>
      <c r="D78" s="309"/>
      <c r="E78" s="42"/>
      <c r="F78" s="42"/>
      <c r="G78" s="42"/>
      <c r="H78" s="990"/>
      <c r="I78" s="309"/>
      <c r="J78" s="1918"/>
      <c r="K78" s="3471"/>
      <c r="L78" s="3449"/>
      <c r="M78" s="2763" t="s">
        <v>420</v>
      </c>
      <c r="N78" s="1255"/>
      <c r="O78" s="1256" t="str">
        <f ca="1">NUMBERSTRING(INT(O77*10000),2)&amp;"元整"</f>
        <v>贰仟玖佰伍拾叁万元整</v>
      </c>
      <c r="P78" s="1257"/>
      <c r="Q78" s="1911"/>
      <c r="R78" s="1911"/>
      <c r="S78" s="1911"/>
      <c r="T78" s="1911"/>
      <c r="U78" s="1911"/>
      <c r="V78" s="1911"/>
    </row>
    <row r="79" spans="1:22" ht="13.5" thickBot="1">
      <c r="A79" s="3526" t="s">
        <v>422</v>
      </c>
      <c r="B79" s="3526"/>
      <c r="C79" s="3526"/>
      <c r="D79" s="3526"/>
      <c r="E79" s="3526"/>
      <c r="F79" s="42"/>
      <c r="G79" s="42"/>
      <c r="H79" s="990"/>
      <c r="I79" s="309"/>
      <c r="J79" s="1918"/>
      <c r="K79" s="3447">
        <f>K77+1</f>
        <v>5</v>
      </c>
      <c r="L79" s="3449" t="s">
        <v>2859</v>
      </c>
      <c r="M79" s="2763" t="s">
        <v>417</v>
      </c>
      <c r="N79" s="1255"/>
      <c r="O79" s="1256">
        <f ca="1">N69-O77</f>
        <v>18285</v>
      </c>
      <c r="P79" s="1257"/>
      <c r="Q79" s="1911"/>
      <c r="R79" s="1911"/>
      <c r="S79" s="1911"/>
      <c r="T79" s="1911"/>
      <c r="U79" s="1911"/>
      <c r="V79" s="1911"/>
    </row>
    <row r="80" spans="1:22" ht="25.5">
      <c r="A80" s="3457" t="s">
        <v>423</v>
      </c>
      <c r="B80" s="3458"/>
      <c r="C80" s="3301"/>
      <c r="D80" s="3301" t="s">
        <v>424</v>
      </c>
      <c r="E80" s="364" t="s">
        <v>425</v>
      </c>
      <c r="F80" s="42"/>
      <c r="G80" s="42"/>
      <c r="H80" s="990"/>
      <c r="I80" s="309"/>
      <c r="J80" s="1911"/>
      <c r="K80" s="3448"/>
      <c r="L80" s="3449"/>
      <c r="M80" s="2763" t="s">
        <v>420</v>
      </c>
      <c r="N80" s="1255"/>
      <c r="O80" s="1256" t="str">
        <f ca="1">NUMBERSTRING(INT(O79*10000),2)&amp;"元整"</f>
        <v>壹亿捌仟贰佰捌拾伍万元整</v>
      </c>
      <c r="P80" s="1257"/>
      <c r="Q80" s="1911"/>
      <c r="R80" s="1911"/>
      <c r="S80" s="1911"/>
      <c r="T80" s="1911"/>
      <c r="U80" s="1911"/>
      <c r="V80" s="1911"/>
    </row>
    <row r="81" spans="1:26" ht="13.5" thickBot="1">
      <c r="A81" s="375" t="s">
        <v>1813</v>
      </c>
      <c r="B81" s="365" t="s">
        <v>426</v>
      </c>
      <c r="C81" s="366">
        <f ca="1">ROUND((C82+C83)/(1+'数据-取费表'!C42),0)</f>
        <v>20227</v>
      </c>
      <c r="D81" s="367"/>
      <c r="E81" s="368"/>
      <c r="F81" s="42"/>
      <c r="G81" s="42"/>
      <c r="H81" s="990"/>
      <c r="I81" s="309"/>
      <c r="J81" s="1911"/>
      <c r="K81" s="3303">
        <f>K79+1</f>
        <v>6</v>
      </c>
      <c r="L81" s="3469" t="s">
        <v>2860</v>
      </c>
      <c r="M81" s="3470"/>
      <c r="N81" s="1259"/>
      <c r="O81" s="1260">
        <f ca="1">ROUND(O79*10000/'数据-汇总表'!E3,0)</f>
        <v>1344</v>
      </c>
      <c r="P81" s="1261"/>
      <c r="Q81" s="1911"/>
      <c r="R81" s="1911"/>
      <c r="S81" s="1911"/>
      <c r="T81" s="1911"/>
      <c r="U81" s="1911"/>
      <c r="V81" s="1911"/>
    </row>
    <row r="82" spans="1:26" ht="13.5" thickTop="1">
      <c r="A82" s="369" t="s">
        <v>1814</v>
      </c>
      <c r="B82" s="370" t="s">
        <v>427</v>
      </c>
      <c r="C82" s="371">
        <f ca="1">D63</f>
        <v>21238</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459" t="s">
        <v>2848</v>
      </c>
      <c r="L83" s="3302" t="s">
        <v>2849</v>
      </c>
      <c r="M83" s="2759">
        <f ca="1">IF(N69&gt;10000,N69*0.5%,IF(AND(N69&gt;1000,N69&lt;=10000),N69*1%,IF(AND(N69&gt;100,N69&lt;=1000),N69*3%,IF(AND(N69&gt;10,N69&lt;=100),N69*5%,N69*8%))))</f>
        <v>106.19</v>
      </c>
      <c r="N83" s="53">
        <f ca="1">ROUND(M83,1)</f>
        <v>106.2</v>
      </c>
      <c r="O83" s="2762"/>
      <c r="P83" s="1911"/>
      <c r="Q83" s="1911"/>
      <c r="R83" s="1911"/>
      <c r="S83" s="1911"/>
      <c r="T83" s="1911"/>
      <c r="U83" s="1911"/>
      <c r="V83" s="1911"/>
    </row>
    <row r="84" spans="1:26" ht="12.75">
      <c r="A84" s="375" t="s">
        <v>1816</v>
      </c>
      <c r="B84" s="376" t="s">
        <v>429</v>
      </c>
      <c r="C84" s="377"/>
      <c r="D84" s="378" t="s">
        <v>19</v>
      </c>
      <c r="E84" s="2787" t="s">
        <v>2902</v>
      </c>
      <c r="F84" s="42"/>
      <c r="G84" s="42"/>
      <c r="H84" s="990"/>
      <c r="I84" s="309"/>
      <c r="J84" s="1911"/>
      <c r="K84" s="3459"/>
      <c r="L84" s="3302" t="s">
        <v>2850</v>
      </c>
      <c r="M84" s="2759">
        <f ca="1">IF(N69&gt;2000,N69*0.5%,IF(AND(N69&gt;1000,N69&lt;=2000),N69*0.6%,IF(AND(N69&gt;500,N69&lt;=1000),N69*0.7%,IF(AND(N69&gt;200,N69&lt;=500),N69*0.8%,IF(AND(N69&gt;100,N69&lt;=200),N69*0.9%,IF(AND(N69&gt;50,N69&lt;=100),N69*1%,IF(AND(N69&gt;20,N69&lt;=50),N69*1.5%,IF(AND(N69&gt;10,N69&lt;=20),N69*2%,IF(AND(N69&gt;1,N69&lt;=10),N69*2.5%)))))))))</f>
        <v>106.19</v>
      </c>
      <c r="N84" s="53">
        <f t="shared" ref="N84:N85" ca="1" si="2">ROUND(M84,1)</f>
        <v>106.2</v>
      </c>
      <c r="O84" s="1911" t="s">
        <v>2851</v>
      </c>
      <c r="P84" s="1911"/>
      <c r="Q84" s="1911"/>
      <c r="R84" s="1911"/>
      <c r="S84" s="1911"/>
      <c r="T84" s="1911"/>
      <c r="U84" s="1911"/>
      <c r="V84" s="1911"/>
    </row>
    <row r="85" spans="1:26" ht="12.75">
      <c r="A85" s="375" t="s">
        <v>1817</v>
      </c>
      <c r="B85" s="376" t="s">
        <v>430</v>
      </c>
      <c r="C85" s="379">
        <f ca="1">C81-C84</f>
        <v>20227</v>
      </c>
      <c r="D85" s="372" t="s">
        <v>19</v>
      </c>
      <c r="E85" s="373"/>
      <c r="F85" s="42"/>
      <c r="G85" s="42"/>
      <c r="H85" s="990"/>
      <c r="I85" s="309"/>
      <c r="J85" s="1911"/>
      <c r="K85" s="3459"/>
      <c r="L85" s="3302" t="s">
        <v>2852</v>
      </c>
      <c r="M85" s="2759">
        <f ca="1">IF(N69&gt;1000,N69*0.1%,IF(AND(N69&gt;500,N69&lt;=1000),N69*0.5%,IF(AND(N69&gt;50,N69&lt;=500),N69*1%,IF(AND(N69&gt;1,N69&lt;=50),N69*1.5%))))</f>
        <v>21.238</v>
      </c>
      <c r="N85" s="53">
        <f t="shared" ca="1" si="2"/>
        <v>21.2</v>
      </c>
      <c r="O85" s="1911" t="s">
        <v>2851</v>
      </c>
      <c r="P85" s="1911"/>
      <c r="Q85" s="1911"/>
      <c r="R85" s="1911"/>
      <c r="S85" s="1911"/>
      <c r="T85" s="1911"/>
      <c r="U85" s="1911"/>
      <c r="V85" s="1911"/>
    </row>
    <row r="86" spans="1:26" ht="13.5" thickBot="1">
      <c r="A86" s="380" t="s">
        <v>1818</v>
      </c>
      <c r="B86" s="381" t="s">
        <v>431</v>
      </c>
      <c r="C86" s="382">
        <f ca="1">IF(C85&lt;=0,0,ROUND(C85*D86,0))</f>
        <v>1112</v>
      </c>
      <c r="D86" s="383">
        <f>'数据-取费表'!B41</f>
        <v>5.5000000000000007E-2</v>
      </c>
      <c r="E86" s="384"/>
      <c r="F86" s="42"/>
      <c r="G86" s="42"/>
      <c r="H86" s="990"/>
      <c r="I86" s="309"/>
      <c r="J86" s="1911"/>
      <c r="K86" s="3459"/>
      <c r="L86" s="3302" t="s">
        <v>2853</v>
      </c>
      <c r="M86" s="2759">
        <f ca="1">N69*0.5%</f>
        <v>106.19</v>
      </c>
      <c r="N86" s="53">
        <f ca="1">IF(M86&gt;0.5,0.5,ROUND(M86,0))</f>
        <v>0.5</v>
      </c>
      <c r="O86" s="1911" t="s">
        <v>2854</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59"/>
      <c r="L87" s="3302" t="s">
        <v>2855</v>
      </c>
      <c r="M87" s="2759">
        <f ca="1">IF(N69&gt;=10000,(8.25+(N69-10000)*0.01%),IF(AND(N69&gt;=8000,N69&lt;10000),(7.85+(N69-8000)*0.02%),IF(AND(N69&gt;=5000,N69&lt;8000),(6.65+(N69-5000)*0.04%),IF(AND(N69&gt;=2000,N69&lt;5000),(4.25+(PN69-2000)*0.08%),IF(AND(N69&gt;=1000,N69&lt;2000),(2.75+(N69-1000)*0.15%),IF(AND(N69&gt;=100,N69&lt;1000),(0.5+(N69-100)*0.25%),IF(AND(N69&gt;0,N69&lt;100),N69*0.5%)))))))</f>
        <v>9.3737999999999992</v>
      </c>
      <c r="N87" s="53">
        <f ca="1">ROUND(M87*0.9,1)</f>
        <v>8.4</v>
      </c>
      <c r="O87" s="2762"/>
      <c r="P87" s="1911"/>
      <c r="Q87" s="1911"/>
      <c r="R87" s="1911"/>
      <c r="S87" s="1911"/>
      <c r="T87" s="1911"/>
      <c r="U87" s="1911"/>
      <c r="V87" s="1911"/>
      <c r="W87" s="290"/>
      <c r="X87" s="290"/>
      <c r="Y87" s="290"/>
      <c r="Z87" s="290"/>
    </row>
    <row r="88" spans="1:26" s="1267" customFormat="1" ht="15" thickBot="1">
      <c r="A88" s="3498" t="s">
        <v>432</v>
      </c>
      <c r="B88" s="3499"/>
      <c r="C88" s="3499"/>
      <c r="D88" s="3499"/>
      <c r="E88" s="3499"/>
      <c r="F88" s="3499"/>
      <c r="G88" s="3499"/>
      <c r="H88" s="3499"/>
      <c r="I88" s="1268"/>
      <c r="J88" s="1919"/>
      <c r="K88" s="3459"/>
      <c r="L88" s="3302" t="s">
        <v>2856</v>
      </c>
      <c r="M88" s="2759">
        <f ca="1">IF(N69&gt;10000,N69*0.5%,IF(AND(N69&gt;5000,N69&lt;=10000),N69*1%,IF(AND(N69&gt;1000,N69&lt;=5000),N69*2%,IF(AND(N69&gt;200,N69&lt;=1000),N69*3%,N69*5%))))</f>
        <v>106.19</v>
      </c>
      <c r="N88" s="53">
        <f ca="1">ROUND(M88,1)</f>
        <v>106.2</v>
      </c>
      <c r="O88" s="2762"/>
      <c r="P88" s="1916"/>
      <c r="Q88" s="1916"/>
      <c r="R88" s="1916"/>
      <c r="S88" s="1916"/>
      <c r="T88" s="1916"/>
      <c r="U88" s="1916"/>
      <c r="V88" s="1916"/>
      <c r="W88" s="1920"/>
      <c r="X88" s="1920"/>
      <c r="Y88" s="1920"/>
      <c r="Z88" s="1920"/>
    </row>
    <row r="89" spans="1:26" s="1267" customFormat="1" ht="14.25">
      <c r="A89" s="3457" t="s">
        <v>423</v>
      </c>
      <c r="B89" s="3458"/>
      <c r="C89" s="3301"/>
      <c r="D89" s="3301" t="s">
        <v>424</v>
      </c>
      <c r="E89" s="385" t="s">
        <v>433</v>
      </c>
      <c r="F89" s="386"/>
      <c r="G89" s="386"/>
      <c r="H89" s="387"/>
      <c r="I89" s="1269"/>
      <c r="J89" s="1921"/>
      <c r="K89" s="3459"/>
      <c r="L89" s="3302" t="s">
        <v>27</v>
      </c>
      <c r="M89" s="2760"/>
      <c r="N89" s="53">
        <f ca="1">ROUND(SUM(N83:N88),0)</f>
        <v>349</v>
      </c>
      <c r="O89" s="2770">
        <f ca="1">N89/N69</f>
        <v>1.6432809115735945E-2</v>
      </c>
      <c r="P89" s="1916"/>
      <c r="Q89" s="1916"/>
      <c r="R89" s="1916"/>
      <c r="S89" s="1916"/>
      <c r="T89" s="1916"/>
      <c r="U89" s="1916"/>
      <c r="V89" s="1916"/>
      <c r="W89" s="1920"/>
      <c r="X89" s="1920"/>
      <c r="Y89" s="1920"/>
      <c r="Z89" s="1920"/>
    </row>
    <row r="90" spans="1:26" s="1267" customFormat="1" ht="14.25">
      <c r="A90" s="375" t="s">
        <v>1813</v>
      </c>
      <c r="B90" s="376" t="s">
        <v>434</v>
      </c>
      <c r="C90" s="379">
        <f ca="1">ROUND(D63/(1+'数据-取费表'!C42),0)</f>
        <v>20227</v>
      </c>
      <c r="D90" s="372" t="s">
        <v>19</v>
      </c>
      <c r="E90" s="3306"/>
      <c r="F90" s="3307"/>
      <c r="G90" s="330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1816</v>
      </c>
      <c r="B91" s="346" t="s">
        <v>435</v>
      </c>
      <c r="C91" s="379">
        <f ca="1">C92+C96</f>
        <v>101</v>
      </c>
      <c r="D91" s="372" t="s">
        <v>19</v>
      </c>
      <c r="E91" s="3306"/>
      <c r="F91" s="3307"/>
      <c r="G91" s="330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1814</v>
      </c>
      <c r="B92" s="370" t="s">
        <v>436</v>
      </c>
      <c r="C92" s="372">
        <f>ROUND(IF(G95="2016年5月1日后购买",C93/(1+'数据-取费表'!C30)+C94+C95,C93+C94+C95),0)</f>
        <v>0</v>
      </c>
      <c r="D92" s="372" t="s">
        <v>19</v>
      </c>
      <c r="E92" s="3306"/>
      <c r="F92" s="3307"/>
      <c r="G92" s="330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95" t="s">
        <v>441</v>
      </c>
      <c r="F94" s="3496"/>
      <c r="G94" s="3496"/>
      <c r="H94" s="3497"/>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3308"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1815</v>
      </c>
      <c r="B96" s="370" t="s">
        <v>444</v>
      </c>
      <c r="C96" s="399">
        <f ca="1">ROUND(D63*D96/(1+'数据-取费表'!C42),0)</f>
        <v>101</v>
      </c>
      <c r="D96" s="400">
        <f>'数据-取费表'!B43</f>
        <v>5.000000000000001E-3</v>
      </c>
      <c r="E96" s="3454" t="s">
        <v>2412</v>
      </c>
      <c r="F96" s="3455"/>
      <c r="G96" s="3455"/>
      <c r="H96" s="3456"/>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1817</v>
      </c>
      <c r="B97" s="376" t="s">
        <v>445</v>
      </c>
      <c r="C97" s="379">
        <f ca="1">C90-C91</f>
        <v>20126</v>
      </c>
      <c r="D97" s="372" t="s">
        <v>19</v>
      </c>
      <c r="E97" s="3306"/>
      <c r="F97" s="3307"/>
      <c r="G97" s="330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1818</v>
      </c>
      <c r="B98" s="376" t="s">
        <v>446</v>
      </c>
      <c r="C98" s="401">
        <f ca="1">IF(C97&lt;=0,0,C97/C91)</f>
        <v>199.26732673267327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3307"/>
      <c r="G98" s="330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 ca="1">ROUND(IF(C97&lt;=0,0,IF(C98&gt;=200%,C97*60%-C91*35%,IF(C98&gt;=100%,C97*50%-C91*15%,IF(C98&gt;=50%,C97*40%-C91*5%,IF(C98&lt;50%,C97*30%,0))))),0)</f>
        <v>12040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98" t="s">
        <v>448</v>
      </c>
      <c r="B101" s="3499"/>
      <c r="C101" s="3499"/>
      <c r="D101" s="3499"/>
      <c r="E101" s="3499"/>
      <c r="F101" s="3499"/>
      <c r="G101" s="3499"/>
      <c r="H101" s="3499"/>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57" t="s">
        <v>423</v>
      </c>
      <c r="B102" s="3458"/>
      <c r="C102" s="3301"/>
      <c r="D102" s="330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 ca="1">ROUND(D63/(1+'数据-取费表'!C42),0)</f>
        <v>20227</v>
      </c>
      <c r="D103" s="372" t="s">
        <v>19</v>
      </c>
      <c r="E103" s="3306"/>
      <c r="F103" s="3307"/>
      <c r="G103" s="330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1816</v>
      </c>
      <c r="B104" s="346" t="s">
        <v>435</v>
      </c>
      <c r="C104" s="379">
        <f ca="1">IF(H106="仅含出让金",C105+C108+C109+C110+C111+C112,C105+C109+C110+C111+C112)</f>
        <v>14127.84</v>
      </c>
      <c r="D104" s="409"/>
      <c r="E104" s="3306"/>
      <c r="F104" s="3307"/>
      <c r="G104" s="330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1814</v>
      </c>
      <c r="B105" s="370" t="s">
        <v>449</v>
      </c>
      <c r="C105" s="399">
        <f>C106+C107</f>
        <v>12751.84</v>
      </c>
      <c r="D105" s="400"/>
      <c r="E105" s="3305"/>
      <c r="F105" s="3299"/>
      <c r="G105" s="3299"/>
      <c r="H105" s="3300"/>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v>12255.84</v>
      </c>
      <c r="D106" s="400"/>
      <c r="E106" s="411" t="s">
        <v>451</v>
      </c>
      <c r="F106" s="3299"/>
      <c r="G106" s="412" t="s">
        <v>452</v>
      </c>
      <c r="H106" s="413" t="s">
        <v>3169</v>
      </c>
      <c r="I106" s="11"/>
      <c r="J106" s="1916"/>
      <c r="K106" s="3244"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496</v>
      </c>
      <c r="D107" s="400">
        <f>'数据-取费表'!B48+'数据-取费表'!B49</f>
        <v>4.0500000000000001E-2</v>
      </c>
      <c r="E107" s="411" t="s">
        <v>453</v>
      </c>
      <c r="F107" s="3299"/>
      <c r="G107" s="3299"/>
      <c r="H107" s="3300"/>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1815</v>
      </c>
      <c r="B108" s="370" t="s">
        <v>454</v>
      </c>
      <c r="C108" s="410"/>
      <c r="D108" s="400"/>
      <c r="E108" s="411" t="str">
        <f>IF(H106="-","土地取得成本中已包含该笔费用"," ")</f>
        <v xml:space="preserve"> </v>
      </c>
      <c r="F108" s="3299"/>
      <c r="G108" s="3510" t="s">
        <v>2956</v>
      </c>
      <c r="H108" s="3511"/>
      <c r="I108" s="2859"/>
      <c r="J108" s="1916"/>
      <c r="K108" s="3244"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88" t="s">
        <v>456</v>
      </c>
      <c r="F109" s="3455"/>
      <c r="G109" s="3455"/>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1275</v>
      </c>
      <c r="D110" s="3275">
        <v>0.1</v>
      </c>
      <c r="E110" s="3488" t="s">
        <v>458</v>
      </c>
      <c r="F110" s="3455"/>
      <c r="G110" s="3455"/>
      <c r="H110" s="3456"/>
      <c r="I110" s="11"/>
      <c r="J110" s="1916"/>
      <c r="K110" s="3245"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 ca="1">ROUND(D63*D111/(1+'数据-取费表'!C42),0)</f>
        <v>101</v>
      </c>
      <c r="D111" s="400">
        <f>'数据-取费表'!B43</f>
        <v>5.000000000000001E-3</v>
      </c>
      <c r="E111" s="3454" t="s">
        <v>2412</v>
      </c>
      <c r="F111" s="3455"/>
      <c r="G111" s="3455"/>
      <c r="H111" s="3456"/>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88" t="s">
        <v>2435</v>
      </c>
      <c r="F112" s="3455"/>
      <c r="G112" s="3455"/>
      <c r="H112" s="3456"/>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1817</v>
      </c>
      <c r="B113" s="376" t="s">
        <v>445</v>
      </c>
      <c r="C113" s="379">
        <f ca="1">ROUND(C103-C104,0)</f>
        <v>6099</v>
      </c>
      <c r="D113" s="372" t="s">
        <v>19</v>
      </c>
      <c r="E113" s="3306"/>
      <c r="F113" s="3307"/>
      <c r="G113" s="330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1818</v>
      </c>
      <c r="B114" s="376" t="s">
        <v>446</v>
      </c>
      <c r="C114" s="401">
        <f ca="1">IF(C113&lt;=0,0,C113/C104)</f>
        <v>0.43170081201372607</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3307"/>
      <c r="G114" s="330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 ca="1">ROUND(IF(C113&lt;=0,0,IF(C114&gt;=200%,C113*60%-C104*35%,IF(C114&gt;=100%,C113*50%-C104*15%,IF(C114&gt;=50%,C113*40%-C104*5%,IF(C114&lt;50%,C113*30%,0))))),0)</f>
        <v>1830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4">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A12:A13"/>
    <mergeCell ref="B12:B13"/>
    <mergeCell ref="C12:C13"/>
    <mergeCell ref="D12:D13"/>
    <mergeCell ref="A14:A16"/>
    <mergeCell ref="B14:B16"/>
    <mergeCell ref="C14:C16"/>
    <mergeCell ref="D14:D16"/>
    <mergeCell ref="E18:I18"/>
    <mergeCell ref="A24:A25"/>
    <mergeCell ref="A31:I31"/>
    <mergeCell ref="E33:E35"/>
    <mergeCell ref="K35:K37"/>
    <mergeCell ref="A64:G64"/>
    <mergeCell ref="N35:N37"/>
    <mergeCell ref="O35:O37"/>
    <mergeCell ref="K39:N39"/>
    <mergeCell ref="K40:N40"/>
    <mergeCell ref="K41:N41"/>
    <mergeCell ref="A42:B42"/>
    <mergeCell ref="L35:L37"/>
    <mergeCell ref="A43:B43"/>
    <mergeCell ref="A44:B44"/>
    <mergeCell ref="A45:B45"/>
    <mergeCell ref="A46:B46"/>
    <mergeCell ref="A63:C63"/>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E112:H112"/>
    <mergeCell ref="A101:H101"/>
    <mergeCell ref="A102:B102"/>
    <mergeCell ref="G108:H108"/>
    <mergeCell ref="E109:G109"/>
    <mergeCell ref="E110:H110"/>
    <mergeCell ref="E111:H111"/>
  </mergeCells>
  <phoneticPr fontId="228" type="noConversion"/>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C10:D13">
    <cfRule type="cellIs" dxfId="173" priority="5" stopIfTrue="1" operator="equal">
      <formula>15</formula>
    </cfRule>
  </conditionalFormatting>
  <conditionalFormatting sqref="D14:D16">
    <cfRule type="cellIs" dxfId="172" priority="4"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6" zoomScale="80" zoomScaleNormal="95" zoomScaleSheetLayoutView="80" workbookViewId="0">
      <selection activeCell="B17" sqref="B17"/>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8"/>
    </row>
    <row r="2" spans="1:30" s="1289" customFormat="1" ht="28.5" customHeight="1">
      <c r="A2" s="417" t="s">
        <v>461</v>
      </c>
      <c r="B2" s="502">
        <f>F68</f>
        <v>25812</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8"/>
    </row>
    <row r="3" spans="1:30" s="1289" customFormat="1" ht="28.5" customHeight="1">
      <c r="A3" s="1330" t="s">
        <v>1674</v>
      </c>
      <c r="B3" s="504">
        <f>ROUND(B2*10000/'数据-汇总表'!E3,0)</f>
        <v>1897</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89" customFormat="1" ht="28.5" customHeight="1">
      <c r="A4" s="505" t="s">
        <v>514</v>
      </c>
      <c r="B4" s="421">
        <f>IF(B48="单位面积地价",C50,ROUND(B2*10000/'数据-汇总表'!D3,0))</f>
        <v>4743</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f>ROUND(B2/('数据-汇总表'!D3/666.67),0)</f>
        <v>316</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49" t="s">
        <v>516</v>
      </c>
      <c r="D6" s="3550"/>
      <c r="E6" s="3549" t="s">
        <v>517</v>
      </c>
      <c r="F6" s="3550"/>
      <c r="G6" s="3549" t="s">
        <v>518</v>
      </c>
      <c r="H6" s="3550"/>
      <c r="I6" s="3549" t="s">
        <v>519</v>
      </c>
      <c r="J6" s="3550"/>
      <c r="K6" s="508" t="s">
        <v>520</v>
      </c>
      <c r="L6" s="2015"/>
      <c r="M6" s="2014"/>
      <c r="N6" s="2014"/>
      <c r="O6" s="2016"/>
      <c r="P6" s="3551" t="s">
        <v>521</v>
      </c>
      <c r="Q6" s="3552"/>
      <c r="R6" s="3537" t="s">
        <v>517</v>
      </c>
      <c r="S6" s="3538"/>
      <c r="T6" s="3537" t="s">
        <v>518</v>
      </c>
      <c r="U6" s="3538"/>
      <c r="V6" s="3557" t="s">
        <v>519</v>
      </c>
      <c r="W6" s="3557"/>
      <c r="X6" s="1501"/>
      <c r="Y6" s="3537" t="s">
        <v>521</v>
      </c>
      <c r="Z6" s="3538"/>
      <c r="AA6" s="3532" t="s">
        <v>517</v>
      </c>
      <c r="AB6" s="3533" t="s">
        <v>518</v>
      </c>
      <c r="AC6" s="3532" t="s">
        <v>519</v>
      </c>
    </row>
    <row r="7" spans="1:30" ht="20.25">
      <c r="A7" s="509"/>
      <c r="B7" s="510"/>
      <c r="C7" s="3560" t="s">
        <v>2891</v>
      </c>
      <c r="D7" s="3561"/>
      <c r="E7" s="3560" t="str">
        <f>土地案例!A36</f>
        <v>锦江镇官厅村</v>
      </c>
      <c r="F7" s="3561"/>
      <c r="G7" s="3560" t="str">
        <f>土地案例!A45</f>
        <v>彭山区锦江乡</v>
      </c>
      <c r="H7" s="3561"/>
      <c r="I7" s="3560" t="str">
        <f>土地案例!A63</f>
        <v>彭山区锦江乡</v>
      </c>
      <c r="J7" s="3561"/>
      <c r="K7" s="508"/>
      <c r="L7" s="2015"/>
      <c r="M7" s="2014"/>
      <c r="N7" s="2014"/>
      <c r="O7" s="2016"/>
      <c r="P7" s="3553"/>
      <c r="Q7" s="3554"/>
      <c r="R7" s="3539"/>
      <c r="S7" s="3540"/>
      <c r="T7" s="3539"/>
      <c r="U7" s="3540"/>
      <c r="V7" s="3557"/>
      <c r="W7" s="3557"/>
      <c r="X7" s="1501"/>
      <c r="Y7" s="3539"/>
      <c r="Z7" s="3540"/>
      <c r="AA7" s="3533"/>
      <c r="AB7" s="3533"/>
      <c r="AC7" s="3533"/>
    </row>
    <row r="8" spans="1:30" ht="21" thickBot="1">
      <c r="A8" s="509"/>
      <c r="B8" s="510"/>
      <c r="C8" s="3562" t="s">
        <v>2895</v>
      </c>
      <c r="D8" s="3563"/>
      <c r="E8" s="3562" t="s">
        <v>2895</v>
      </c>
      <c r="F8" s="3563"/>
      <c r="G8" s="3558" t="s">
        <v>2895</v>
      </c>
      <c r="H8" s="3559"/>
      <c r="I8" s="3558" t="s">
        <v>2895</v>
      </c>
      <c r="J8" s="3559"/>
      <c r="K8" s="508" t="s">
        <v>522</v>
      </c>
      <c r="L8" s="2015"/>
      <c r="M8" s="2014"/>
      <c r="N8" s="2014"/>
      <c r="O8" s="2016"/>
      <c r="P8" s="3555"/>
      <c r="Q8" s="3556"/>
      <c r="R8" s="3539"/>
      <c r="S8" s="3540"/>
      <c r="T8" s="3541"/>
      <c r="U8" s="3542"/>
      <c r="V8" s="3557"/>
      <c r="W8" s="3557"/>
      <c r="X8" s="1501"/>
      <c r="Y8" s="3541"/>
      <c r="Z8" s="3542"/>
      <c r="AA8" s="3534"/>
      <c r="AB8" s="3534"/>
      <c r="AC8" s="3534"/>
    </row>
    <row r="9" spans="1:30" s="1202" customFormat="1" ht="21" thickBot="1">
      <c r="A9" s="2629"/>
      <c r="B9" s="2636" t="s">
        <v>523</v>
      </c>
      <c r="C9" s="2628">
        <f>'数据-取费表'!B2</f>
        <v>44258</v>
      </c>
      <c r="D9" s="514">
        <v>100</v>
      </c>
      <c r="E9" s="515" t="str">
        <f>土地案例!J36</f>
        <v>2020-04-30</v>
      </c>
      <c r="F9" s="516">
        <f>SUMIF(72:72,YEAR(E9)&amp;"-"&amp;INT((MONTH(E9)+2)/3),73:73)</f>
        <v>98.5</v>
      </c>
      <c r="G9" s="517" t="str">
        <f>土地案例!J45</f>
        <v>2019-11-07</v>
      </c>
      <c r="H9" s="514">
        <f>SUMIF(72:72,YEAR(G9)&amp;"-"&amp;INT((MONTH(G9)+2)/3),73:73)</f>
        <v>97.5</v>
      </c>
      <c r="I9" s="517" t="str">
        <f>土地案例!J63</f>
        <v>2019-01-14</v>
      </c>
      <c r="J9" s="514">
        <f>SUMIF(72:72,YEAR(I9)&amp;"-"&amp;INT((MONTH(I9)+2)/3),73:73)</f>
        <v>96</v>
      </c>
      <c r="K9" s="518"/>
      <c r="L9" s="2017"/>
      <c r="M9" s="2014"/>
      <c r="N9" s="2014"/>
      <c r="O9" s="2018"/>
      <c r="P9" s="3535" t="s">
        <v>524</v>
      </c>
      <c r="Q9" s="3544"/>
      <c r="R9" s="1502" t="s">
        <v>8</v>
      </c>
      <c r="S9" s="1503">
        <f t="shared" ref="S9:S17" si="0">F9</f>
        <v>98.5</v>
      </c>
      <c r="T9" s="1502" t="s">
        <v>8</v>
      </c>
      <c r="U9" s="1503">
        <f t="shared" ref="U9:U17" si="1">H9</f>
        <v>97.5</v>
      </c>
      <c r="V9" s="1502" t="s">
        <v>8</v>
      </c>
      <c r="W9" s="1503">
        <f t="shared" ref="W9:W17" si="2">J9</f>
        <v>96</v>
      </c>
      <c r="X9" s="1504"/>
      <c r="Y9" s="3535" t="s">
        <v>524</v>
      </c>
      <c r="Z9" s="3536"/>
      <c r="AA9" s="1505">
        <f>D9/F9</f>
        <v>1.015228426395939</v>
      </c>
      <c r="AB9" s="1505">
        <f>D9/H9</f>
        <v>1.0256410256410255</v>
      </c>
      <c r="AC9" s="1505">
        <f>D9/J9</f>
        <v>1.0416666666666667</v>
      </c>
    </row>
    <row r="10" spans="1:30" s="1202" customFormat="1" ht="21" thickBot="1">
      <c r="A10" s="2630"/>
      <c r="B10" s="2637" t="s">
        <v>525</v>
      </c>
      <c r="C10" s="845" t="s">
        <v>526</v>
      </c>
      <c r="D10" s="514">
        <v>100</v>
      </c>
      <c r="E10" s="3317" t="s">
        <v>3128</v>
      </c>
      <c r="F10" s="516">
        <f>SUMIF(75:75,E10,76:76)-SUMIF(75:75,C10,76:76)+100</f>
        <v>100</v>
      </c>
      <c r="G10" s="3317" t="s">
        <v>3128</v>
      </c>
      <c r="H10" s="514">
        <f>SUMIF(75:75,G10,76:76)-SUMIF(75:75,C10,76:76)+100</f>
        <v>100</v>
      </c>
      <c r="I10" s="3317" t="s">
        <v>3128</v>
      </c>
      <c r="J10" s="514">
        <f>SUMIF(75:75,I10,76:76)-SUMIF(75:75,C10,76:76)+100</f>
        <v>100</v>
      </c>
      <c r="K10" s="518"/>
      <c r="L10" s="2017"/>
      <c r="M10" s="2014"/>
      <c r="N10" s="2014"/>
      <c r="O10" s="2018"/>
      <c r="P10" s="3535" t="s">
        <v>527</v>
      </c>
      <c r="Q10" s="3536"/>
      <c r="R10" s="1502" t="s">
        <v>8</v>
      </c>
      <c r="S10" s="1503">
        <f t="shared" si="0"/>
        <v>100</v>
      </c>
      <c r="T10" s="1502" t="s">
        <v>8</v>
      </c>
      <c r="U10" s="1503">
        <f t="shared" si="1"/>
        <v>100</v>
      </c>
      <c r="V10" s="1502" t="s">
        <v>8</v>
      </c>
      <c r="W10" s="1503">
        <f t="shared" si="2"/>
        <v>100</v>
      </c>
      <c r="X10" s="1504"/>
      <c r="Y10" s="3535" t="s">
        <v>527</v>
      </c>
      <c r="Z10" s="3536"/>
      <c r="AA10" s="1505">
        <f t="shared" ref="AA10:AA47" si="3">D10/F10</f>
        <v>1</v>
      </c>
      <c r="AB10" s="1505">
        <f t="shared" ref="AB10:AB47" si="4">D10/H10</f>
        <v>1</v>
      </c>
      <c r="AC10" s="1505">
        <f t="shared" ref="AC10:AC47" si="5">D10/J10</f>
        <v>1</v>
      </c>
    </row>
    <row r="11" spans="1:30" s="1202" customFormat="1" ht="20.25">
      <c r="A11" s="2631"/>
      <c r="B11" s="2638" t="s">
        <v>2735</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43" t="s">
        <v>529</v>
      </c>
      <c r="Q11" s="1133" t="str">
        <f t="shared" ref="Q11:Q17" si="6">B11</f>
        <v>用途</v>
      </c>
      <c r="R11" s="1502" t="s">
        <v>8</v>
      </c>
      <c r="S11" s="1503">
        <f t="shared" si="0"/>
        <v>100</v>
      </c>
      <c r="T11" s="1502" t="s">
        <v>8</v>
      </c>
      <c r="U11" s="1503">
        <f t="shared" si="1"/>
        <v>100</v>
      </c>
      <c r="V11" s="1502" t="s">
        <v>8</v>
      </c>
      <c r="W11" s="1503">
        <f t="shared" si="2"/>
        <v>100</v>
      </c>
      <c r="X11" s="1504"/>
      <c r="Y11" s="3494" t="s">
        <v>530</v>
      </c>
      <c r="Z11" s="1132" t="str">
        <f t="shared" ref="Z11:Z17" si="7">Q11</f>
        <v>用途</v>
      </c>
      <c r="AA11" s="1505">
        <f t="shared" si="3"/>
        <v>1</v>
      </c>
      <c r="AB11" s="1505">
        <f t="shared" si="4"/>
        <v>1</v>
      </c>
      <c r="AC11" s="1505">
        <f t="shared" si="5"/>
        <v>1</v>
      </c>
    </row>
    <row r="12" spans="1:30" s="1291" customFormat="1" ht="27">
      <c r="A12" s="2632"/>
      <c r="B12" s="2637" t="s">
        <v>2736</v>
      </c>
      <c r="C12" s="898"/>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543"/>
      <c r="Q12" s="1133" t="str">
        <f t="shared" si="6"/>
        <v>土地使用年限（年）</v>
      </c>
      <c r="R12" s="1502" t="s">
        <v>8</v>
      </c>
      <c r="S12" s="1503">
        <f t="shared" si="0"/>
        <v>100</v>
      </c>
      <c r="T12" s="1502" t="s">
        <v>8</v>
      </c>
      <c r="U12" s="1503">
        <f t="shared" si="1"/>
        <v>100</v>
      </c>
      <c r="V12" s="1502" t="s">
        <v>8</v>
      </c>
      <c r="W12" s="1503">
        <f t="shared" si="2"/>
        <v>100</v>
      </c>
      <c r="X12" s="1504"/>
      <c r="Y12" s="3494"/>
      <c r="Z12" s="1132" t="str">
        <f t="shared" si="7"/>
        <v>土地使用年限（年）</v>
      </c>
      <c r="AA12" s="1505">
        <f t="shared" si="3"/>
        <v>1</v>
      </c>
      <c r="AB12" s="1505">
        <f t="shared" si="4"/>
        <v>1</v>
      </c>
      <c r="AC12" s="1505">
        <f t="shared" si="5"/>
        <v>1</v>
      </c>
    </row>
    <row r="13" spans="1:30" ht="20.25">
      <c r="A13" s="2633"/>
      <c r="B13" s="2637" t="s">
        <v>2737</v>
      </c>
      <c r="C13" s="528">
        <v>2.5</v>
      </c>
      <c r="D13" s="253">
        <v>100</v>
      </c>
      <c r="E13" s="527">
        <v>2</v>
      </c>
      <c r="F13" s="253">
        <f>LOOKUP(E13,82:82,83:83)-LOOKUP(C13,82:82,83:83)+100</f>
        <v>100</v>
      </c>
      <c r="G13" s="528">
        <v>2</v>
      </c>
      <c r="H13" s="253">
        <f>LOOKUP(G13,82:82,83:83)-LOOKUP(C13,82:82,83:83)+100</f>
        <v>100</v>
      </c>
      <c r="I13" s="527">
        <v>1.8</v>
      </c>
      <c r="J13" s="253">
        <f>LOOKUP(I13,82:82,83:83)-LOOKUP(C13,82:82,83:83)+100</f>
        <v>101</v>
      </c>
      <c r="K13" s="3348">
        <v>1</v>
      </c>
      <c r="L13" s="2022"/>
      <c r="M13" s="2014"/>
      <c r="N13" s="2014"/>
      <c r="O13" s="2023"/>
      <c r="P13" s="3543"/>
      <c r="Q13" s="1133" t="str">
        <f t="shared" si="6"/>
        <v>容积率</v>
      </c>
      <c r="R13" s="1502" t="s">
        <v>8</v>
      </c>
      <c r="S13" s="1503">
        <f t="shared" si="0"/>
        <v>100</v>
      </c>
      <c r="T13" s="1502" t="s">
        <v>8</v>
      </c>
      <c r="U13" s="1503">
        <f t="shared" si="1"/>
        <v>100</v>
      </c>
      <c r="V13" s="1502" t="s">
        <v>8</v>
      </c>
      <c r="W13" s="1503">
        <f t="shared" si="2"/>
        <v>101</v>
      </c>
      <c r="X13" s="1504"/>
      <c r="Y13" s="3494"/>
      <c r="Z13" s="1132" t="str">
        <f t="shared" si="7"/>
        <v>容积率</v>
      </c>
      <c r="AA13" s="1505">
        <f t="shared" si="3"/>
        <v>1</v>
      </c>
      <c r="AB13" s="1505">
        <f t="shared" si="4"/>
        <v>1</v>
      </c>
      <c r="AC13" s="1505">
        <f t="shared" si="5"/>
        <v>0.99009900990099009</v>
      </c>
    </row>
    <row r="14" spans="1:30" s="1202" customFormat="1" ht="20.25">
      <c r="A14" s="2630"/>
      <c r="B14" s="2639" t="s">
        <v>2738</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543"/>
      <c r="Q14" s="1133" t="str">
        <f t="shared" si="6"/>
        <v>配建</v>
      </c>
      <c r="R14" s="1502" t="s">
        <v>8</v>
      </c>
      <c r="S14" s="1503">
        <f t="shared" si="0"/>
        <v>100</v>
      </c>
      <c r="T14" s="1502" t="s">
        <v>8</v>
      </c>
      <c r="U14" s="1503">
        <f t="shared" si="1"/>
        <v>100</v>
      </c>
      <c r="V14" s="1502" t="s">
        <v>8</v>
      </c>
      <c r="W14" s="1503">
        <f t="shared" si="2"/>
        <v>100</v>
      </c>
      <c r="X14" s="1504"/>
      <c r="Y14" s="3494"/>
      <c r="Z14" s="1132" t="str">
        <f t="shared" si="7"/>
        <v>配建</v>
      </c>
      <c r="AA14" s="1505">
        <f>D14/F14</f>
        <v>1</v>
      </c>
      <c r="AB14" s="1505">
        <f>D14/H14</f>
        <v>1</v>
      </c>
      <c r="AC14" s="1505">
        <f>D14/J14</f>
        <v>1</v>
      </c>
    </row>
    <row r="15" spans="1:30" ht="20.25">
      <c r="A15" s="2634"/>
      <c r="B15" s="2640">
        <v>111</v>
      </c>
      <c r="C15" s="900"/>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43"/>
      <c r="Q15" s="1133">
        <f t="shared" si="6"/>
        <v>111</v>
      </c>
      <c r="R15" s="1502" t="s">
        <v>8</v>
      </c>
      <c r="S15" s="1503">
        <f t="shared" si="0"/>
        <v>100</v>
      </c>
      <c r="T15" s="1502" t="s">
        <v>8</v>
      </c>
      <c r="U15" s="1503">
        <f t="shared" si="1"/>
        <v>100</v>
      </c>
      <c r="V15" s="1502" t="s">
        <v>8</v>
      </c>
      <c r="W15" s="1503">
        <f t="shared" si="2"/>
        <v>100</v>
      </c>
      <c r="X15" s="1504"/>
      <c r="Y15" s="3494"/>
      <c r="Z15" s="1132">
        <f t="shared" si="7"/>
        <v>111</v>
      </c>
      <c r="AA15" s="1505">
        <f>D15/F15</f>
        <v>1</v>
      </c>
      <c r="AB15" s="1505">
        <f>D15/H15</f>
        <v>1</v>
      </c>
      <c r="AC15" s="1505">
        <f>D15/J15</f>
        <v>1</v>
      </c>
    </row>
    <row r="16" spans="1:30" ht="21" thickBot="1">
      <c r="A16" s="2635"/>
      <c r="B16" s="2641">
        <v>111</v>
      </c>
      <c r="C16" s="903"/>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43"/>
      <c r="Q16" s="1133">
        <f t="shared" si="6"/>
        <v>111</v>
      </c>
      <c r="R16" s="1502" t="s">
        <v>8</v>
      </c>
      <c r="S16" s="1503">
        <f t="shared" si="0"/>
        <v>100</v>
      </c>
      <c r="T16" s="1502" t="s">
        <v>8</v>
      </c>
      <c r="U16" s="1503">
        <f t="shared" si="1"/>
        <v>100</v>
      </c>
      <c r="V16" s="1502" t="s">
        <v>8</v>
      </c>
      <c r="W16" s="1503">
        <f t="shared" si="2"/>
        <v>100</v>
      </c>
      <c r="X16" s="1504"/>
      <c r="Y16" s="3494"/>
      <c r="Z16" s="1132">
        <f t="shared" si="7"/>
        <v>111</v>
      </c>
      <c r="AA16" s="1505">
        <f>D16/F16</f>
        <v>1</v>
      </c>
      <c r="AB16" s="1505">
        <f>D16/H16</f>
        <v>1</v>
      </c>
      <c r="AC16" s="1505">
        <f>D16/J16</f>
        <v>1</v>
      </c>
    </row>
    <row r="17" spans="1:29" ht="99.75">
      <c r="A17" s="2627" t="s">
        <v>2733</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45" t="s">
        <v>534</v>
      </c>
      <c r="Q17" s="1506" t="str">
        <f t="shared" si="6"/>
        <v>居住社区成熟度</v>
      </c>
      <c r="R17" s="1507" t="s">
        <v>8</v>
      </c>
      <c r="S17" s="1508">
        <f t="shared" si="0"/>
        <v>100</v>
      </c>
      <c r="T17" s="1507" t="s">
        <v>8</v>
      </c>
      <c r="U17" s="1508">
        <f t="shared" si="1"/>
        <v>100</v>
      </c>
      <c r="V17" s="1507" t="s">
        <v>8</v>
      </c>
      <c r="W17" s="1508">
        <f t="shared" si="2"/>
        <v>100</v>
      </c>
      <c r="X17" s="1501"/>
      <c r="Y17" s="3545" t="s">
        <v>534</v>
      </c>
      <c r="Z17" s="1509" t="str">
        <f t="shared" si="7"/>
        <v>居住社区成熟度</v>
      </c>
      <c r="AA17" s="1510">
        <f t="shared" si="3"/>
        <v>1</v>
      </c>
      <c r="AB17" s="1510">
        <f t="shared" si="4"/>
        <v>1</v>
      </c>
      <c r="AC17" s="1510">
        <f t="shared" si="5"/>
        <v>1</v>
      </c>
    </row>
    <row r="18" spans="1:29" ht="20.25">
      <c r="A18" s="526"/>
      <c r="B18" s="547"/>
      <c r="C18" s="3318" t="s">
        <v>3129</v>
      </c>
      <c r="D18" s="551"/>
      <c r="E18" s="3319" t="s">
        <v>3129</v>
      </c>
      <c r="F18" s="549"/>
      <c r="G18" s="3320" t="s">
        <v>3130</v>
      </c>
      <c r="H18" s="553"/>
      <c r="I18" s="3319" t="s">
        <v>3130</v>
      </c>
      <c r="J18" s="549"/>
      <c r="K18" s="525"/>
      <c r="L18" s="2024"/>
      <c r="M18" s="2014"/>
      <c r="N18" s="2014"/>
      <c r="O18" s="2023"/>
      <c r="P18" s="3546"/>
      <c r="Q18" s="1506"/>
      <c r="R18" s="1507"/>
      <c r="S18" s="1508"/>
      <c r="T18" s="1507"/>
      <c r="U18" s="1508"/>
      <c r="V18" s="1507"/>
      <c r="W18" s="1508"/>
      <c r="X18" s="1501"/>
      <c r="Y18" s="3546"/>
      <c r="Z18" s="1509"/>
      <c r="AA18" s="1510">
        <v>1</v>
      </c>
      <c r="AB18" s="1510">
        <v>1</v>
      </c>
      <c r="AC18" s="1510">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46"/>
      <c r="Q19" s="1506" t="str">
        <f>B19</f>
        <v>商业繁华度</v>
      </c>
      <c r="R19" s="1507" t="s">
        <v>8</v>
      </c>
      <c r="S19" s="1508">
        <f>F19</f>
        <v>100</v>
      </c>
      <c r="T19" s="1507" t="s">
        <v>8</v>
      </c>
      <c r="U19" s="1508">
        <f>H19</f>
        <v>100</v>
      </c>
      <c r="V19" s="1507" t="s">
        <v>8</v>
      </c>
      <c r="W19" s="1508">
        <f>J19</f>
        <v>100</v>
      </c>
      <c r="X19" s="1501"/>
      <c r="Y19" s="3546"/>
      <c r="Z19" s="1509" t="str">
        <f>Q19</f>
        <v>商业繁华度</v>
      </c>
      <c r="AA19" s="1510">
        <f t="shared" si="3"/>
        <v>1</v>
      </c>
      <c r="AB19" s="1510">
        <f t="shared" si="4"/>
        <v>1</v>
      </c>
      <c r="AC19" s="1510">
        <f t="shared" si="5"/>
        <v>1</v>
      </c>
    </row>
    <row r="20" spans="1:29" ht="20.25">
      <c r="A20" s="526"/>
      <c r="B20" s="560"/>
      <c r="C20" s="3321"/>
      <c r="D20" s="557"/>
      <c r="E20" s="3322"/>
      <c r="F20" s="553"/>
      <c r="G20" s="3323"/>
      <c r="H20" s="549"/>
      <c r="I20" s="3322"/>
      <c r="J20" s="549"/>
      <c r="K20" s="525"/>
      <c r="L20" s="2024"/>
      <c r="M20" s="2014"/>
      <c r="N20" s="2014"/>
      <c r="O20" s="2023"/>
      <c r="P20" s="3546"/>
      <c r="Q20" s="1506"/>
      <c r="R20" s="1507"/>
      <c r="S20" s="1508"/>
      <c r="T20" s="1507"/>
      <c r="U20" s="1508"/>
      <c r="V20" s="1507"/>
      <c r="W20" s="1508"/>
      <c r="X20" s="1501"/>
      <c r="Y20" s="3546"/>
      <c r="Z20" s="1509"/>
      <c r="AA20" s="1510">
        <v>1</v>
      </c>
      <c r="AB20" s="1510">
        <v>1</v>
      </c>
      <c r="AC20" s="1510">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46"/>
      <c r="Q21" s="1506" t="str">
        <f>B21</f>
        <v>办公集聚程度</v>
      </c>
      <c r="R21" s="1507" t="s">
        <v>8</v>
      </c>
      <c r="S21" s="1508">
        <f>F21</f>
        <v>100</v>
      </c>
      <c r="T21" s="1507" t="s">
        <v>8</v>
      </c>
      <c r="U21" s="1508">
        <f>H21</f>
        <v>100</v>
      </c>
      <c r="V21" s="1507" t="s">
        <v>8</v>
      </c>
      <c r="W21" s="1508">
        <f>J21</f>
        <v>100</v>
      </c>
      <c r="X21" s="1501"/>
      <c r="Y21" s="3546"/>
      <c r="Z21" s="1509" t="str">
        <f>Q21</f>
        <v>办公集聚程度</v>
      </c>
      <c r="AA21" s="1510">
        <f t="shared" si="3"/>
        <v>1</v>
      </c>
      <c r="AB21" s="1510">
        <f t="shared" si="4"/>
        <v>1</v>
      </c>
      <c r="AC21" s="1510">
        <f t="shared" si="5"/>
        <v>1</v>
      </c>
    </row>
    <row r="22" spans="1:29" ht="20.25">
      <c r="A22" s="526"/>
      <c r="B22" s="560"/>
      <c r="C22" s="548"/>
      <c r="D22" s="551"/>
      <c r="E22" s="552"/>
      <c r="F22" s="549"/>
      <c r="G22" s="550"/>
      <c r="H22" s="549"/>
      <c r="I22" s="552"/>
      <c r="J22" s="549"/>
      <c r="K22" s="525"/>
      <c r="L22" s="2024"/>
      <c r="M22" s="2014"/>
      <c r="N22" s="2014"/>
      <c r="O22" s="2023"/>
      <c r="P22" s="3546"/>
      <c r="Q22" s="1506"/>
      <c r="R22" s="1507"/>
      <c r="S22" s="1508"/>
      <c r="T22" s="1507"/>
      <c r="U22" s="1508"/>
      <c r="V22" s="1507"/>
      <c r="W22" s="1508"/>
      <c r="X22" s="1501"/>
      <c r="Y22" s="3546"/>
      <c r="Z22" s="1509"/>
      <c r="AA22" s="1510">
        <v>1</v>
      </c>
      <c r="AB22" s="1510">
        <v>1</v>
      </c>
      <c r="AC22" s="1510">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46"/>
      <c r="Q23" s="1506" t="str">
        <f>B23</f>
        <v>交通便捷度</v>
      </c>
      <c r="R23" s="1507" t="s">
        <v>8</v>
      </c>
      <c r="S23" s="1508">
        <f>F23</f>
        <v>100</v>
      </c>
      <c r="T23" s="1507" t="s">
        <v>8</v>
      </c>
      <c r="U23" s="1508">
        <f>H23</f>
        <v>100</v>
      </c>
      <c r="V23" s="1507" t="s">
        <v>8</v>
      </c>
      <c r="W23" s="1508">
        <f>J23</f>
        <v>100</v>
      </c>
      <c r="X23" s="1501"/>
      <c r="Y23" s="3546"/>
      <c r="Z23" s="1509" t="str">
        <f>Q23</f>
        <v>交通便捷度</v>
      </c>
      <c r="AA23" s="1510">
        <f t="shared" si="3"/>
        <v>1</v>
      </c>
      <c r="AB23" s="1510">
        <f t="shared" si="4"/>
        <v>1</v>
      </c>
      <c r="AC23" s="1510">
        <f t="shared" si="5"/>
        <v>1</v>
      </c>
    </row>
    <row r="24" spans="1:29" ht="20.25">
      <c r="A24" s="526"/>
      <c r="B24" s="572"/>
      <c r="C24" s="3318" t="s">
        <v>3130</v>
      </c>
      <c r="D24" s="551"/>
      <c r="E24" s="3319" t="s">
        <v>3130</v>
      </c>
      <c r="F24" s="549"/>
      <c r="G24" s="3320" t="s">
        <v>3130</v>
      </c>
      <c r="H24" s="549"/>
      <c r="I24" s="3319" t="s">
        <v>3130</v>
      </c>
      <c r="J24" s="549"/>
      <c r="K24" s="525"/>
      <c r="L24" s="2024"/>
      <c r="M24" s="2014"/>
      <c r="N24" s="2014"/>
      <c r="O24" s="2023"/>
      <c r="P24" s="3546"/>
      <c r="Q24" s="1506"/>
      <c r="R24" s="1507"/>
      <c r="S24" s="1508"/>
      <c r="T24" s="1507"/>
      <c r="U24" s="1508"/>
      <c r="V24" s="1507"/>
      <c r="W24" s="1508"/>
      <c r="X24" s="1501"/>
      <c r="Y24" s="3546"/>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46"/>
      <c r="Q25" s="1506" t="str">
        <f t="shared" ref="Q25:Q39" si="8">B25</f>
        <v>区域土地利用方向</v>
      </c>
      <c r="R25" s="1507" t="s">
        <v>8</v>
      </c>
      <c r="S25" s="1508">
        <f>F25</f>
        <v>100</v>
      </c>
      <c r="T25" s="1507" t="s">
        <v>8</v>
      </c>
      <c r="U25" s="1508">
        <f>H25</f>
        <v>100</v>
      </c>
      <c r="V25" s="1507" t="s">
        <v>8</v>
      </c>
      <c r="W25" s="1508">
        <f>J25</f>
        <v>100</v>
      </c>
      <c r="X25" s="1501"/>
      <c r="Y25" s="3546"/>
      <c r="Z25" s="1509" t="str">
        <f>Q25</f>
        <v>区域土地利用方向</v>
      </c>
      <c r="AA25" s="1510">
        <f t="shared" si="3"/>
        <v>1</v>
      </c>
      <c r="AB25" s="1510">
        <f t="shared" si="4"/>
        <v>1</v>
      </c>
      <c r="AC25" s="1510">
        <f t="shared" si="5"/>
        <v>1</v>
      </c>
    </row>
    <row r="26" spans="1:29" ht="20.25">
      <c r="A26" s="509"/>
      <c r="B26" s="993"/>
      <c r="C26" s="3318" t="s">
        <v>3131</v>
      </c>
      <c r="D26" s="551"/>
      <c r="E26" s="3319" t="s">
        <v>3131</v>
      </c>
      <c r="F26" s="549"/>
      <c r="G26" s="3320" t="s">
        <v>3131</v>
      </c>
      <c r="H26" s="549"/>
      <c r="I26" s="3319" t="s">
        <v>3131</v>
      </c>
      <c r="J26" s="549"/>
      <c r="K26" s="525"/>
      <c r="L26" s="2024"/>
      <c r="M26" s="2014"/>
      <c r="N26" s="2014"/>
      <c r="O26" s="2023"/>
      <c r="P26" s="3546"/>
      <c r="Q26" s="1506"/>
      <c r="R26" s="1507"/>
      <c r="S26" s="1508"/>
      <c r="T26" s="1507"/>
      <c r="U26" s="1508"/>
      <c r="V26" s="1507"/>
      <c r="W26" s="1508"/>
      <c r="X26" s="1501"/>
      <c r="Y26" s="3546"/>
      <c r="Z26" s="1509"/>
      <c r="AA26" s="1510"/>
      <c r="AB26" s="1510"/>
      <c r="AC26" s="1510"/>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46"/>
      <c r="Q27" s="1506" t="str">
        <f t="shared" si="8"/>
        <v>自然及人文环境状况</v>
      </c>
      <c r="R27" s="1507" t="s">
        <v>8</v>
      </c>
      <c r="S27" s="1508">
        <f>F27</f>
        <v>100</v>
      </c>
      <c r="T27" s="1507" t="s">
        <v>8</v>
      </c>
      <c r="U27" s="1508">
        <f>H27</f>
        <v>100</v>
      </c>
      <c r="V27" s="1507" t="s">
        <v>8</v>
      </c>
      <c r="W27" s="1508">
        <f>J27</f>
        <v>100</v>
      </c>
      <c r="X27" s="1501"/>
      <c r="Y27" s="3546"/>
      <c r="Z27" s="1509" t="str">
        <f>Q27</f>
        <v>自然及人文环境状况</v>
      </c>
      <c r="AA27" s="1510">
        <f t="shared" si="3"/>
        <v>1</v>
      </c>
      <c r="AB27" s="1510">
        <f t="shared" si="4"/>
        <v>1</v>
      </c>
      <c r="AC27" s="1510">
        <f t="shared" si="5"/>
        <v>1</v>
      </c>
    </row>
    <row r="28" spans="1:29" ht="20.25">
      <c r="A28" s="509"/>
      <c r="B28" s="560"/>
      <c r="C28" s="3318" t="s">
        <v>3131</v>
      </c>
      <c r="D28" s="551"/>
      <c r="E28" s="3324" t="s">
        <v>3131</v>
      </c>
      <c r="F28" s="549"/>
      <c r="G28" s="3318" t="s">
        <v>3131</v>
      </c>
      <c r="H28" s="549"/>
      <c r="I28" s="3324" t="s">
        <v>3131</v>
      </c>
      <c r="J28" s="549"/>
      <c r="K28" s="525"/>
      <c r="L28" s="2024"/>
      <c r="M28" s="2014"/>
      <c r="N28" s="2014"/>
      <c r="O28" s="2023"/>
      <c r="P28" s="3546"/>
      <c r="Q28" s="1506"/>
      <c r="R28" s="1507"/>
      <c r="S28" s="1508"/>
      <c r="T28" s="1507"/>
      <c r="U28" s="1508"/>
      <c r="V28" s="1507"/>
      <c r="W28" s="1508"/>
      <c r="X28" s="1501"/>
      <c r="Y28" s="3546"/>
      <c r="Z28" s="1509"/>
      <c r="AA28" s="1510">
        <v>1</v>
      </c>
      <c r="AB28" s="1510">
        <v>1</v>
      </c>
      <c r="AC28" s="1510">
        <v>1</v>
      </c>
    </row>
    <row r="29" spans="1:29" s="1202" customFormat="1" ht="42.75">
      <c r="A29" s="571"/>
      <c r="B29" s="2435" t="s">
        <v>2528</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46"/>
      <c r="Q29" s="1133" t="str">
        <f t="shared" si="8"/>
        <v>公共配套设施</v>
      </c>
      <c r="R29" s="1502" t="s">
        <v>8</v>
      </c>
      <c r="S29" s="1503">
        <f>F29</f>
        <v>100</v>
      </c>
      <c r="T29" s="1502" t="s">
        <v>8</v>
      </c>
      <c r="U29" s="1503">
        <f>H29</f>
        <v>100</v>
      </c>
      <c r="V29" s="1502" t="s">
        <v>8</v>
      </c>
      <c r="W29" s="1503">
        <f>J29</f>
        <v>100</v>
      </c>
      <c r="X29" s="1504"/>
      <c r="Y29" s="3546"/>
      <c r="Z29" s="1132" t="str">
        <f>Q29</f>
        <v>公共配套设施</v>
      </c>
      <c r="AA29" s="1510">
        <f>D29/F29</f>
        <v>1</v>
      </c>
      <c r="AB29" s="1510">
        <f>D29/H29</f>
        <v>1</v>
      </c>
      <c r="AC29" s="1510">
        <f>D29/J29</f>
        <v>1</v>
      </c>
    </row>
    <row r="30" spans="1:29" s="1202" customFormat="1" ht="20.25">
      <c r="A30" s="571"/>
      <c r="B30" s="560"/>
      <c r="C30" s="3325" t="s">
        <v>3132</v>
      </c>
      <c r="D30" s="551"/>
      <c r="E30" s="3324" t="s">
        <v>3130</v>
      </c>
      <c r="F30" s="549"/>
      <c r="G30" s="3318" t="s">
        <v>3130</v>
      </c>
      <c r="H30" s="549"/>
      <c r="I30" s="3324" t="s">
        <v>3130</v>
      </c>
      <c r="J30" s="549"/>
      <c r="K30" s="525"/>
      <c r="L30" s="2017"/>
      <c r="M30" s="2014"/>
      <c r="N30" s="2014"/>
      <c r="O30" s="2019"/>
      <c r="P30" s="3546"/>
      <c r="Q30" s="1133"/>
      <c r="R30" s="1502"/>
      <c r="S30" s="1503"/>
      <c r="T30" s="1502"/>
      <c r="U30" s="1503"/>
      <c r="V30" s="1502"/>
      <c r="W30" s="1503"/>
      <c r="X30" s="1504"/>
      <c r="Y30" s="3546"/>
      <c r="Z30" s="1132"/>
      <c r="AA30" s="1510">
        <v>1</v>
      </c>
      <c r="AB30" s="1510">
        <v>1</v>
      </c>
      <c r="AC30" s="1510">
        <v>1</v>
      </c>
    </row>
    <row r="31" spans="1:29" s="1202" customFormat="1" ht="28.5">
      <c r="A31" s="571"/>
      <c r="B31" s="2435" t="s">
        <v>2529</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46"/>
      <c r="Q31" s="2428" t="str">
        <f t="shared" ref="Q31" si="9">B31</f>
        <v>基础设施水平</v>
      </c>
      <c r="R31" s="1502" t="s">
        <v>8</v>
      </c>
      <c r="S31" s="1503">
        <f>F31</f>
        <v>100</v>
      </c>
      <c r="T31" s="1502" t="s">
        <v>8</v>
      </c>
      <c r="U31" s="1503">
        <f>H31</f>
        <v>100</v>
      </c>
      <c r="V31" s="1502" t="s">
        <v>8</v>
      </c>
      <c r="W31" s="1503">
        <f>J31</f>
        <v>100</v>
      </c>
      <c r="X31" s="1504"/>
      <c r="Y31" s="3546"/>
      <c r="Z31" s="2427" t="str">
        <f>Q31</f>
        <v>基础设施水平</v>
      </c>
      <c r="AA31" s="1510">
        <f>D31/F31</f>
        <v>1</v>
      </c>
      <c r="AB31" s="1510">
        <f>D31/H31</f>
        <v>1</v>
      </c>
      <c r="AC31" s="1510">
        <f>D31/J31</f>
        <v>1</v>
      </c>
    </row>
    <row r="32" spans="1:29" s="1202" customFormat="1" ht="20.25">
      <c r="A32" s="571"/>
      <c r="B32" s="560"/>
      <c r="C32" s="3325" t="s">
        <v>3133</v>
      </c>
      <c r="D32" s="551"/>
      <c r="E32" s="3326" t="s">
        <v>3133</v>
      </c>
      <c r="F32" s="549"/>
      <c r="G32" s="3325" t="s">
        <v>3133</v>
      </c>
      <c r="H32" s="549"/>
      <c r="I32" s="3325" t="s">
        <v>3133</v>
      </c>
      <c r="J32" s="549"/>
      <c r="K32" s="525"/>
      <c r="L32" s="2017"/>
      <c r="M32" s="2014"/>
      <c r="N32" s="2014"/>
      <c r="O32" s="2019"/>
      <c r="P32" s="3546"/>
      <c r="Q32" s="2428"/>
      <c r="R32" s="1502"/>
      <c r="S32" s="1503"/>
      <c r="T32" s="1502"/>
      <c r="U32" s="1503"/>
      <c r="V32" s="1502"/>
      <c r="W32" s="1503"/>
      <c r="X32" s="1504"/>
      <c r="Y32" s="3546"/>
      <c r="Z32" s="2427"/>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46"/>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46"/>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46"/>
      <c r="Q34" s="1506" t="str">
        <f t="shared" si="8"/>
        <v>毗邻道路的类型与等级</v>
      </c>
      <c r="R34" s="1507" t="s">
        <v>8</v>
      </c>
      <c r="S34" s="1508">
        <f t="shared" si="10"/>
        <v>100</v>
      </c>
      <c r="T34" s="1507" t="s">
        <v>8</v>
      </c>
      <c r="U34" s="1508">
        <f t="shared" si="11"/>
        <v>100</v>
      </c>
      <c r="V34" s="1507" t="s">
        <v>8</v>
      </c>
      <c r="W34" s="1508">
        <f t="shared" si="12"/>
        <v>100</v>
      </c>
      <c r="X34" s="1501"/>
      <c r="Y34" s="3546"/>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546"/>
      <c r="Q35" s="1506"/>
      <c r="R35" s="1507"/>
      <c r="S35" s="1508"/>
      <c r="T35" s="1507"/>
      <c r="U35" s="1508"/>
      <c r="V35" s="1507"/>
      <c r="W35" s="1508"/>
      <c r="X35" s="1501"/>
      <c r="Y35" s="3546"/>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46"/>
      <c r="Q36" s="1506" t="str">
        <f t="shared" si="8"/>
        <v>土地级别</v>
      </c>
      <c r="R36" s="1507" t="s">
        <v>8</v>
      </c>
      <c r="S36" s="1508">
        <f t="shared" si="10"/>
        <v>100</v>
      </c>
      <c r="T36" s="1507" t="s">
        <v>8</v>
      </c>
      <c r="U36" s="1508">
        <f t="shared" si="11"/>
        <v>100</v>
      </c>
      <c r="V36" s="1507" t="s">
        <v>8</v>
      </c>
      <c r="W36" s="1508">
        <f t="shared" si="12"/>
        <v>100</v>
      </c>
      <c r="X36" s="1501"/>
      <c r="Y36" s="3546"/>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46"/>
      <c r="Q37" s="1506">
        <f t="shared" si="8"/>
        <v>111</v>
      </c>
      <c r="R37" s="1507" t="s">
        <v>8</v>
      </c>
      <c r="S37" s="1508">
        <f t="shared" si="10"/>
        <v>100</v>
      </c>
      <c r="T37" s="1507" t="s">
        <v>8</v>
      </c>
      <c r="U37" s="1508">
        <f t="shared" si="11"/>
        <v>100</v>
      </c>
      <c r="V37" s="1507" t="s">
        <v>8</v>
      </c>
      <c r="W37" s="1508">
        <f t="shared" si="12"/>
        <v>100</v>
      </c>
      <c r="X37" s="1501"/>
      <c r="Y37" s="3546"/>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47" t="s">
        <v>544</v>
      </c>
      <c r="Q38" s="1506">
        <f t="shared" si="8"/>
        <v>111</v>
      </c>
      <c r="R38" s="1507" t="s">
        <v>8</v>
      </c>
      <c r="S38" s="1508">
        <f t="shared" si="10"/>
        <v>100</v>
      </c>
      <c r="T38" s="1507" t="s">
        <v>8</v>
      </c>
      <c r="U38" s="1508">
        <f t="shared" si="11"/>
        <v>100</v>
      </c>
      <c r="V38" s="1507" t="s">
        <v>8</v>
      </c>
      <c r="W38" s="1508">
        <f t="shared" si="12"/>
        <v>100</v>
      </c>
      <c r="X38" s="1501"/>
      <c r="Y38" s="3548" t="s">
        <v>544</v>
      </c>
      <c r="Z38" s="1509">
        <f t="shared" si="13"/>
        <v>111</v>
      </c>
      <c r="AA38" s="1510">
        <f t="shared" si="3"/>
        <v>1</v>
      </c>
      <c r="AB38" s="1510">
        <f t="shared" si="4"/>
        <v>1</v>
      </c>
      <c r="AC38" s="1510">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48"/>
      <c r="Q39" s="1506">
        <f t="shared" si="8"/>
        <v>111</v>
      </c>
      <c r="R39" s="1511" t="s">
        <v>8</v>
      </c>
      <c r="S39" s="1512">
        <f t="shared" si="10"/>
        <v>100</v>
      </c>
      <c r="T39" s="1511" t="s">
        <v>8</v>
      </c>
      <c r="U39" s="1512">
        <f t="shared" si="11"/>
        <v>100</v>
      </c>
      <c r="V39" s="1511" t="s">
        <v>8</v>
      </c>
      <c r="W39" s="1512">
        <f t="shared" si="12"/>
        <v>100</v>
      </c>
      <c r="X39" s="1513"/>
      <c r="Y39" s="3548"/>
      <c r="Z39" s="1514">
        <f t="shared" si="13"/>
        <v>111</v>
      </c>
      <c r="AA39" s="1510">
        <f t="shared" si="3"/>
        <v>1</v>
      </c>
      <c r="AB39" s="1510">
        <f t="shared" si="4"/>
        <v>1</v>
      </c>
      <c r="AC39" s="1510">
        <f t="shared" si="5"/>
        <v>1</v>
      </c>
    </row>
    <row r="40" spans="1:29" ht="20.25">
      <c r="A40" s="2624" t="s">
        <v>2734</v>
      </c>
      <c r="B40" s="589" t="s">
        <v>546</v>
      </c>
      <c r="C40" s="590">
        <f>'数据-基础表'!A3</f>
        <v>54426.77</v>
      </c>
      <c r="D40" s="591">
        <v>100</v>
      </c>
      <c r="E40" s="590">
        <f>土地案例!D36</f>
        <v>34518.15</v>
      </c>
      <c r="F40" s="591">
        <f>LOOKUP(E40,119:119,120:120)-LOOKUP(C40,119:119,120:120)+100</f>
        <v>98</v>
      </c>
      <c r="G40" s="590">
        <f>土地案例!D45</f>
        <v>9959.77</v>
      </c>
      <c r="H40" s="591">
        <f>LOOKUP(G40,119:119,120:120)-LOOKUP(C40,119:119,120:120)+100</f>
        <v>95</v>
      </c>
      <c r="I40" s="592">
        <f>土地案例!D63</f>
        <v>64219.97</v>
      </c>
      <c r="J40" s="591">
        <f>LOOKUP(I40,119:119,120:120)-LOOKUP(C40,119:119,120:120)+100</f>
        <v>101</v>
      </c>
      <c r="K40" s="575"/>
      <c r="L40" s="2024"/>
      <c r="M40" s="2014"/>
      <c r="N40" s="2014"/>
      <c r="O40" s="2023"/>
      <c r="P40" s="3548"/>
      <c r="Q40" s="1506" t="str">
        <f>B40</f>
        <v>宗地面积</v>
      </c>
      <c r="R40" s="1507" t="s">
        <v>8</v>
      </c>
      <c r="S40" s="1508">
        <f t="shared" si="10"/>
        <v>98</v>
      </c>
      <c r="T40" s="1507" t="s">
        <v>8</v>
      </c>
      <c r="U40" s="1508">
        <f t="shared" si="11"/>
        <v>95</v>
      </c>
      <c r="V40" s="1507" t="s">
        <v>8</v>
      </c>
      <c r="W40" s="1508">
        <f t="shared" si="12"/>
        <v>101</v>
      </c>
      <c r="X40" s="1501"/>
      <c r="Y40" s="3548"/>
      <c r="Z40" s="1509" t="str">
        <f t="shared" si="13"/>
        <v>宗地面积</v>
      </c>
      <c r="AA40" s="1510">
        <f t="shared" si="3"/>
        <v>1.0204081632653061</v>
      </c>
      <c r="AB40" s="1510">
        <f t="shared" si="4"/>
        <v>1.0526315789473684</v>
      </c>
      <c r="AC40" s="1510">
        <f t="shared" si="5"/>
        <v>0.99009900990099009</v>
      </c>
    </row>
    <row r="41" spans="1:29" ht="20.25">
      <c r="A41" s="588"/>
      <c r="B41" s="521" t="s">
        <v>547</v>
      </c>
      <c r="C41" s="3327" t="s">
        <v>3134</v>
      </c>
      <c r="D41" s="534">
        <v>100</v>
      </c>
      <c r="E41" s="3327" t="s">
        <v>3134</v>
      </c>
      <c r="F41" s="534">
        <f>SUMIF(121:121,E41,122:122)-SUMIF(121:121,C41,122:122)+100</f>
        <v>100</v>
      </c>
      <c r="G41" s="3327" t="s">
        <v>3134</v>
      </c>
      <c r="H41" s="534">
        <f>SUMIF(121:121,G41,122:122)-SUMIF(121:121,C41,122:122)+100</f>
        <v>100</v>
      </c>
      <c r="I41" s="3327" t="s">
        <v>3134</v>
      </c>
      <c r="J41" s="534">
        <f>SUMIF(121:121,I41,122:122)-SUMIF(121:121,C41,122:122)+100</f>
        <v>100</v>
      </c>
      <c r="K41" s="578"/>
      <c r="L41" s="2024"/>
      <c r="M41" s="2014"/>
      <c r="N41" s="2014"/>
      <c r="O41" s="2023"/>
      <c r="P41" s="3548"/>
      <c r="Q41" s="1506" t="str">
        <f t="shared" ref="Q41:Q47" si="14">B41</f>
        <v>宗地形状</v>
      </c>
      <c r="R41" s="1507" t="s">
        <v>8</v>
      </c>
      <c r="S41" s="1508">
        <f t="shared" si="10"/>
        <v>100</v>
      </c>
      <c r="T41" s="1507" t="s">
        <v>8</v>
      </c>
      <c r="U41" s="1508">
        <f t="shared" si="11"/>
        <v>100</v>
      </c>
      <c r="V41" s="1507" t="s">
        <v>8</v>
      </c>
      <c r="W41" s="1508">
        <f t="shared" si="12"/>
        <v>100</v>
      </c>
      <c r="X41" s="1501"/>
      <c r="Y41" s="3548"/>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48"/>
      <c r="Q42" s="1506" t="str">
        <f t="shared" si="14"/>
        <v>临街宽度及深度</v>
      </c>
      <c r="R42" s="1507" t="s">
        <v>8</v>
      </c>
      <c r="S42" s="1508">
        <f t="shared" si="10"/>
        <v>100</v>
      </c>
      <c r="T42" s="1507" t="s">
        <v>8</v>
      </c>
      <c r="U42" s="1508">
        <f t="shared" si="11"/>
        <v>100</v>
      </c>
      <c r="V42" s="1507" t="s">
        <v>8</v>
      </c>
      <c r="W42" s="1508">
        <f t="shared" si="12"/>
        <v>100</v>
      </c>
      <c r="X42" s="1501"/>
      <c r="Y42" s="3548"/>
      <c r="Z42" s="1509" t="str">
        <f t="shared" si="13"/>
        <v>临街宽度及深度</v>
      </c>
      <c r="AA42" s="1510">
        <f t="shared" si="3"/>
        <v>1</v>
      </c>
      <c r="AB42" s="1510">
        <f t="shared" si="4"/>
        <v>1</v>
      </c>
      <c r="AC42" s="1510">
        <f t="shared" si="5"/>
        <v>1</v>
      </c>
    </row>
    <row r="43" spans="1:29" s="1202" customFormat="1" ht="20.25">
      <c r="A43" s="594"/>
      <c r="B43" s="1809" t="s">
        <v>2408</v>
      </c>
      <c r="C43" s="3328" t="s">
        <v>3135</v>
      </c>
      <c r="D43" s="253">
        <v>100</v>
      </c>
      <c r="E43" s="3328" t="s">
        <v>3135</v>
      </c>
      <c r="F43" s="534">
        <f>SUMIF(125:125,E43,126:126)-SUMIF(125:125,C43,126:126)+100</f>
        <v>100</v>
      </c>
      <c r="G43" s="3328" t="s">
        <v>3136</v>
      </c>
      <c r="H43" s="534">
        <f>SUMIF(125:125,G43,126:126)-SUMIF(125:125,C43,126:126)+100</f>
        <v>100</v>
      </c>
      <c r="I43" s="3328" t="s">
        <v>3135</v>
      </c>
      <c r="J43" s="534">
        <f>SUMIF(125:125,I43,126:126)-SUMIF(125:125,C43,126:126)+100</f>
        <v>100</v>
      </c>
      <c r="K43" s="578"/>
      <c r="L43" s="2017"/>
      <c r="M43" s="2014"/>
      <c r="N43" s="2014"/>
      <c r="O43" s="2019"/>
      <c r="P43" s="3548"/>
      <c r="Q43" s="1506" t="str">
        <f t="shared" si="14"/>
        <v>宗地开发程度</v>
      </c>
      <c r="R43" s="1502" t="s">
        <v>8</v>
      </c>
      <c r="S43" s="1503">
        <f t="shared" si="10"/>
        <v>100</v>
      </c>
      <c r="T43" s="1502" t="s">
        <v>8</v>
      </c>
      <c r="U43" s="1503">
        <f t="shared" si="11"/>
        <v>100</v>
      </c>
      <c r="V43" s="1502" t="s">
        <v>8</v>
      </c>
      <c r="W43" s="1503">
        <f t="shared" si="12"/>
        <v>100</v>
      </c>
      <c r="X43" s="1504"/>
      <c r="Y43" s="3548"/>
      <c r="Z43" s="1132" t="str">
        <f t="shared" si="13"/>
        <v>宗地开发程度</v>
      </c>
      <c r="AA43" s="1505">
        <f t="shared" si="3"/>
        <v>1</v>
      </c>
      <c r="AB43" s="1505">
        <f t="shared" si="4"/>
        <v>1</v>
      </c>
      <c r="AC43" s="1505">
        <f t="shared" si="5"/>
        <v>1</v>
      </c>
    </row>
    <row r="44" spans="1:29" ht="20.25">
      <c r="A44" s="588"/>
      <c r="B44" s="521" t="s">
        <v>549</v>
      </c>
      <c r="C44" s="3327" t="s">
        <v>3131</v>
      </c>
      <c r="D44" s="534">
        <v>100</v>
      </c>
      <c r="E44" s="3327" t="s">
        <v>3131</v>
      </c>
      <c r="F44" s="534">
        <f>SUMIF(127:127,E44,128:128)-SUMIF(127:127,C44,128:128)+100</f>
        <v>100</v>
      </c>
      <c r="G44" s="3327" t="s">
        <v>3131</v>
      </c>
      <c r="H44" s="534">
        <f>SUMIF(127:127,G44,128:128)-SUMIF(127:127,C44,128:128)+100</f>
        <v>100</v>
      </c>
      <c r="I44" s="3327" t="s">
        <v>3131</v>
      </c>
      <c r="J44" s="534">
        <f>SUMIF(127:127,I44,128:128)-SUMIF(127:127,C44,128:128)+100</f>
        <v>100</v>
      </c>
      <c r="K44" s="578"/>
      <c r="L44" s="2024"/>
      <c r="M44" s="2014"/>
      <c r="N44" s="2014"/>
      <c r="O44" s="2023"/>
      <c r="P44" s="3548" t="s">
        <v>544</v>
      </c>
      <c r="Q44" s="1506" t="str">
        <f t="shared" si="14"/>
        <v>工程地质条件</v>
      </c>
      <c r="R44" s="1507" t="s">
        <v>8</v>
      </c>
      <c r="S44" s="1508">
        <f t="shared" si="10"/>
        <v>100</v>
      </c>
      <c r="T44" s="1507" t="s">
        <v>8</v>
      </c>
      <c r="U44" s="1508">
        <f t="shared" si="11"/>
        <v>100</v>
      </c>
      <c r="V44" s="1507" t="s">
        <v>8</v>
      </c>
      <c r="W44" s="1508">
        <f t="shared" si="12"/>
        <v>100</v>
      </c>
      <c r="X44" s="1501"/>
      <c r="Y44" s="3548"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48"/>
      <c r="Q45" s="1506">
        <f t="shared" si="14"/>
        <v>111</v>
      </c>
      <c r="R45" s="1507" t="s">
        <v>8</v>
      </c>
      <c r="S45" s="1508">
        <f t="shared" si="10"/>
        <v>100</v>
      </c>
      <c r="T45" s="1507" t="s">
        <v>8</v>
      </c>
      <c r="U45" s="1508">
        <f t="shared" si="11"/>
        <v>100</v>
      </c>
      <c r="V45" s="1507" t="s">
        <v>8</v>
      </c>
      <c r="W45" s="1508">
        <f t="shared" si="12"/>
        <v>100</v>
      </c>
      <c r="X45" s="1501"/>
      <c r="Y45" s="3548"/>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48"/>
      <c r="Q46" s="1506">
        <f t="shared" si="14"/>
        <v>111</v>
      </c>
      <c r="R46" s="1507" t="s">
        <v>8</v>
      </c>
      <c r="S46" s="1508">
        <f t="shared" si="10"/>
        <v>100</v>
      </c>
      <c r="T46" s="1507" t="s">
        <v>8</v>
      </c>
      <c r="U46" s="1508">
        <f t="shared" si="11"/>
        <v>100</v>
      </c>
      <c r="V46" s="1507" t="s">
        <v>8</v>
      </c>
      <c r="W46" s="1508">
        <f t="shared" si="12"/>
        <v>100</v>
      </c>
      <c r="X46" s="1501"/>
      <c r="Y46" s="3548"/>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48"/>
      <c r="Q47" s="1506">
        <f t="shared" si="14"/>
        <v>111</v>
      </c>
      <c r="R47" s="1511" t="s">
        <v>8</v>
      </c>
      <c r="S47" s="1512">
        <f t="shared" si="10"/>
        <v>100</v>
      </c>
      <c r="T47" s="1511" t="s">
        <v>8</v>
      </c>
      <c r="U47" s="1512">
        <f t="shared" si="11"/>
        <v>100</v>
      </c>
      <c r="V47" s="1511" t="s">
        <v>8</v>
      </c>
      <c r="W47" s="1512">
        <f t="shared" si="12"/>
        <v>100</v>
      </c>
      <c r="X47" s="1513"/>
      <c r="Y47" s="3548"/>
      <c r="Z47" s="1514">
        <f t="shared" si="13"/>
        <v>111</v>
      </c>
      <c r="AA47" s="1510">
        <f t="shared" si="3"/>
        <v>1</v>
      </c>
      <c r="AB47" s="1510">
        <f t="shared" si="4"/>
        <v>1</v>
      </c>
      <c r="AC47" s="1510">
        <f t="shared" si="5"/>
        <v>1</v>
      </c>
    </row>
    <row r="48" spans="1:29" ht="20.25">
      <c r="A48" s="601" t="s">
        <v>550</v>
      </c>
      <c r="B48" s="602" t="s">
        <v>3139</v>
      </c>
      <c r="C48" s="603" t="s">
        <v>1</v>
      </c>
      <c r="D48" s="604"/>
      <c r="E48" s="605">
        <v>1870</v>
      </c>
      <c r="F48" s="606"/>
      <c r="G48" s="607">
        <v>1702</v>
      </c>
      <c r="H48" s="608"/>
      <c r="I48" s="605">
        <v>1877</v>
      </c>
      <c r="J48" s="608"/>
      <c r="K48" s="1293"/>
      <c r="L48" s="2026"/>
      <c r="M48" s="2014"/>
      <c r="N48" s="2014"/>
      <c r="O48" s="2027"/>
      <c r="P48" s="3543" t="str">
        <f>A48</f>
        <v>成交单价</v>
      </c>
      <c r="Q48" s="3543"/>
      <c r="R48" s="3557">
        <f>E48</f>
        <v>1870</v>
      </c>
      <c r="S48" s="3557"/>
      <c r="T48" s="3557">
        <f>G48</f>
        <v>1702</v>
      </c>
      <c r="U48" s="3557"/>
      <c r="V48" s="3557">
        <f>I48</f>
        <v>1877</v>
      </c>
      <c r="W48" s="3557"/>
      <c r="X48" s="1496"/>
      <c r="Y48" s="1515"/>
      <c r="Z48" s="1496"/>
      <c r="AA48" s="1496"/>
      <c r="AB48" s="1496"/>
      <c r="AC48" s="1496"/>
    </row>
    <row r="49" spans="1:29" ht="21" thickBot="1">
      <c r="A49" s="609" t="s">
        <v>2672</v>
      </c>
      <c r="B49" s="610"/>
      <c r="C49" s="611">
        <f>R50</f>
        <v>1897</v>
      </c>
      <c r="D49" s="3014" t="s">
        <v>2965</v>
      </c>
      <c r="E49" s="611">
        <f>R49</f>
        <v>1937</v>
      </c>
      <c r="F49" s="3015"/>
      <c r="G49" s="612">
        <f>T49</f>
        <v>1838</v>
      </c>
      <c r="H49" s="3015"/>
      <c r="I49" s="611">
        <f>V49</f>
        <v>1917</v>
      </c>
      <c r="J49" s="3015"/>
      <c r="K49" s="3016">
        <f>F49+H49+J49</f>
        <v>0</v>
      </c>
      <c r="L49" s="2026"/>
      <c r="M49" s="2014"/>
      <c r="N49" s="2014"/>
      <c r="O49" s="2027"/>
      <c r="P49" s="3543" t="str">
        <f>A49</f>
        <v>比较价格（元/平方米）</v>
      </c>
      <c r="Q49" s="3543"/>
      <c r="R49" s="3567">
        <f>ROUND(PRODUCT(R48,AA9:AA47),0)</f>
        <v>1937</v>
      </c>
      <c r="S49" s="3567"/>
      <c r="T49" s="3567">
        <f>ROUND(PRODUCT(T48,AB9:AB47),0)</f>
        <v>1838</v>
      </c>
      <c r="U49" s="3567"/>
      <c r="V49" s="3567">
        <f>ROUND(PRODUCT(V48,AC9:AC47),0)</f>
        <v>1917</v>
      </c>
      <c r="W49" s="3567"/>
      <c r="X49" s="1496"/>
      <c r="Y49" s="1496"/>
      <c r="Z49" s="1496"/>
      <c r="AA49" s="1496"/>
      <c r="AB49" s="1496"/>
      <c r="AC49" s="1496"/>
    </row>
    <row r="50" spans="1:29" ht="21" thickBot="1">
      <c r="A50" s="613" t="s">
        <v>2897</v>
      </c>
      <c r="B50" s="614"/>
      <c r="C50" s="615">
        <f>R50</f>
        <v>1897</v>
      </c>
      <c r="D50" s="615"/>
      <c r="E50" s="615"/>
      <c r="F50" s="615"/>
      <c r="G50" s="615"/>
      <c r="H50" s="615"/>
      <c r="I50" s="615"/>
      <c r="J50" s="615"/>
      <c r="K50" s="1294"/>
      <c r="L50" s="2026"/>
      <c r="M50" s="2014"/>
      <c r="N50" s="2014"/>
      <c r="O50" s="2027"/>
      <c r="P50" s="3564" t="str">
        <f>A50</f>
        <v>估价对象XX用房的比较价格（楼面单价，元/平方米）</v>
      </c>
      <c r="Q50" s="3565"/>
      <c r="R50" s="3566">
        <f>ROUND(IF(D49="简单平均",AVERAGE(R49:W49),R49*F49+T49*H49+V49*J49),0)</f>
        <v>1897</v>
      </c>
      <c r="S50" s="3566"/>
      <c r="T50" s="3566"/>
      <c r="U50" s="3566"/>
      <c r="V50" s="3566"/>
      <c r="W50" s="3566"/>
      <c r="X50" s="1496"/>
      <c r="Y50" s="1496"/>
      <c r="Z50" s="1496"/>
      <c r="AA50" s="1496"/>
      <c r="AB50" s="1496"/>
      <c r="AC50" s="1496"/>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f>IF(E48&lt;E49,E49/E48-1,E48/E49-1)</f>
        <v>3.5828877005347648E-2</v>
      </c>
      <c r="F53" s="619" t="str">
        <f>IF(OR(E53&gt;=0.3,E53&lt;=-0.3),"超过30%","")</f>
        <v/>
      </c>
      <c r="G53" s="618">
        <f>IF(G48&lt;G49,G49/G48-1,G48/G49-1)</f>
        <v>7.9905992949471205E-2</v>
      </c>
      <c r="H53" s="619" t="str">
        <f>IF(OR(G53&gt;=0.3,G53&lt;=-0.3),"超过30%","")</f>
        <v/>
      </c>
      <c r="I53" s="618">
        <f>IF(I48&lt;I49,I49/I48-1,I48/I49-1)</f>
        <v>2.1310602024507297E-2</v>
      </c>
      <c r="J53" s="619" t="str">
        <f>IF(OR(I53&gt;=0.3,I53&lt;=-0.3),"超过30%","")</f>
        <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f>IF(E49&lt;G49,G49/E49-1,E49/G49-1)</f>
        <v>5.3862894450489751E-2</v>
      </c>
      <c r="F54" s="619" t="str">
        <f>IF(OR(E54&gt;=0.2,E54&lt;=-0.2),"超过20%","")</f>
        <v/>
      </c>
      <c r="G54" s="618">
        <f>IF(G49&lt;I49,I49/G49-1,G49/I49-1)</f>
        <v>4.2981501632208818E-2</v>
      </c>
      <c r="H54" s="619" t="str">
        <f>IF(OR(G54&gt;=0.2,G54&lt;=-0.2),"超过20%","")</f>
        <v/>
      </c>
      <c r="I54" s="618">
        <f>IF(I49&lt;E49,E49/I49-1,I49/E49-1)</f>
        <v>1.0432968179447055E-2</v>
      </c>
      <c r="J54" s="619" t="str">
        <f>IF(OR(I54&gt;=0.2,I54&lt;=-0.2),"超过20%","")</f>
        <v/>
      </c>
      <c r="K54" s="3217"/>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5"/>
      <c r="B55" s="3215"/>
      <c r="C55" s="616" t="s">
        <v>553</v>
      </c>
      <c r="D55" s="620"/>
      <c r="E55" s="618">
        <f>IF(E48&lt;G48,G48/E48-1,E48/G48-1)</f>
        <v>9.870740305522907E-2</v>
      </c>
      <c r="F55" s="619" t="str">
        <f>IF(OR(E55&gt;=0.3,E55&lt;=-0.3),"超过30%","")</f>
        <v/>
      </c>
      <c r="G55" s="618">
        <f>IF(G48&lt;I48,I48/G48-1,G48/I48-1)</f>
        <v>0.10282021151586362</v>
      </c>
      <c r="H55" s="619" t="str">
        <f>IF(OR(G55&gt;=0.3,G55&lt;=-0.3),"超过30%","")</f>
        <v/>
      </c>
      <c r="I55" s="618">
        <f>IF(I48&lt;E48,E48/I48-1,I48/E48-1)</f>
        <v>3.7433155080213165E-3</v>
      </c>
      <c r="J55" s="619" t="str">
        <f>IF(OR(I55&gt;=0.3,I55&lt;=-0.3),"超过30%","")</f>
        <v/>
      </c>
      <c r="K55" s="3218"/>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1714</v>
      </c>
      <c r="D57" s="2107" t="s">
        <v>2280</v>
      </c>
      <c r="E57" s="623" t="s">
        <v>556</v>
      </c>
      <c r="F57" s="624" t="s">
        <v>557</v>
      </c>
      <c r="G57" s="3527" t="s">
        <v>2268</v>
      </c>
      <c r="H57" s="3528"/>
      <c r="I57" s="1493" t="s">
        <v>1712</v>
      </c>
      <c r="J57" s="1493">
        <f>项目基本情况!F41</f>
        <v>0</v>
      </c>
      <c r="K57" s="2035" t="s">
        <v>1713</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558</v>
      </c>
      <c r="B58" s="626">
        <f>C50</f>
        <v>1897</v>
      </c>
      <c r="C58" s="627">
        <v>1</v>
      </c>
      <c r="D58" s="2108">
        <v>1</v>
      </c>
      <c r="E58" s="627">
        <f>'数据-汇总表'!E8+'数据-汇总表'!E9</f>
        <v>136066.92000000001</v>
      </c>
      <c r="F58" s="628">
        <f t="shared" ref="F58:F67" si="15">ROUND(B58*E58/10000,0)</f>
        <v>25812</v>
      </c>
      <c r="G58" s="3529"/>
      <c r="H58" s="3530"/>
      <c r="I58" s="1494">
        <v>1</v>
      </c>
      <c r="J58" s="1494">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559</v>
      </c>
      <c r="B59" s="630">
        <f>ROUND($C$50*C59*D59,0)</f>
        <v>0</v>
      </c>
      <c r="C59" s="372">
        <f t="shared" ref="C59:C67" si="16">IF($C$57="北京市系数",I59,J59)</f>
        <v>0</v>
      </c>
      <c r="D59" s="2109">
        <v>0.25</v>
      </c>
      <c r="E59" s="631">
        <v>0</v>
      </c>
      <c r="F59" s="628">
        <f t="shared" si="15"/>
        <v>0</v>
      </c>
      <c r="G59" s="3531" t="s">
        <v>2269</v>
      </c>
      <c r="H59" s="1862">
        <f>项目基本情况!B43</f>
        <v>0</v>
      </c>
      <c r="I59" s="1494">
        <f>SUMIF(修正!$A$45:$A$56,H59,修正!B45:B56)</f>
        <v>0</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560</v>
      </c>
      <c r="B60" s="630">
        <f t="shared" ref="B60:B67" si="17">ROUND($C$50*C60*D60,0)</f>
        <v>0</v>
      </c>
      <c r="C60" s="372">
        <f t="shared" si="16"/>
        <v>0</v>
      </c>
      <c r="D60" s="2109">
        <v>0.25</v>
      </c>
      <c r="E60" s="631">
        <v>0</v>
      </c>
      <c r="F60" s="628">
        <f t="shared" si="15"/>
        <v>0</v>
      </c>
      <c r="G60" s="3531"/>
      <c r="H60" s="1862">
        <f>项目基本情况!B43</f>
        <v>0</v>
      </c>
      <c r="I60" s="1494">
        <f>SUMIF(修正!$A$45:$A$56,H60,修正!C45:C56)</f>
        <v>0</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561</v>
      </c>
      <c r="B61" s="630">
        <f t="shared" si="17"/>
        <v>0</v>
      </c>
      <c r="C61" s="372">
        <f t="shared" si="16"/>
        <v>0</v>
      </c>
      <c r="D61" s="2109">
        <v>0.25</v>
      </c>
      <c r="E61" s="631">
        <v>0</v>
      </c>
      <c r="F61" s="628">
        <f t="shared" si="15"/>
        <v>0</v>
      </c>
      <c r="G61" s="3531"/>
      <c r="H61" s="1862">
        <f>项目基本情况!B43</f>
        <v>0</v>
      </c>
      <c r="I61" s="1494">
        <f>SUMIF(修正!$A$45:$A$56,H61,修正!D45:D56)</f>
        <v>0</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562</v>
      </c>
      <c r="B62" s="630">
        <f t="shared" si="17"/>
        <v>0</v>
      </c>
      <c r="C62" s="372">
        <f t="shared" si="16"/>
        <v>0</v>
      </c>
      <c r="D62" s="2109">
        <v>0.25</v>
      </c>
      <c r="E62" s="631">
        <v>0</v>
      </c>
      <c r="F62" s="628">
        <f t="shared" si="15"/>
        <v>0</v>
      </c>
      <c r="G62" s="3531"/>
      <c r="H62" s="1862">
        <f>项目基本情况!B43</f>
        <v>0</v>
      </c>
      <c r="I62" s="1494">
        <f>SUMIF(修正!$A$45:$A$56,H62,修正!E45:E56)</f>
        <v>0</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2315</v>
      </c>
      <c r="B63" s="630">
        <f t="shared" si="17"/>
        <v>0</v>
      </c>
      <c r="C63" s="372">
        <f t="shared" si="16"/>
        <v>0</v>
      </c>
      <c r="D63" s="2109">
        <v>0.25</v>
      </c>
      <c r="E63" s="633">
        <f>'数据-汇总表'!E11</f>
        <v>0</v>
      </c>
      <c r="F63" s="628">
        <f t="shared" si="15"/>
        <v>0</v>
      </c>
      <c r="G63" s="1859" t="s">
        <v>2270</v>
      </c>
      <c r="H63" s="1862">
        <f>项目基本情况!C43</f>
        <v>0</v>
      </c>
      <c r="I63" s="1494">
        <f>SUMIF(修正!$A$45:$A$56,H63,修正!F45:F56)</f>
        <v>0</v>
      </c>
      <c r="J63" s="1495"/>
      <c r="K63" s="3219"/>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563</v>
      </c>
      <c r="B64" s="630">
        <f t="shared" si="17"/>
        <v>0</v>
      </c>
      <c r="C64" s="372">
        <f t="shared" si="16"/>
        <v>0</v>
      </c>
      <c r="D64" s="2109">
        <v>0.25</v>
      </c>
      <c r="E64" s="633">
        <f>'数据-汇总表'!E12</f>
        <v>0</v>
      </c>
      <c r="F64" s="628">
        <f t="shared" si="15"/>
        <v>0</v>
      </c>
      <c r="G64" s="1860" t="s">
        <v>1667</v>
      </c>
      <c r="H64" s="1858">
        <f>IF(G64="商业",项目基本情况!B43,IF(G64="办公",项目基本情况!C43,IF(G64="住宅",项目基本情况!D43,项目基本情况!E43)))</f>
        <v>0</v>
      </c>
      <c r="I64" s="1494">
        <f>SUMIF(修正!$A$45:$A$56,H64,修正!G45:G56)</f>
        <v>0</v>
      </c>
      <c r="J64" s="1495"/>
      <c r="K64" s="3219"/>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564</v>
      </c>
      <c r="B65" s="630">
        <f t="shared" si="17"/>
        <v>0</v>
      </c>
      <c r="C65" s="372">
        <f t="shared" si="16"/>
        <v>0</v>
      </c>
      <c r="D65" s="2109">
        <v>0.25</v>
      </c>
      <c r="E65" s="633">
        <f>'数据-汇总表'!E13</f>
        <v>0</v>
      </c>
      <c r="F65" s="628">
        <f t="shared" si="15"/>
        <v>0</v>
      </c>
      <c r="G65" s="1860" t="s">
        <v>913</v>
      </c>
      <c r="H65" s="1858">
        <f>IF(G65="商业",项目基本情况!B43,IF(G65="办公",项目基本情况!C43,IF(G65="住宅",项目基本情况!D43,项目基本情况!E43)))</f>
        <v>0</v>
      </c>
      <c r="I65" s="1494">
        <f>SUMIF(修正!$A$45:$A$56,H65,修正!H45:H56)</f>
        <v>0</v>
      </c>
      <c r="J65" s="1495"/>
      <c r="K65" s="3219"/>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565</v>
      </c>
      <c r="B66" s="630">
        <f t="shared" si="17"/>
        <v>0</v>
      </c>
      <c r="C66" s="372">
        <f t="shared" si="16"/>
        <v>0</v>
      </c>
      <c r="D66" s="2109">
        <v>0.25</v>
      </c>
      <c r="E66" s="633">
        <f>'数据-汇总表'!E14</f>
        <v>0</v>
      </c>
      <c r="F66" s="628">
        <f t="shared" si="15"/>
        <v>0</v>
      </c>
      <c r="G66" s="1859" t="s">
        <v>2269</v>
      </c>
      <c r="H66" s="1862">
        <f>项目基本情况!B43</f>
        <v>0</v>
      </c>
      <c r="I66" s="1494">
        <f>SUMIF(修正!$A$45:$A$56,H66,修正!H45:H56)</f>
        <v>0</v>
      </c>
      <c r="J66" s="1495"/>
      <c r="K66" s="3219"/>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566</v>
      </c>
      <c r="B67" s="630">
        <f t="shared" si="17"/>
        <v>0</v>
      </c>
      <c r="C67" s="372">
        <f t="shared" si="16"/>
        <v>0</v>
      </c>
      <c r="D67" s="2109">
        <v>0.25</v>
      </c>
      <c r="E67" s="633">
        <f>'数据-汇总表'!E15</f>
        <v>0</v>
      </c>
      <c r="F67" s="628">
        <f t="shared" si="15"/>
        <v>0</v>
      </c>
      <c r="G67" s="1861" t="s">
        <v>2270</v>
      </c>
      <c r="H67" s="1863">
        <f>项目基本情况!C43</f>
        <v>0</v>
      </c>
      <c r="I67" s="1494">
        <f>SUMIF(修正!$A$45:$A$56,H67,修正!H45:H56)</f>
        <v>0</v>
      </c>
      <c r="J67" s="1495"/>
      <c r="K67" s="3219"/>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567</v>
      </c>
      <c r="B68" s="635" t="s">
        <v>17</v>
      </c>
      <c r="C68" s="635" t="s">
        <v>18</v>
      </c>
      <c r="D68" s="635" t="s">
        <v>2281</v>
      </c>
      <c r="E68" s="635">
        <f>IF(B48="楼面地价",SUM(E58:E67),'数据-汇总表'!D3)</f>
        <v>136066.92000000001</v>
      </c>
      <c r="F68" s="636">
        <f>IF(B48="楼面地价",SUM(F58:F67),ROUND(C50*E68/10000,0))</f>
        <v>25812</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2021-3-1</v>
      </c>
      <c r="D70" s="2516">
        <f>EDATE(C70,-3)</f>
        <v>44166</v>
      </c>
      <c r="E70" s="2516">
        <f t="shared" ref="E70:N70" si="18">EDATE(D70,-3)</f>
        <v>44075</v>
      </c>
      <c r="F70" s="2516">
        <f t="shared" si="18"/>
        <v>43983</v>
      </c>
      <c r="G70" s="2516">
        <f t="shared" si="18"/>
        <v>43891</v>
      </c>
      <c r="H70" s="2516">
        <f t="shared" si="18"/>
        <v>43800</v>
      </c>
      <c r="I70" s="2516">
        <f t="shared" si="18"/>
        <v>43709</v>
      </c>
      <c r="J70" s="2516">
        <f t="shared" si="18"/>
        <v>43617</v>
      </c>
      <c r="K70" s="2516">
        <f t="shared" si="18"/>
        <v>43525</v>
      </c>
      <c r="L70" s="2516">
        <f t="shared" si="18"/>
        <v>43435</v>
      </c>
      <c r="M70" s="2516">
        <f t="shared" si="18"/>
        <v>43344</v>
      </c>
      <c r="N70" s="2516">
        <f t="shared" si="18"/>
        <v>43252</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2512</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2" customFormat="1" ht="27" customHeight="1">
      <c r="A73" s="2523" t="s">
        <v>2626</v>
      </c>
      <c r="B73" s="473" t="str">
        <f>"北京市平均增长率"&amp;TEXT(SUMIF(基准地价!N21:N25,A73,基准地价!P21:P25),"0.00%")</f>
        <v>北京市平均增长率1.68%</v>
      </c>
      <c r="C73" s="882">
        <v>100</v>
      </c>
      <c r="D73" s="722">
        <v>99.5</v>
      </c>
      <c r="E73" s="722">
        <v>99</v>
      </c>
      <c r="F73" s="722">
        <v>98.5</v>
      </c>
      <c r="G73" s="722">
        <v>98</v>
      </c>
      <c r="H73" s="722">
        <v>97.5</v>
      </c>
      <c r="I73" s="722">
        <v>97</v>
      </c>
      <c r="J73" s="722">
        <v>96.5</v>
      </c>
      <c r="K73" s="722">
        <v>96</v>
      </c>
      <c r="L73" s="722">
        <v>95.5</v>
      </c>
      <c r="M73" s="722">
        <v>95</v>
      </c>
      <c r="N73" s="722">
        <v>94.5</v>
      </c>
      <c r="O73" s="2043"/>
      <c r="P73" s="2039"/>
      <c r="Q73" s="1905"/>
      <c r="R73" s="1905"/>
      <c r="S73" s="1905"/>
      <c r="T73" s="1905"/>
      <c r="U73" s="1905"/>
      <c r="V73" s="1905"/>
      <c r="W73" s="1905"/>
      <c r="X73" s="1905"/>
      <c r="Y73" s="1905"/>
      <c r="Z73" s="1905"/>
      <c r="AA73" s="1905"/>
      <c r="AB73" s="1905"/>
      <c r="AC73" s="1905"/>
    </row>
    <row r="74" spans="1:29" s="1202" customFormat="1" ht="15" customHeight="1" thickBot="1">
      <c r="A74" s="2514" t="s">
        <v>2625</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0">D82&amp;"（含）"&amp;"-"&amp;E82</f>
        <v>1（含）-2</v>
      </c>
      <c r="E81" s="674" t="str">
        <f t="shared" si="20"/>
        <v>2（含）-3</v>
      </c>
      <c r="F81" s="674" t="str">
        <f t="shared" si="20"/>
        <v>3（含）-4</v>
      </c>
      <c r="G81" s="674" t="str">
        <f t="shared" si="20"/>
        <v>4（含）-5</v>
      </c>
      <c r="H81" s="674" t="str">
        <f t="shared" si="20"/>
        <v>5（含）-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v>4</v>
      </c>
      <c r="H82" s="535">
        <v>5</v>
      </c>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99</v>
      </c>
      <c r="E83" s="671">
        <f t="shared" ref="E83:M83" si="21">IF($B$48="单位面积地价",D83+$K13,D83-$K13)</f>
        <v>98</v>
      </c>
      <c r="F83" s="671">
        <f t="shared" si="21"/>
        <v>97</v>
      </c>
      <c r="G83" s="671">
        <f t="shared" si="21"/>
        <v>96</v>
      </c>
      <c r="H83" s="671">
        <f t="shared" si="21"/>
        <v>95</v>
      </c>
      <c r="I83" s="671">
        <f t="shared" si="21"/>
        <v>94</v>
      </c>
      <c r="J83" s="671">
        <f t="shared" si="21"/>
        <v>93</v>
      </c>
      <c r="K83" s="671">
        <f t="shared" si="21"/>
        <v>92</v>
      </c>
      <c r="L83" s="671">
        <f t="shared" si="21"/>
        <v>91</v>
      </c>
      <c r="M83" s="671">
        <f t="shared" si="21"/>
        <v>90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2528</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2530</v>
      </c>
      <c r="C104" s="2442" t="s">
        <v>2531</v>
      </c>
      <c r="D104" s="2442" t="s">
        <v>2532</v>
      </c>
      <c r="E104" s="2442" t="s">
        <v>2533</v>
      </c>
      <c r="F104" s="2442" t="s">
        <v>2534</v>
      </c>
      <c r="G104" s="2442" t="s">
        <v>2535</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5">C119&amp;"(含)"&amp;"-"&amp;D119</f>
        <v>0(含)-10000</v>
      </c>
      <c r="D118" s="696" t="str">
        <f t="shared" si="25"/>
        <v>10000(含)-20000</v>
      </c>
      <c r="E118" s="696" t="str">
        <f t="shared" si="25"/>
        <v>20000(含)-30000</v>
      </c>
      <c r="F118" s="696" t="str">
        <f t="shared" si="25"/>
        <v>30000(含)-40000</v>
      </c>
      <c r="G118" s="696" t="str">
        <f t="shared" si="25"/>
        <v>40000(含)-50000</v>
      </c>
      <c r="H118" s="696" t="str">
        <f t="shared" si="25"/>
        <v>50000(含)-60000</v>
      </c>
      <c r="I118" s="696" t="str">
        <f t="shared" si="25"/>
        <v>60000(含)-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10000</v>
      </c>
      <c r="E119" s="722">
        <v>20000</v>
      </c>
      <c r="F119" s="722">
        <v>30000</v>
      </c>
      <c r="G119" s="722">
        <v>40000</v>
      </c>
      <c r="H119" s="722">
        <v>50000</v>
      </c>
      <c r="I119" s="722">
        <v>60000</v>
      </c>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v>101</v>
      </c>
      <c r="E120" s="718">
        <v>102</v>
      </c>
      <c r="F120" s="718">
        <v>103</v>
      </c>
      <c r="G120" s="718">
        <v>104</v>
      </c>
      <c r="H120" s="718">
        <v>105</v>
      </c>
      <c r="I120" s="718">
        <v>106</v>
      </c>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2409</v>
      </c>
      <c r="C125" s="1326"/>
      <c r="D125" s="1326"/>
      <c r="E125" s="1326"/>
      <c r="F125" s="1326"/>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6"/>
  <sheetViews>
    <sheetView zoomScale="80" zoomScaleNormal="80" workbookViewId="0">
      <selection activeCell="Q21" sqref="Q21"/>
    </sheetView>
  </sheetViews>
  <sheetFormatPr defaultRowHeight="13.5"/>
  <cols>
    <col min="1" max="1" width="16.25" customWidth="1"/>
    <col min="6" max="6" width="17.625" customWidth="1"/>
    <col min="15" max="15" width="21.25" customWidth="1"/>
  </cols>
  <sheetData>
    <row r="1" spans="1:16">
      <c r="A1" s="3310" t="s">
        <v>3007</v>
      </c>
      <c r="B1" s="3310" t="s">
        <v>3008</v>
      </c>
      <c r="C1" s="3310" t="s">
        <v>3009</v>
      </c>
      <c r="D1" s="3310" t="s">
        <v>3010</v>
      </c>
      <c r="E1" s="3310" t="s">
        <v>3011</v>
      </c>
      <c r="F1" s="3310" t="s">
        <v>2020</v>
      </c>
      <c r="G1" s="3310" t="s">
        <v>3012</v>
      </c>
      <c r="H1" s="3310" t="s">
        <v>3013</v>
      </c>
      <c r="I1" s="3310" t="s">
        <v>3014</v>
      </c>
      <c r="J1" s="3310" t="s">
        <v>3015</v>
      </c>
      <c r="K1" s="3310" t="s">
        <v>3016</v>
      </c>
      <c r="L1" s="3310" t="s">
        <v>3017</v>
      </c>
      <c r="M1" s="3310" t="s">
        <v>3018</v>
      </c>
      <c r="N1" s="3310" t="s">
        <v>3019</v>
      </c>
      <c r="O1" s="3310" t="s">
        <v>3020</v>
      </c>
      <c r="P1" s="3310" t="s">
        <v>3021</v>
      </c>
    </row>
    <row r="2" spans="1:16">
      <c r="A2" s="3310" t="s">
        <v>3022</v>
      </c>
      <c r="B2" s="3310" t="s">
        <v>3023</v>
      </c>
      <c r="C2" s="3310" t="s">
        <v>3024</v>
      </c>
      <c r="D2" s="3310">
        <v>18075.689999999999</v>
      </c>
      <c r="E2" s="3310">
        <v>36151.379999999997</v>
      </c>
      <c r="F2" s="3310" t="s">
        <v>3025</v>
      </c>
      <c r="G2" s="3310" t="s">
        <v>3026</v>
      </c>
      <c r="H2" s="3310" t="s">
        <v>3027</v>
      </c>
      <c r="I2" s="3310" t="s">
        <v>3028</v>
      </c>
      <c r="J2" s="3310" t="s">
        <v>3028</v>
      </c>
      <c r="K2" s="3310">
        <v>7591</v>
      </c>
      <c r="L2" s="3310">
        <v>7630</v>
      </c>
      <c r="M2" s="3310">
        <v>2110.5700000000002</v>
      </c>
      <c r="N2" s="3310">
        <v>0.51</v>
      </c>
      <c r="O2" s="3310" t="s">
        <v>3029</v>
      </c>
      <c r="P2" s="3310" t="s">
        <v>3030</v>
      </c>
    </row>
    <row r="3" spans="1:16">
      <c r="A3" s="3310" t="s">
        <v>3031</v>
      </c>
      <c r="B3" s="3310" t="s">
        <v>3023</v>
      </c>
      <c r="C3" s="3310" t="s">
        <v>3024</v>
      </c>
      <c r="D3" s="3310">
        <v>51830.5</v>
      </c>
      <c r="E3" s="3310">
        <v>103661</v>
      </c>
      <c r="F3" s="3310" t="s">
        <v>3025</v>
      </c>
      <c r="G3" s="3310" t="s">
        <v>3026</v>
      </c>
      <c r="H3" s="3310" t="s">
        <v>3027</v>
      </c>
      <c r="I3" s="3310" t="s">
        <v>3028</v>
      </c>
      <c r="J3" s="3310" t="s">
        <v>3028</v>
      </c>
      <c r="K3" s="3310">
        <v>21770</v>
      </c>
      <c r="L3" s="3310">
        <v>21800</v>
      </c>
      <c r="M3" s="3310">
        <v>2103.0100000000002</v>
      </c>
      <c r="N3" s="3310">
        <v>0.14000000000000001</v>
      </c>
      <c r="O3" s="3310" t="s">
        <v>3029</v>
      </c>
      <c r="P3" s="3310" t="s">
        <v>3030</v>
      </c>
    </row>
    <row r="4" spans="1:16">
      <c r="A4" s="3310" t="s">
        <v>3032</v>
      </c>
      <c r="B4" s="3310" t="s">
        <v>3023</v>
      </c>
      <c r="C4" s="3310" t="s">
        <v>3024</v>
      </c>
      <c r="D4" s="3310">
        <v>24763.42</v>
      </c>
      <c r="E4" s="3310">
        <v>49526.84</v>
      </c>
      <c r="F4" s="3310" t="s">
        <v>3025</v>
      </c>
      <c r="G4" s="3310" t="s">
        <v>3026</v>
      </c>
      <c r="H4" s="3310" t="s">
        <v>3027</v>
      </c>
      <c r="I4" s="3310" t="s">
        <v>3028</v>
      </c>
      <c r="J4" s="3310" t="s">
        <v>3028</v>
      </c>
      <c r="K4" s="3310">
        <v>10402</v>
      </c>
      <c r="L4" s="3310">
        <v>10402</v>
      </c>
      <c r="M4" s="3310">
        <v>2100.2800000000002</v>
      </c>
      <c r="N4" s="3310">
        <v>0</v>
      </c>
      <c r="O4" s="3310" t="s">
        <v>3029</v>
      </c>
      <c r="P4" s="3310" t="s">
        <v>3030</v>
      </c>
    </row>
    <row r="5" spans="1:16">
      <c r="A5" s="3310" t="s">
        <v>3033</v>
      </c>
      <c r="B5" s="3310" t="s">
        <v>3023</v>
      </c>
      <c r="C5" s="3310" t="s">
        <v>3024</v>
      </c>
      <c r="D5" s="3310">
        <v>57806.26</v>
      </c>
      <c r="E5" s="3310">
        <v>115612.52</v>
      </c>
      <c r="F5" s="3310" t="s">
        <v>3025</v>
      </c>
      <c r="G5" s="3310" t="s">
        <v>3026</v>
      </c>
      <c r="H5" s="3310" t="s">
        <v>3027</v>
      </c>
      <c r="I5" s="3310" t="s">
        <v>3028</v>
      </c>
      <c r="J5" s="3310" t="s">
        <v>3028</v>
      </c>
      <c r="K5" s="3310">
        <v>24279</v>
      </c>
      <c r="L5" s="3310">
        <v>24320</v>
      </c>
      <c r="M5" s="3310">
        <v>2103.5700000000002</v>
      </c>
      <c r="N5" s="3310">
        <v>0.17</v>
      </c>
      <c r="O5" s="3310" t="s">
        <v>3029</v>
      </c>
      <c r="P5" s="3310" t="s">
        <v>3034</v>
      </c>
    </row>
    <row r="6" spans="1:16">
      <c r="A6" s="3310" t="s">
        <v>3035</v>
      </c>
      <c r="B6" s="3310" t="s">
        <v>3023</v>
      </c>
      <c r="C6" s="3310" t="s">
        <v>3024</v>
      </c>
      <c r="D6" s="3310">
        <v>35962.620000000003</v>
      </c>
      <c r="E6" s="3310">
        <v>107168.61</v>
      </c>
      <c r="F6" s="3310" t="s">
        <v>3036</v>
      </c>
      <c r="G6" s="3310" t="s">
        <v>3026</v>
      </c>
      <c r="H6" s="3310" t="s">
        <v>3027</v>
      </c>
      <c r="I6" s="3310" t="s">
        <v>3037</v>
      </c>
      <c r="J6" s="3310" t="s">
        <v>3037</v>
      </c>
      <c r="K6" s="3310">
        <v>12353</v>
      </c>
      <c r="L6" s="3310">
        <v>13760</v>
      </c>
      <c r="M6" s="3310">
        <v>1283.96</v>
      </c>
      <c r="N6" s="3310">
        <v>11.39</v>
      </c>
      <c r="O6" s="3310" t="s">
        <v>3038</v>
      </c>
      <c r="P6" s="3310" t="s">
        <v>3039</v>
      </c>
    </row>
    <row r="7" spans="1:16">
      <c r="A7" s="3310" t="s">
        <v>3035</v>
      </c>
      <c r="B7" s="3310" t="s">
        <v>3023</v>
      </c>
      <c r="C7" s="3310" t="s">
        <v>3024</v>
      </c>
      <c r="D7" s="3310">
        <v>51602.07</v>
      </c>
      <c r="E7" s="3310">
        <v>153774.17000000001</v>
      </c>
      <c r="F7" s="3310" t="s">
        <v>3036</v>
      </c>
      <c r="G7" s="3310" t="s">
        <v>3026</v>
      </c>
      <c r="H7" s="3310" t="s">
        <v>3027</v>
      </c>
      <c r="I7" s="3310" t="s">
        <v>3037</v>
      </c>
      <c r="J7" s="3310" t="s">
        <v>3037</v>
      </c>
      <c r="K7" s="3310">
        <v>17725</v>
      </c>
      <c r="L7" s="3310">
        <v>19740</v>
      </c>
      <c r="M7" s="3310">
        <v>1283.7</v>
      </c>
      <c r="N7" s="3310">
        <v>11.37</v>
      </c>
      <c r="O7" s="3310" t="s">
        <v>3038</v>
      </c>
      <c r="P7" s="3310" t="s">
        <v>3039</v>
      </c>
    </row>
    <row r="8" spans="1:16">
      <c r="A8" s="3310" t="s">
        <v>3035</v>
      </c>
      <c r="B8" s="3310" t="s">
        <v>3023</v>
      </c>
      <c r="C8" s="3310" t="s">
        <v>3024</v>
      </c>
      <c r="D8" s="3310">
        <v>69876.36</v>
      </c>
      <c r="E8" s="3310">
        <v>208231.55</v>
      </c>
      <c r="F8" s="3310" t="s">
        <v>3036</v>
      </c>
      <c r="G8" s="3310" t="s">
        <v>3026</v>
      </c>
      <c r="H8" s="3310" t="s">
        <v>3027</v>
      </c>
      <c r="I8" s="3310" t="s">
        <v>3037</v>
      </c>
      <c r="J8" s="3310" t="s">
        <v>3037</v>
      </c>
      <c r="K8" s="3310">
        <v>24002</v>
      </c>
      <c r="L8" s="3310">
        <v>26730</v>
      </c>
      <c r="M8" s="3310">
        <v>1283.67</v>
      </c>
      <c r="N8" s="3310">
        <v>11.37</v>
      </c>
      <c r="O8" s="3310" t="s">
        <v>3038</v>
      </c>
      <c r="P8" s="3310" t="s">
        <v>3039</v>
      </c>
    </row>
    <row r="9" spans="1:16">
      <c r="A9" s="3310" t="s">
        <v>3040</v>
      </c>
      <c r="B9" s="3310" t="s">
        <v>3023</v>
      </c>
      <c r="C9" s="3310" t="s">
        <v>3024</v>
      </c>
      <c r="D9" s="3310">
        <v>50045.48</v>
      </c>
      <c r="E9" s="3310">
        <v>125113.7</v>
      </c>
      <c r="F9" s="3310" t="s">
        <v>3041</v>
      </c>
      <c r="G9" s="3310" t="s">
        <v>3026</v>
      </c>
      <c r="H9" s="3310" t="s">
        <v>3027</v>
      </c>
      <c r="I9" s="3310" t="s">
        <v>3042</v>
      </c>
      <c r="J9" s="3310" t="s">
        <v>3042</v>
      </c>
      <c r="K9" s="3310" t="s">
        <v>2796</v>
      </c>
      <c r="L9" s="3310">
        <v>16215.12</v>
      </c>
      <c r="M9" s="3310">
        <v>1296.02</v>
      </c>
      <c r="N9" s="3310" t="s">
        <v>2796</v>
      </c>
      <c r="O9" s="3310" t="s">
        <v>3043</v>
      </c>
      <c r="P9" s="3310" t="s">
        <v>3039</v>
      </c>
    </row>
    <row r="10" spans="1:16" s="3347" customFormat="1">
      <c r="A10" s="3346" t="s">
        <v>3044</v>
      </c>
      <c r="B10" s="3346" t="s">
        <v>3023</v>
      </c>
      <c r="C10" s="3346" t="s">
        <v>3024</v>
      </c>
      <c r="D10" s="3346">
        <v>21807.34</v>
      </c>
      <c r="E10" s="3346">
        <v>54518.35</v>
      </c>
      <c r="F10" s="3346" t="s">
        <v>3041</v>
      </c>
      <c r="G10" s="3346" t="s">
        <v>3026</v>
      </c>
      <c r="H10" s="3346" t="s">
        <v>3027</v>
      </c>
      <c r="I10" s="3346" t="s">
        <v>3042</v>
      </c>
      <c r="J10" s="3346" t="s">
        <v>3042</v>
      </c>
      <c r="K10" s="3346" t="s">
        <v>2796</v>
      </c>
      <c r="L10" s="3346">
        <v>7065.35</v>
      </c>
      <c r="M10" s="3346">
        <v>1295.96</v>
      </c>
      <c r="N10" s="3346" t="s">
        <v>2796</v>
      </c>
      <c r="O10" s="3346" t="s">
        <v>3045</v>
      </c>
      <c r="P10" s="3346" t="s">
        <v>3039</v>
      </c>
    </row>
    <row r="11" spans="1:16" s="3312" customFormat="1">
      <c r="A11" s="3311" t="s">
        <v>3040</v>
      </c>
      <c r="B11" s="3311" t="s">
        <v>3023</v>
      </c>
      <c r="C11" s="3311" t="s">
        <v>3024</v>
      </c>
      <c r="D11" s="3311">
        <v>56190.86</v>
      </c>
      <c r="E11" s="3311">
        <v>140477.15</v>
      </c>
      <c r="F11" s="3311" t="s">
        <v>3041</v>
      </c>
      <c r="G11" s="3311" t="s">
        <v>3026</v>
      </c>
      <c r="H11" s="3311" t="s">
        <v>3027</v>
      </c>
      <c r="I11" s="3311" t="s">
        <v>3042</v>
      </c>
      <c r="J11" s="3311" t="s">
        <v>3042</v>
      </c>
      <c r="K11" s="3311" t="s">
        <v>2796</v>
      </c>
      <c r="L11" s="3311">
        <v>18206.63</v>
      </c>
      <c r="M11" s="3311">
        <v>1296.05</v>
      </c>
      <c r="N11" s="3311" t="s">
        <v>2796</v>
      </c>
      <c r="O11" s="3311" t="s">
        <v>3046</v>
      </c>
      <c r="P11" s="3311" t="s">
        <v>3039</v>
      </c>
    </row>
    <row r="12" spans="1:16" s="3312" customFormat="1">
      <c r="A12" s="3311" t="s">
        <v>3040</v>
      </c>
      <c r="B12" s="3311" t="s">
        <v>3023</v>
      </c>
      <c r="C12" s="3311" t="s">
        <v>3024</v>
      </c>
      <c r="D12" s="3311">
        <v>54426.77</v>
      </c>
      <c r="E12" s="3311">
        <v>136066.93</v>
      </c>
      <c r="F12" s="3311" t="s">
        <v>3041</v>
      </c>
      <c r="G12" s="3311" t="s">
        <v>3026</v>
      </c>
      <c r="H12" s="3311" t="s">
        <v>3027</v>
      </c>
      <c r="I12" s="3311" t="s">
        <v>3042</v>
      </c>
      <c r="J12" s="3311" t="s">
        <v>3042</v>
      </c>
      <c r="K12" s="3311" t="s">
        <v>2796</v>
      </c>
      <c r="L12" s="3311">
        <v>17634.240000000002</v>
      </c>
      <c r="M12" s="3311">
        <v>1296</v>
      </c>
      <c r="N12" s="3311" t="s">
        <v>2796</v>
      </c>
      <c r="O12" s="3311" t="s">
        <v>3047</v>
      </c>
      <c r="P12" s="3311" t="s">
        <v>3039</v>
      </c>
    </row>
    <row r="13" spans="1:16" s="3312" customFormat="1">
      <c r="A13" s="3311" t="s">
        <v>3040</v>
      </c>
      <c r="B13" s="3311" t="s">
        <v>3023</v>
      </c>
      <c r="C13" s="3311" t="s">
        <v>3024</v>
      </c>
      <c r="D13" s="3311">
        <v>37823.839999999997</v>
      </c>
      <c r="E13" s="3311">
        <v>94559.6</v>
      </c>
      <c r="F13" s="3311" t="s">
        <v>3041</v>
      </c>
      <c r="G13" s="3311" t="s">
        <v>3026</v>
      </c>
      <c r="H13" s="3311" t="s">
        <v>3027</v>
      </c>
      <c r="I13" s="3311" t="s">
        <v>3042</v>
      </c>
      <c r="J13" s="3311" t="s">
        <v>3042</v>
      </c>
      <c r="K13" s="3311" t="s">
        <v>2796</v>
      </c>
      <c r="L13" s="3311">
        <v>12255.84</v>
      </c>
      <c r="M13" s="3311">
        <v>1296.0899999999999</v>
      </c>
      <c r="N13" s="3311" t="s">
        <v>2796</v>
      </c>
      <c r="O13" s="3311" t="s">
        <v>3047</v>
      </c>
      <c r="P13" s="3311" t="s">
        <v>3039</v>
      </c>
    </row>
    <row r="14" spans="1:16">
      <c r="A14" s="3310" t="s">
        <v>3040</v>
      </c>
      <c r="B14" s="3310" t="s">
        <v>3023</v>
      </c>
      <c r="C14" s="3310" t="s">
        <v>3024</v>
      </c>
      <c r="D14" s="3310">
        <v>51201.55</v>
      </c>
      <c r="E14" s="3310">
        <v>128003.88</v>
      </c>
      <c r="F14" s="3310" t="s">
        <v>3041</v>
      </c>
      <c r="G14" s="3310" t="s">
        <v>3026</v>
      </c>
      <c r="H14" s="3310" t="s">
        <v>3027</v>
      </c>
      <c r="I14" s="3310" t="s">
        <v>3042</v>
      </c>
      <c r="J14" s="3310" t="s">
        <v>3042</v>
      </c>
      <c r="K14" s="3310" t="s">
        <v>2796</v>
      </c>
      <c r="L14" s="3310">
        <v>16588.79</v>
      </c>
      <c r="M14" s="3310">
        <v>1295.96</v>
      </c>
      <c r="N14" s="3310" t="s">
        <v>2796</v>
      </c>
      <c r="O14" s="3310" t="s">
        <v>3043</v>
      </c>
      <c r="P14" s="3310" t="s">
        <v>3039</v>
      </c>
    </row>
    <row r="15" spans="1:16">
      <c r="A15" s="3310" t="s">
        <v>3035</v>
      </c>
      <c r="B15" s="3310" t="s">
        <v>3023</v>
      </c>
      <c r="C15" s="3310" t="s">
        <v>3024</v>
      </c>
      <c r="D15" s="3310">
        <v>45462.29</v>
      </c>
      <c r="E15" s="3310">
        <v>113655.73</v>
      </c>
      <c r="F15" s="3310" t="s">
        <v>3048</v>
      </c>
      <c r="G15" s="3310" t="s">
        <v>3026</v>
      </c>
      <c r="H15" s="3310" t="s">
        <v>3049</v>
      </c>
      <c r="I15" s="3310" t="s">
        <v>3050</v>
      </c>
      <c r="J15" s="3310" t="s">
        <v>3050</v>
      </c>
      <c r="K15" s="3310">
        <v>14389</v>
      </c>
      <c r="L15" s="3310">
        <v>14389</v>
      </c>
      <c r="M15" s="3310">
        <v>1266.01</v>
      </c>
      <c r="N15" s="3310">
        <v>0</v>
      </c>
      <c r="O15" s="3310" t="s">
        <v>3051</v>
      </c>
      <c r="P15" s="3310" t="s">
        <v>3052</v>
      </c>
    </row>
    <row r="16" spans="1:16">
      <c r="A16" s="3310" t="s">
        <v>3035</v>
      </c>
      <c r="B16" s="3310" t="s">
        <v>3023</v>
      </c>
      <c r="C16" s="3310" t="s">
        <v>3024</v>
      </c>
      <c r="D16" s="3310">
        <v>39212.269999999997</v>
      </c>
      <c r="E16" s="3310">
        <v>98030.68</v>
      </c>
      <c r="F16" s="3310" t="s">
        <v>3048</v>
      </c>
      <c r="G16" s="3310" t="s">
        <v>3026</v>
      </c>
      <c r="H16" s="3310" t="s">
        <v>3049</v>
      </c>
      <c r="I16" s="3310" t="s">
        <v>3050</v>
      </c>
      <c r="J16" s="3310" t="s">
        <v>3050</v>
      </c>
      <c r="K16" s="3310">
        <v>12412</v>
      </c>
      <c r="L16" s="3310">
        <v>12412</v>
      </c>
      <c r="M16" s="3310">
        <v>1266.1300000000001</v>
      </c>
      <c r="N16" s="3310">
        <v>0</v>
      </c>
      <c r="O16" s="3310" t="s">
        <v>3051</v>
      </c>
      <c r="P16" s="3310" t="s">
        <v>3039</v>
      </c>
    </row>
    <row r="17" spans="1:16">
      <c r="A17" s="3310" t="s">
        <v>3035</v>
      </c>
      <c r="B17" s="3310" t="s">
        <v>3023</v>
      </c>
      <c r="C17" s="3310" t="s">
        <v>3024</v>
      </c>
      <c r="D17" s="3310">
        <v>27679.02</v>
      </c>
      <c r="E17" s="3310">
        <v>69197.55</v>
      </c>
      <c r="F17" s="3310" t="s">
        <v>3048</v>
      </c>
      <c r="G17" s="3310" t="s">
        <v>3026</v>
      </c>
      <c r="H17" s="3310" t="s">
        <v>3049</v>
      </c>
      <c r="I17" s="3310" t="s">
        <v>3050</v>
      </c>
      <c r="J17" s="3310" t="s">
        <v>3050</v>
      </c>
      <c r="K17" s="3310">
        <v>8761</v>
      </c>
      <c r="L17" s="3310">
        <v>8761</v>
      </c>
      <c r="M17" s="3310">
        <v>1266.08</v>
      </c>
      <c r="N17" s="3310">
        <v>0</v>
      </c>
      <c r="O17" s="3310" t="s">
        <v>3051</v>
      </c>
      <c r="P17" s="3310" t="s">
        <v>3052</v>
      </c>
    </row>
    <row r="18" spans="1:16">
      <c r="A18" s="3310" t="s">
        <v>3035</v>
      </c>
      <c r="B18" s="3310" t="s">
        <v>3023</v>
      </c>
      <c r="C18" s="3310" t="s">
        <v>3024</v>
      </c>
      <c r="D18" s="3310">
        <v>58818.68</v>
      </c>
      <c r="E18" s="3310">
        <v>147046.70000000001</v>
      </c>
      <c r="F18" s="3310" t="s">
        <v>3048</v>
      </c>
      <c r="G18" s="3310" t="s">
        <v>3026</v>
      </c>
      <c r="H18" s="3310" t="s">
        <v>3049</v>
      </c>
      <c r="I18" s="3310" t="s">
        <v>3050</v>
      </c>
      <c r="J18" s="3310" t="s">
        <v>3050</v>
      </c>
      <c r="K18" s="3310">
        <v>18617</v>
      </c>
      <c r="L18" s="3310">
        <v>18617</v>
      </c>
      <c r="M18" s="3310">
        <v>1266.05</v>
      </c>
      <c r="N18" s="3310">
        <v>0</v>
      </c>
      <c r="O18" s="3310" t="s">
        <v>3051</v>
      </c>
      <c r="P18" s="3310" t="s">
        <v>3052</v>
      </c>
    </row>
    <row r="19" spans="1:16">
      <c r="A19" s="3310" t="s">
        <v>3035</v>
      </c>
      <c r="B19" s="3310" t="s">
        <v>3023</v>
      </c>
      <c r="C19" s="3310" t="s">
        <v>3024</v>
      </c>
      <c r="D19" s="3310">
        <v>44718.05</v>
      </c>
      <c r="E19" s="3310">
        <v>111795.13</v>
      </c>
      <c r="F19" s="3310" t="s">
        <v>3048</v>
      </c>
      <c r="G19" s="3310" t="s">
        <v>3026</v>
      </c>
      <c r="H19" s="3310" t="s">
        <v>3049</v>
      </c>
      <c r="I19" s="3310" t="s">
        <v>3050</v>
      </c>
      <c r="J19" s="3310" t="s">
        <v>3050</v>
      </c>
      <c r="K19" s="3310">
        <v>14154</v>
      </c>
      <c r="L19" s="3310">
        <v>14154</v>
      </c>
      <c r="M19" s="3310">
        <v>1266.06</v>
      </c>
      <c r="N19" s="3310">
        <v>0</v>
      </c>
      <c r="O19" s="3310" t="s">
        <v>3051</v>
      </c>
      <c r="P19" s="3310" t="s">
        <v>3052</v>
      </c>
    </row>
    <row r="20" spans="1:16">
      <c r="A20" s="3310" t="s">
        <v>3035</v>
      </c>
      <c r="B20" s="3310" t="s">
        <v>3023</v>
      </c>
      <c r="C20" s="3310" t="s">
        <v>3024</v>
      </c>
      <c r="D20" s="3310">
        <v>14720.75</v>
      </c>
      <c r="E20" s="3310">
        <v>29441.5</v>
      </c>
      <c r="F20" s="3310" t="s">
        <v>3053</v>
      </c>
      <c r="G20" s="3310" t="s">
        <v>3026</v>
      </c>
      <c r="H20" s="3310" t="s">
        <v>3049</v>
      </c>
      <c r="I20" s="3310" t="s">
        <v>3050</v>
      </c>
      <c r="J20" s="3310" t="s">
        <v>3050</v>
      </c>
      <c r="K20" s="3310">
        <v>4659</v>
      </c>
      <c r="L20" s="3310">
        <v>4659</v>
      </c>
      <c r="M20" s="3310">
        <v>1582.46</v>
      </c>
      <c r="N20" s="3310">
        <v>0</v>
      </c>
      <c r="O20" s="3310" t="s">
        <v>3051</v>
      </c>
      <c r="P20" s="3310" t="s">
        <v>3052</v>
      </c>
    </row>
    <row r="21" spans="1:16">
      <c r="A21" s="3310" t="s">
        <v>3035</v>
      </c>
      <c r="B21" s="3310" t="s">
        <v>3023</v>
      </c>
      <c r="C21" s="3310" t="s">
        <v>3024</v>
      </c>
      <c r="D21" s="3310">
        <v>53419.22</v>
      </c>
      <c r="E21" s="3310">
        <v>133548.04999999999</v>
      </c>
      <c r="F21" s="3310" t="s">
        <v>3048</v>
      </c>
      <c r="G21" s="3310" t="s">
        <v>3026</v>
      </c>
      <c r="H21" s="3310" t="s">
        <v>3049</v>
      </c>
      <c r="I21" s="3310" t="s">
        <v>3050</v>
      </c>
      <c r="J21" s="3310" t="s">
        <v>3050</v>
      </c>
      <c r="K21" s="3310">
        <v>16908</v>
      </c>
      <c r="L21" s="3310">
        <v>16908</v>
      </c>
      <c r="M21" s="3310">
        <v>1266.05</v>
      </c>
      <c r="N21" s="3310">
        <v>0</v>
      </c>
      <c r="O21" s="3310" t="s">
        <v>3051</v>
      </c>
      <c r="P21" s="3310" t="s">
        <v>3052</v>
      </c>
    </row>
    <row r="22" spans="1:16">
      <c r="A22" s="3310" t="s">
        <v>3054</v>
      </c>
      <c r="B22" s="3310" t="s">
        <v>3023</v>
      </c>
      <c r="C22" s="3310" t="s">
        <v>3024</v>
      </c>
      <c r="D22" s="3310">
        <v>31619.58</v>
      </c>
      <c r="E22" s="3310">
        <v>94858.74</v>
      </c>
      <c r="F22" s="3310" t="s">
        <v>3055</v>
      </c>
      <c r="G22" s="3310" t="s">
        <v>3026</v>
      </c>
      <c r="H22" s="3310" t="s">
        <v>3049</v>
      </c>
      <c r="I22" s="3310" t="s">
        <v>3056</v>
      </c>
      <c r="J22" s="3310" t="s">
        <v>3056</v>
      </c>
      <c r="K22" s="3310">
        <v>5930</v>
      </c>
      <c r="L22" s="3310">
        <v>5930</v>
      </c>
      <c r="M22" s="3310">
        <v>625.13</v>
      </c>
      <c r="N22" s="3310">
        <v>0</v>
      </c>
      <c r="O22" s="3310" t="s">
        <v>3057</v>
      </c>
      <c r="P22" s="3310" t="s">
        <v>3039</v>
      </c>
    </row>
    <row r="23" spans="1:16">
      <c r="A23" s="3310" t="s">
        <v>3054</v>
      </c>
      <c r="B23" s="3310" t="s">
        <v>3023</v>
      </c>
      <c r="C23" s="3310" t="s">
        <v>3024</v>
      </c>
      <c r="D23" s="3310">
        <v>44141.71</v>
      </c>
      <c r="E23" s="3310">
        <v>97111.76</v>
      </c>
      <c r="F23" s="3310" t="s">
        <v>3058</v>
      </c>
      <c r="G23" s="3310" t="s">
        <v>3026</v>
      </c>
      <c r="H23" s="3310" t="s">
        <v>3049</v>
      </c>
      <c r="I23" s="3310" t="s">
        <v>3056</v>
      </c>
      <c r="J23" s="3310" t="s">
        <v>3056</v>
      </c>
      <c r="K23" s="3310">
        <v>6070</v>
      </c>
      <c r="L23" s="3310">
        <v>6070</v>
      </c>
      <c r="M23" s="3310">
        <v>625.04</v>
      </c>
      <c r="N23" s="3310">
        <v>0</v>
      </c>
      <c r="O23" s="3310" t="s">
        <v>3057</v>
      </c>
      <c r="P23" s="3310" t="s">
        <v>3039</v>
      </c>
    </row>
    <row r="24" spans="1:16">
      <c r="A24" s="3310" t="s">
        <v>3059</v>
      </c>
      <c r="B24" s="3310" t="s">
        <v>3023</v>
      </c>
      <c r="C24" s="3310" t="s">
        <v>3024</v>
      </c>
      <c r="D24" s="3310">
        <v>31603</v>
      </c>
      <c r="E24" s="3310">
        <v>63206</v>
      </c>
      <c r="F24" s="3310" t="s">
        <v>3025</v>
      </c>
      <c r="G24" s="3310" t="s">
        <v>3026</v>
      </c>
      <c r="H24" s="3310" t="s">
        <v>3049</v>
      </c>
      <c r="I24" s="3310" t="s">
        <v>3060</v>
      </c>
      <c r="J24" s="3310" t="s">
        <v>3060</v>
      </c>
      <c r="K24" s="3310">
        <v>13272</v>
      </c>
      <c r="L24" s="3310">
        <v>13290</v>
      </c>
      <c r="M24" s="3310">
        <v>2102.65</v>
      </c>
      <c r="N24" s="3310">
        <v>0.14000000000000001</v>
      </c>
      <c r="O24" s="3310" t="s">
        <v>3061</v>
      </c>
      <c r="P24" s="3310" t="s">
        <v>3039</v>
      </c>
    </row>
    <row r="25" spans="1:16">
      <c r="A25" s="3310" t="s">
        <v>3059</v>
      </c>
      <c r="B25" s="3310" t="s">
        <v>3023</v>
      </c>
      <c r="C25" s="3310" t="s">
        <v>3024</v>
      </c>
      <c r="D25" s="3310">
        <v>45893</v>
      </c>
      <c r="E25" s="3310">
        <v>91786</v>
      </c>
      <c r="F25" s="3310" t="s">
        <v>3025</v>
      </c>
      <c r="G25" s="3310" t="s">
        <v>3026</v>
      </c>
      <c r="H25" s="3310" t="s">
        <v>3049</v>
      </c>
      <c r="I25" s="3310" t="s">
        <v>3060</v>
      </c>
      <c r="J25" s="3310" t="s">
        <v>3060</v>
      </c>
      <c r="K25" s="3310">
        <v>19276</v>
      </c>
      <c r="L25" s="3310">
        <v>19276</v>
      </c>
      <c r="M25" s="3310">
        <v>2100.09</v>
      </c>
      <c r="N25" s="3310">
        <v>0</v>
      </c>
      <c r="O25" s="3310" t="s">
        <v>3061</v>
      </c>
      <c r="P25" s="3310" t="s">
        <v>3039</v>
      </c>
    </row>
    <row r="26" spans="1:16">
      <c r="A26" s="3310" t="s">
        <v>3062</v>
      </c>
      <c r="B26" s="3310" t="s">
        <v>3023</v>
      </c>
      <c r="C26" s="3310" t="s">
        <v>3063</v>
      </c>
      <c r="D26" s="3310">
        <v>45139.98</v>
      </c>
      <c r="E26" s="3310">
        <v>67709.97</v>
      </c>
      <c r="F26" s="3310" t="s">
        <v>3064</v>
      </c>
      <c r="G26" s="3310" t="s">
        <v>3026</v>
      </c>
      <c r="H26" s="3310" t="s">
        <v>3065</v>
      </c>
      <c r="I26" s="3310" t="s">
        <v>3066</v>
      </c>
      <c r="J26" s="3310" t="s">
        <v>3066</v>
      </c>
      <c r="K26" s="3310">
        <v>18959</v>
      </c>
      <c r="L26" s="3310">
        <v>19670</v>
      </c>
      <c r="M26" s="3310">
        <v>2905.03</v>
      </c>
      <c r="N26" s="3310">
        <v>3.75</v>
      </c>
      <c r="O26" s="3310" t="s">
        <v>3067</v>
      </c>
      <c r="P26" s="3310" t="s">
        <v>3030</v>
      </c>
    </row>
    <row r="27" spans="1:16">
      <c r="A27" s="3310" t="s">
        <v>3068</v>
      </c>
      <c r="B27" s="3310" t="s">
        <v>3023</v>
      </c>
      <c r="C27" s="3310" t="s">
        <v>3024</v>
      </c>
      <c r="D27" s="3310">
        <v>34345.24</v>
      </c>
      <c r="E27" s="3310">
        <v>68690.48</v>
      </c>
      <c r="F27" s="3310" t="s">
        <v>3025</v>
      </c>
      <c r="G27" s="3310" t="s">
        <v>3026</v>
      </c>
      <c r="H27" s="3310" t="s">
        <v>3049</v>
      </c>
      <c r="I27" s="3310" t="s">
        <v>3069</v>
      </c>
      <c r="J27" s="3310" t="s">
        <v>3069</v>
      </c>
      <c r="K27" s="3310">
        <v>12262</v>
      </c>
      <c r="L27" s="3310">
        <v>13450</v>
      </c>
      <c r="M27" s="3310">
        <v>1958.05</v>
      </c>
      <c r="N27" s="3310">
        <v>9.69</v>
      </c>
      <c r="O27" s="3310" t="s">
        <v>3070</v>
      </c>
      <c r="P27" s="3310" t="s">
        <v>3030</v>
      </c>
    </row>
    <row r="28" spans="1:16">
      <c r="A28" s="3310" t="s">
        <v>3062</v>
      </c>
      <c r="B28" s="3310" t="s">
        <v>3023</v>
      </c>
      <c r="C28" s="3310" t="s">
        <v>3024</v>
      </c>
      <c r="D28" s="3310">
        <v>65859.02</v>
      </c>
      <c r="E28" s="3310">
        <v>98788.53</v>
      </c>
      <c r="F28" s="3310" t="s">
        <v>3064</v>
      </c>
      <c r="G28" s="3310" t="s">
        <v>3026</v>
      </c>
      <c r="H28" s="3310" t="s">
        <v>3049</v>
      </c>
      <c r="I28" s="3310" t="s">
        <v>3069</v>
      </c>
      <c r="J28" s="3310" t="s">
        <v>3069</v>
      </c>
      <c r="K28" s="3310">
        <v>27662</v>
      </c>
      <c r="L28" s="3310">
        <v>29050</v>
      </c>
      <c r="M28" s="3310">
        <v>2940.61</v>
      </c>
      <c r="N28" s="3310">
        <v>5.0199999999999996</v>
      </c>
      <c r="O28" s="3310" t="s">
        <v>3071</v>
      </c>
      <c r="P28" s="3310" t="s">
        <v>3039</v>
      </c>
    </row>
    <row r="29" spans="1:16">
      <c r="A29" s="3310" t="s">
        <v>3068</v>
      </c>
      <c r="B29" s="3310" t="s">
        <v>3023</v>
      </c>
      <c r="C29" s="3310" t="s">
        <v>3024</v>
      </c>
      <c r="D29" s="3310">
        <v>45312.160000000003</v>
      </c>
      <c r="E29" s="3310">
        <v>90624.320000000007</v>
      </c>
      <c r="F29" s="3310" t="s">
        <v>3025</v>
      </c>
      <c r="G29" s="3310" t="s">
        <v>3026</v>
      </c>
      <c r="H29" s="3310" t="s">
        <v>3049</v>
      </c>
      <c r="I29" s="3310" t="s">
        <v>3069</v>
      </c>
      <c r="J29" s="3310" t="s">
        <v>3069</v>
      </c>
      <c r="K29" s="3310">
        <v>16177</v>
      </c>
      <c r="L29" s="3310">
        <v>17700</v>
      </c>
      <c r="M29" s="3310">
        <v>1953.11</v>
      </c>
      <c r="N29" s="3310">
        <v>9.41</v>
      </c>
      <c r="O29" s="3310" t="s">
        <v>3072</v>
      </c>
      <c r="P29" s="3310" t="s">
        <v>3030</v>
      </c>
    </row>
    <row r="30" spans="1:16">
      <c r="A30" s="3310" t="s">
        <v>3073</v>
      </c>
      <c r="B30" s="3310" t="s">
        <v>3023</v>
      </c>
      <c r="C30" s="3310" t="s">
        <v>3024</v>
      </c>
      <c r="D30" s="3310">
        <v>33514.51</v>
      </c>
      <c r="E30" s="3310">
        <v>67029.02</v>
      </c>
      <c r="F30" s="3310" t="s">
        <v>3025</v>
      </c>
      <c r="G30" s="3310" t="s">
        <v>3026</v>
      </c>
      <c r="H30" s="3310" t="s">
        <v>3049</v>
      </c>
      <c r="I30" s="3310" t="s">
        <v>3069</v>
      </c>
      <c r="J30" s="3310" t="s">
        <v>3069</v>
      </c>
      <c r="K30" s="3310">
        <v>13071</v>
      </c>
      <c r="L30" s="3310">
        <v>14150</v>
      </c>
      <c r="M30" s="3310">
        <v>2111.0300000000002</v>
      </c>
      <c r="N30" s="3310">
        <v>8.25</v>
      </c>
      <c r="O30" s="3310" t="s">
        <v>3072</v>
      </c>
      <c r="P30" s="3310" t="s">
        <v>3030</v>
      </c>
    </row>
    <row r="31" spans="1:16">
      <c r="A31" s="3310" t="s">
        <v>3074</v>
      </c>
      <c r="B31" s="3310" t="s">
        <v>3023</v>
      </c>
      <c r="C31" s="3310" t="s">
        <v>3024</v>
      </c>
      <c r="D31" s="3310">
        <v>12131.39</v>
      </c>
      <c r="E31" s="3310">
        <v>37000.74</v>
      </c>
      <c r="F31" s="3310" t="s">
        <v>3075</v>
      </c>
      <c r="G31" s="3310" t="s">
        <v>3026</v>
      </c>
      <c r="H31" s="3310" t="s">
        <v>3049</v>
      </c>
      <c r="I31" s="3310" t="s">
        <v>3076</v>
      </c>
      <c r="J31" s="3310" t="s">
        <v>3076</v>
      </c>
      <c r="K31" s="3310">
        <v>5096</v>
      </c>
      <c r="L31" s="3310">
        <v>5106</v>
      </c>
      <c r="M31" s="3310">
        <v>1379.97</v>
      </c>
      <c r="N31" s="3310">
        <v>0.2</v>
      </c>
      <c r="O31" s="3310" t="s">
        <v>3072</v>
      </c>
      <c r="P31" s="3310" t="s">
        <v>3030</v>
      </c>
    </row>
    <row r="32" spans="1:16">
      <c r="A32" s="3310" t="s">
        <v>3077</v>
      </c>
      <c r="B32" s="3310" t="s">
        <v>3023</v>
      </c>
      <c r="C32" s="3310" t="s">
        <v>3024</v>
      </c>
      <c r="D32" s="3310">
        <v>28877.77</v>
      </c>
      <c r="E32" s="3310">
        <v>72194.429999999993</v>
      </c>
      <c r="F32" s="3310" t="s">
        <v>3048</v>
      </c>
      <c r="G32" s="3310" t="s">
        <v>3026</v>
      </c>
      <c r="H32" s="3310" t="s">
        <v>3049</v>
      </c>
      <c r="I32" s="3310" t="s">
        <v>3078</v>
      </c>
      <c r="J32" s="3310" t="s">
        <v>3078</v>
      </c>
      <c r="K32" s="3310">
        <v>13200</v>
      </c>
      <c r="L32" s="3310">
        <v>13200</v>
      </c>
      <c r="M32" s="3310">
        <v>1828.4</v>
      </c>
      <c r="N32" s="3310">
        <v>0</v>
      </c>
      <c r="O32" s="3310" t="s">
        <v>3079</v>
      </c>
      <c r="P32" s="3310" t="s">
        <v>3034</v>
      </c>
    </row>
    <row r="33" spans="1:17">
      <c r="A33" s="3313" t="s">
        <v>3080</v>
      </c>
      <c r="B33" s="3313" t="s">
        <v>3023</v>
      </c>
      <c r="C33" s="3313" t="s">
        <v>3024</v>
      </c>
      <c r="D33" s="3313">
        <v>38976.44</v>
      </c>
      <c r="E33" s="3313">
        <v>93543.46</v>
      </c>
      <c r="F33" s="3313" t="s">
        <v>3081</v>
      </c>
      <c r="G33" s="3313" t="s">
        <v>3026</v>
      </c>
      <c r="H33" s="3313" t="s">
        <v>3049</v>
      </c>
      <c r="I33" s="3313" t="s">
        <v>3082</v>
      </c>
      <c r="J33" s="3313" t="s">
        <v>3082</v>
      </c>
      <c r="K33" s="3313">
        <v>14580</v>
      </c>
      <c r="L33" s="3313">
        <v>14580</v>
      </c>
      <c r="M33" s="3313">
        <v>1558.63</v>
      </c>
      <c r="N33" s="3313">
        <v>0</v>
      </c>
      <c r="O33" s="3313" t="s">
        <v>3083</v>
      </c>
      <c r="P33" s="3313" t="s">
        <v>3039</v>
      </c>
    </row>
    <row r="34" spans="1:17">
      <c r="A34" s="3313" t="s">
        <v>3080</v>
      </c>
      <c r="B34" s="3313" t="s">
        <v>3023</v>
      </c>
      <c r="C34" s="3313" t="s">
        <v>3024</v>
      </c>
      <c r="D34" s="3313">
        <v>36470.199999999997</v>
      </c>
      <c r="E34" s="3313">
        <v>87528.48</v>
      </c>
      <c r="F34" s="3313" t="s">
        <v>3081</v>
      </c>
      <c r="G34" s="3313" t="s">
        <v>3026</v>
      </c>
      <c r="H34" s="3313" t="s">
        <v>3049</v>
      </c>
      <c r="I34" s="3313" t="s">
        <v>3082</v>
      </c>
      <c r="J34" s="3313" t="s">
        <v>3082</v>
      </c>
      <c r="K34" s="3313">
        <v>13640</v>
      </c>
      <c r="L34" s="3313">
        <v>13640</v>
      </c>
      <c r="M34" s="3313">
        <v>1558.34</v>
      </c>
      <c r="N34" s="3313">
        <v>0</v>
      </c>
      <c r="O34" s="3313" t="s">
        <v>3083</v>
      </c>
      <c r="P34" s="3313" t="s">
        <v>3039</v>
      </c>
      <c r="Q34">
        <f>SUM(L33:L40)</f>
        <v>117940</v>
      </c>
    </row>
    <row r="35" spans="1:17">
      <c r="A35" s="3313" t="s">
        <v>3080</v>
      </c>
      <c r="B35" s="3313" t="s">
        <v>3023</v>
      </c>
      <c r="C35" s="3313" t="s">
        <v>3024</v>
      </c>
      <c r="D35" s="3313">
        <v>34172.800000000003</v>
      </c>
      <c r="E35" s="3313">
        <v>58093.760000000002</v>
      </c>
      <c r="F35" s="3313" t="s">
        <v>3084</v>
      </c>
      <c r="G35" s="3313" t="s">
        <v>3026</v>
      </c>
      <c r="H35" s="3313" t="s">
        <v>3049</v>
      </c>
      <c r="I35" s="3313" t="s">
        <v>3082</v>
      </c>
      <c r="J35" s="3313" t="s">
        <v>3082</v>
      </c>
      <c r="K35" s="3313">
        <v>12780</v>
      </c>
      <c r="L35" s="3313">
        <v>12780</v>
      </c>
      <c r="M35" s="3313">
        <v>2199.88</v>
      </c>
      <c r="N35" s="3313">
        <v>0</v>
      </c>
      <c r="O35" s="3313" t="s">
        <v>3083</v>
      </c>
      <c r="P35" s="3313" t="s">
        <v>3039</v>
      </c>
      <c r="Q35">
        <f>SUM(E33:E40)</f>
        <v>693364.46</v>
      </c>
    </row>
    <row r="36" spans="1:17" s="3315" customFormat="1">
      <c r="A36" s="3314" t="s">
        <v>3080</v>
      </c>
      <c r="B36" s="3314" t="s">
        <v>3023</v>
      </c>
      <c r="C36" s="3314" t="s">
        <v>3024</v>
      </c>
      <c r="D36" s="3314">
        <v>34518.15</v>
      </c>
      <c r="E36" s="3314">
        <v>69036.3</v>
      </c>
      <c r="F36" s="3314" t="s">
        <v>3025</v>
      </c>
      <c r="G36" s="3314" t="s">
        <v>3026</v>
      </c>
      <c r="H36" s="3314" t="s">
        <v>3049</v>
      </c>
      <c r="I36" s="3314" t="s">
        <v>3082</v>
      </c>
      <c r="J36" s="3314" t="s">
        <v>3082</v>
      </c>
      <c r="K36" s="3314">
        <v>12910</v>
      </c>
      <c r="L36" s="3314">
        <v>12910</v>
      </c>
      <c r="M36" s="3314">
        <v>1870.02</v>
      </c>
      <c r="N36" s="3314">
        <v>0</v>
      </c>
      <c r="O36" s="3314" t="s">
        <v>3085</v>
      </c>
      <c r="P36" s="3314" t="s">
        <v>3039</v>
      </c>
      <c r="Q36" s="3315">
        <f>Q34/Q35*10000</f>
        <v>1700.9813280594162</v>
      </c>
    </row>
    <row r="37" spans="1:17">
      <c r="A37" s="3313" t="s">
        <v>3080</v>
      </c>
      <c r="B37" s="3313" t="s">
        <v>3023</v>
      </c>
      <c r="C37" s="3313" t="s">
        <v>3024</v>
      </c>
      <c r="D37" s="3313">
        <v>42586.62</v>
      </c>
      <c r="E37" s="3313">
        <v>85173.24</v>
      </c>
      <c r="F37" s="3313" t="s">
        <v>3025</v>
      </c>
      <c r="G37" s="3313" t="s">
        <v>3026</v>
      </c>
      <c r="H37" s="3313" t="s">
        <v>3049</v>
      </c>
      <c r="I37" s="3313" t="s">
        <v>3082</v>
      </c>
      <c r="J37" s="3313" t="s">
        <v>3082</v>
      </c>
      <c r="K37" s="3313">
        <v>15920</v>
      </c>
      <c r="L37" s="3313">
        <v>15920</v>
      </c>
      <c r="M37" s="3313">
        <v>1869.13</v>
      </c>
      <c r="N37" s="3313">
        <v>0</v>
      </c>
      <c r="O37" s="3313" t="s">
        <v>3085</v>
      </c>
      <c r="P37" s="3313" t="s">
        <v>3039</v>
      </c>
    </row>
    <row r="38" spans="1:17">
      <c r="A38" s="3313" t="s">
        <v>3080</v>
      </c>
      <c r="B38" s="3313" t="s">
        <v>3023</v>
      </c>
      <c r="C38" s="3313" t="s">
        <v>3024</v>
      </c>
      <c r="D38" s="3313">
        <v>43177.36</v>
      </c>
      <c r="E38" s="3313">
        <v>86354.72</v>
      </c>
      <c r="F38" s="3313" t="s">
        <v>3025</v>
      </c>
      <c r="G38" s="3313" t="s">
        <v>3026</v>
      </c>
      <c r="H38" s="3313" t="s">
        <v>3049</v>
      </c>
      <c r="I38" s="3313" t="s">
        <v>3082</v>
      </c>
      <c r="J38" s="3313" t="s">
        <v>3082</v>
      </c>
      <c r="K38" s="3313">
        <v>16150</v>
      </c>
      <c r="L38" s="3313">
        <v>16150</v>
      </c>
      <c r="M38" s="3313">
        <v>1870.19</v>
      </c>
      <c r="N38" s="3313">
        <v>0</v>
      </c>
      <c r="O38" s="3313" t="s">
        <v>3085</v>
      </c>
      <c r="P38" s="3313" t="s">
        <v>3039</v>
      </c>
    </row>
    <row r="39" spans="1:17">
      <c r="A39" s="3313" t="s">
        <v>3086</v>
      </c>
      <c r="B39" s="3313" t="s">
        <v>3023</v>
      </c>
      <c r="C39" s="3313" t="s">
        <v>3024</v>
      </c>
      <c r="D39" s="3313">
        <v>40879.94</v>
      </c>
      <c r="E39" s="3313">
        <v>102199.85</v>
      </c>
      <c r="F39" s="3313" t="s">
        <v>3041</v>
      </c>
      <c r="G39" s="3313" t="s">
        <v>3026</v>
      </c>
      <c r="H39" s="3313" t="s">
        <v>3049</v>
      </c>
      <c r="I39" s="3313" t="s">
        <v>3082</v>
      </c>
      <c r="J39" s="3313" t="s">
        <v>3082</v>
      </c>
      <c r="K39" s="3313">
        <v>15290</v>
      </c>
      <c r="L39" s="3313">
        <v>15290</v>
      </c>
      <c r="M39" s="3313">
        <v>1496.08</v>
      </c>
      <c r="N39" s="3313">
        <v>0</v>
      </c>
      <c r="O39" s="3313" t="s">
        <v>3083</v>
      </c>
      <c r="P39" s="3313" t="s">
        <v>3039</v>
      </c>
    </row>
    <row r="40" spans="1:17">
      <c r="A40" s="3313" t="s">
        <v>3086</v>
      </c>
      <c r="B40" s="3313" t="s">
        <v>3023</v>
      </c>
      <c r="C40" s="3313" t="s">
        <v>3024</v>
      </c>
      <c r="D40" s="3313">
        <v>44573.86</v>
      </c>
      <c r="E40" s="3313">
        <v>111434.65</v>
      </c>
      <c r="F40" s="3313" t="s">
        <v>3041</v>
      </c>
      <c r="G40" s="3313" t="s">
        <v>3026</v>
      </c>
      <c r="H40" s="3313" t="s">
        <v>3049</v>
      </c>
      <c r="I40" s="3313" t="s">
        <v>3082</v>
      </c>
      <c r="J40" s="3313" t="s">
        <v>3082</v>
      </c>
      <c r="K40" s="3313">
        <v>16670</v>
      </c>
      <c r="L40" s="3313">
        <v>16670</v>
      </c>
      <c r="M40" s="3313">
        <v>1495.94</v>
      </c>
      <c r="N40" s="3313">
        <v>0</v>
      </c>
      <c r="O40" s="3313" t="s">
        <v>3083</v>
      </c>
      <c r="P40" s="3313" t="s">
        <v>3039</v>
      </c>
      <c r="Q40">
        <f>L41+L42</f>
        <v>30227</v>
      </c>
    </row>
    <row r="41" spans="1:17">
      <c r="A41" s="3310" t="s">
        <v>3087</v>
      </c>
      <c r="B41" s="3310" t="s">
        <v>3023</v>
      </c>
      <c r="C41" s="3310" t="s">
        <v>3024</v>
      </c>
      <c r="D41" s="3310">
        <v>52601.01</v>
      </c>
      <c r="E41" s="3310">
        <v>156751.01</v>
      </c>
      <c r="F41" s="3310" t="s">
        <v>3036</v>
      </c>
      <c r="G41" s="3310" t="s">
        <v>3026</v>
      </c>
      <c r="H41" s="3310" t="s">
        <v>3049</v>
      </c>
      <c r="I41" s="3310" t="s">
        <v>3088</v>
      </c>
      <c r="J41" s="3310" t="s">
        <v>3088</v>
      </c>
      <c r="K41" s="3310">
        <v>18069</v>
      </c>
      <c r="L41" s="3310">
        <v>20139</v>
      </c>
      <c r="M41" s="3310">
        <v>1284.77</v>
      </c>
      <c r="N41" s="3310">
        <v>11.46</v>
      </c>
      <c r="O41" s="3310" t="s">
        <v>3089</v>
      </c>
      <c r="P41" s="3310" t="s">
        <v>3039</v>
      </c>
      <c r="Q41">
        <f>E41+E42</f>
        <v>183630.5</v>
      </c>
    </row>
    <row r="42" spans="1:17">
      <c r="A42" s="3310" t="s">
        <v>3087</v>
      </c>
      <c r="B42" s="3310" t="s">
        <v>3023</v>
      </c>
      <c r="C42" s="3310" t="s">
        <v>3024</v>
      </c>
      <c r="D42" s="3310">
        <v>26352.44</v>
      </c>
      <c r="E42" s="3310">
        <v>26879.49</v>
      </c>
      <c r="F42" s="3310" t="s">
        <v>3090</v>
      </c>
      <c r="G42" s="3310" t="s">
        <v>3026</v>
      </c>
      <c r="H42" s="3310" t="s">
        <v>3049</v>
      </c>
      <c r="I42" s="3310" t="s">
        <v>3088</v>
      </c>
      <c r="J42" s="3310" t="s">
        <v>3088</v>
      </c>
      <c r="K42" s="3310">
        <v>9053</v>
      </c>
      <c r="L42" s="3310">
        <v>10088</v>
      </c>
      <c r="M42" s="3310">
        <v>3753.05</v>
      </c>
      <c r="N42" s="3310">
        <v>11.43</v>
      </c>
      <c r="O42" s="3310" t="s">
        <v>3089</v>
      </c>
      <c r="P42" s="3310" t="s">
        <v>3039</v>
      </c>
      <c r="Q42">
        <f>Q40/Q41*10000</f>
        <v>1646.0773128646929</v>
      </c>
    </row>
    <row r="43" spans="1:17">
      <c r="A43" s="3313" t="s">
        <v>3091</v>
      </c>
      <c r="B43" s="3313" t="s">
        <v>3023</v>
      </c>
      <c r="C43" s="3313" t="s">
        <v>3024</v>
      </c>
      <c r="D43" s="3313">
        <v>29209.22</v>
      </c>
      <c r="E43" s="3313">
        <v>52576.6</v>
      </c>
      <c r="F43" s="3313" t="s">
        <v>3092</v>
      </c>
      <c r="G43" s="3313" t="s">
        <v>3026</v>
      </c>
      <c r="H43" s="3313" t="s">
        <v>3049</v>
      </c>
      <c r="I43" s="3313" t="s">
        <v>3093</v>
      </c>
      <c r="J43" s="3313" t="s">
        <v>3093</v>
      </c>
      <c r="K43" s="3313">
        <v>9640</v>
      </c>
      <c r="L43" s="3313">
        <v>9840</v>
      </c>
      <c r="M43" s="3313">
        <v>1871.55</v>
      </c>
      <c r="N43" s="3313">
        <v>2.0699999999999998</v>
      </c>
      <c r="O43" s="3313" t="s">
        <v>3094</v>
      </c>
      <c r="P43" s="3313" t="s">
        <v>3039</v>
      </c>
    </row>
    <row r="44" spans="1:17">
      <c r="A44" s="3313" t="s">
        <v>3091</v>
      </c>
      <c r="B44" s="3313" t="s">
        <v>3023</v>
      </c>
      <c r="C44" s="3313" t="s">
        <v>3024</v>
      </c>
      <c r="D44" s="3313">
        <v>1985.28</v>
      </c>
      <c r="E44" s="3313">
        <v>3970.56</v>
      </c>
      <c r="F44" s="3313" t="s">
        <v>3025</v>
      </c>
      <c r="G44" s="3313" t="s">
        <v>3026</v>
      </c>
      <c r="H44" s="3313" t="s">
        <v>3049</v>
      </c>
      <c r="I44" s="3313" t="s">
        <v>3093</v>
      </c>
      <c r="J44" s="3313" t="s">
        <v>3093</v>
      </c>
      <c r="K44" s="3313">
        <v>660</v>
      </c>
      <c r="L44" s="3313">
        <v>760</v>
      </c>
      <c r="M44" s="3313">
        <v>1914.08</v>
      </c>
      <c r="N44" s="3313">
        <v>15.15</v>
      </c>
      <c r="O44" s="3313" t="s">
        <v>3094</v>
      </c>
      <c r="P44" s="3313" t="s">
        <v>3039</v>
      </c>
    </row>
    <row r="45" spans="1:17" s="3315" customFormat="1">
      <c r="A45" s="3314" t="s">
        <v>3091</v>
      </c>
      <c r="B45" s="3314" t="s">
        <v>3023</v>
      </c>
      <c r="C45" s="3314" t="s">
        <v>3024</v>
      </c>
      <c r="D45" s="3314">
        <v>9959.77</v>
      </c>
      <c r="E45" s="3314">
        <v>19919.54</v>
      </c>
      <c r="F45" s="3314" t="s">
        <v>3025</v>
      </c>
      <c r="G45" s="3314" t="s">
        <v>3026</v>
      </c>
      <c r="H45" s="3314" t="s">
        <v>3049</v>
      </c>
      <c r="I45" s="3314" t="s">
        <v>3093</v>
      </c>
      <c r="J45" s="3314" t="s">
        <v>3093</v>
      </c>
      <c r="K45" s="3314">
        <v>3290</v>
      </c>
      <c r="L45" s="3314">
        <v>3390</v>
      </c>
      <c r="M45" s="3314">
        <v>1701.84</v>
      </c>
      <c r="N45" s="3314">
        <v>3.04</v>
      </c>
      <c r="O45" s="3314" t="s">
        <v>3094</v>
      </c>
      <c r="P45" s="3314" t="s">
        <v>3039</v>
      </c>
      <c r="Q45" s="3315">
        <f>SUM(L43:L53)</f>
        <v>74200</v>
      </c>
    </row>
    <row r="46" spans="1:17">
      <c r="A46" s="3313" t="s">
        <v>3091</v>
      </c>
      <c r="B46" s="3313" t="s">
        <v>3023</v>
      </c>
      <c r="C46" s="3313" t="s">
        <v>3024</v>
      </c>
      <c r="D46" s="3313">
        <v>11413.42</v>
      </c>
      <c r="E46" s="3313">
        <v>20544.16</v>
      </c>
      <c r="F46" s="3313" t="s">
        <v>3092</v>
      </c>
      <c r="G46" s="3313" t="s">
        <v>3026</v>
      </c>
      <c r="H46" s="3313" t="s">
        <v>3049</v>
      </c>
      <c r="I46" s="3313" t="s">
        <v>3093</v>
      </c>
      <c r="J46" s="3313" t="s">
        <v>3093</v>
      </c>
      <c r="K46" s="3313">
        <v>3770</v>
      </c>
      <c r="L46" s="3313">
        <v>3870</v>
      </c>
      <c r="M46" s="3313">
        <v>1883.75</v>
      </c>
      <c r="N46" s="3313">
        <v>2.65</v>
      </c>
      <c r="O46" s="3313" t="s">
        <v>3094</v>
      </c>
      <c r="P46" s="3313" t="s">
        <v>3039</v>
      </c>
      <c r="Q46">
        <f>SUM(E43:E53)</f>
        <v>424778.56</v>
      </c>
    </row>
    <row r="47" spans="1:17">
      <c r="A47" s="3313" t="s">
        <v>3091</v>
      </c>
      <c r="B47" s="3313" t="s">
        <v>3023</v>
      </c>
      <c r="C47" s="3313" t="s">
        <v>3024</v>
      </c>
      <c r="D47" s="3313">
        <v>7495.98</v>
      </c>
      <c r="E47" s="3313">
        <v>22487.94</v>
      </c>
      <c r="F47" s="3313" t="s">
        <v>3095</v>
      </c>
      <c r="G47" s="3313" t="s">
        <v>3026</v>
      </c>
      <c r="H47" s="3313" t="s">
        <v>3049</v>
      </c>
      <c r="I47" s="3313" t="s">
        <v>3093</v>
      </c>
      <c r="J47" s="3313" t="s">
        <v>3093</v>
      </c>
      <c r="K47" s="3313">
        <v>2480</v>
      </c>
      <c r="L47" s="3313">
        <v>2580</v>
      </c>
      <c r="M47" s="3313">
        <v>1147.27</v>
      </c>
      <c r="N47" s="3313">
        <v>4.03</v>
      </c>
      <c r="O47" s="3313" t="s">
        <v>3094</v>
      </c>
      <c r="P47" s="3313" t="s">
        <v>3039</v>
      </c>
      <c r="Q47">
        <f>Q45/Q46*10000</f>
        <v>1746.7924934817802</v>
      </c>
    </row>
    <row r="48" spans="1:17">
      <c r="A48" s="3313" t="s">
        <v>3091</v>
      </c>
      <c r="B48" s="3313" t="s">
        <v>3023</v>
      </c>
      <c r="C48" s="3313" t="s">
        <v>3024</v>
      </c>
      <c r="D48" s="3313">
        <v>11127.4</v>
      </c>
      <c r="E48" s="3313">
        <v>22254.799999999999</v>
      </c>
      <c r="F48" s="3313" t="s">
        <v>3025</v>
      </c>
      <c r="G48" s="3313" t="s">
        <v>3026</v>
      </c>
      <c r="H48" s="3313" t="s">
        <v>3049</v>
      </c>
      <c r="I48" s="3313" t="s">
        <v>3093</v>
      </c>
      <c r="J48" s="3313" t="s">
        <v>3093</v>
      </c>
      <c r="K48" s="3313">
        <v>3680</v>
      </c>
      <c r="L48" s="3313">
        <v>3780</v>
      </c>
      <c r="M48" s="3313">
        <v>1698.5</v>
      </c>
      <c r="N48" s="3313">
        <v>2.72</v>
      </c>
      <c r="O48" s="3313" t="s">
        <v>3094</v>
      </c>
      <c r="P48" s="3313" t="s">
        <v>3039</v>
      </c>
    </row>
    <row r="49" spans="1:17">
      <c r="A49" s="3313" t="s">
        <v>3091</v>
      </c>
      <c r="B49" s="3313" t="s">
        <v>3023</v>
      </c>
      <c r="C49" s="3313" t="s">
        <v>3024</v>
      </c>
      <c r="D49" s="3313">
        <v>18192.740000000002</v>
      </c>
      <c r="E49" s="3313">
        <v>36385.480000000003</v>
      </c>
      <c r="F49" s="3313" t="s">
        <v>3025</v>
      </c>
      <c r="G49" s="3313" t="s">
        <v>3026</v>
      </c>
      <c r="H49" s="3313" t="s">
        <v>3049</v>
      </c>
      <c r="I49" s="3313" t="s">
        <v>3093</v>
      </c>
      <c r="J49" s="3313" t="s">
        <v>3093</v>
      </c>
      <c r="K49" s="3313">
        <v>6010</v>
      </c>
      <c r="L49" s="3313">
        <v>6110</v>
      </c>
      <c r="M49" s="3313">
        <v>1679.24</v>
      </c>
      <c r="N49" s="3313">
        <v>1.66</v>
      </c>
      <c r="O49" s="3313" t="s">
        <v>3094</v>
      </c>
      <c r="P49" s="3313" t="s">
        <v>3039</v>
      </c>
    </row>
    <row r="50" spans="1:17">
      <c r="A50" s="3313" t="s">
        <v>3091</v>
      </c>
      <c r="B50" s="3313" t="s">
        <v>3023</v>
      </c>
      <c r="C50" s="3313" t="s">
        <v>3024</v>
      </c>
      <c r="D50" s="3313">
        <v>5657.59</v>
      </c>
      <c r="E50" s="3313">
        <v>10183.66</v>
      </c>
      <c r="F50" s="3313" t="s">
        <v>3092</v>
      </c>
      <c r="G50" s="3313" t="s">
        <v>3026</v>
      </c>
      <c r="H50" s="3313" t="s">
        <v>3049</v>
      </c>
      <c r="I50" s="3313" t="s">
        <v>3093</v>
      </c>
      <c r="J50" s="3313" t="s">
        <v>3093</v>
      </c>
      <c r="K50" s="3313">
        <v>1870</v>
      </c>
      <c r="L50" s="3313">
        <v>1970</v>
      </c>
      <c r="M50" s="3313">
        <v>1934.47</v>
      </c>
      <c r="N50" s="3313">
        <v>5.35</v>
      </c>
      <c r="O50" s="3313" t="s">
        <v>3094</v>
      </c>
      <c r="P50" s="3313" t="s">
        <v>3039</v>
      </c>
    </row>
    <row r="51" spans="1:17">
      <c r="A51" s="3313" t="s">
        <v>3091</v>
      </c>
      <c r="B51" s="3313" t="s">
        <v>3023</v>
      </c>
      <c r="C51" s="3313" t="s">
        <v>3024</v>
      </c>
      <c r="D51" s="3313">
        <v>62578.68</v>
      </c>
      <c r="E51" s="3313">
        <v>112641.62</v>
      </c>
      <c r="F51" s="3313" t="s">
        <v>3092</v>
      </c>
      <c r="G51" s="3313" t="s">
        <v>3026</v>
      </c>
      <c r="H51" s="3313" t="s">
        <v>3049</v>
      </c>
      <c r="I51" s="3313" t="s">
        <v>3093</v>
      </c>
      <c r="J51" s="3313" t="s">
        <v>3093</v>
      </c>
      <c r="K51" s="3313">
        <v>20660</v>
      </c>
      <c r="L51" s="3313">
        <v>21060</v>
      </c>
      <c r="M51" s="3313">
        <v>1869.65</v>
      </c>
      <c r="N51" s="3313">
        <v>1.94</v>
      </c>
      <c r="O51" s="3313" t="s">
        <v>3094</v>
      </c>
      <c r="P51" s="3313" t="s">
        <v>3039</v>
      </c>
    </row>
    <row r="52" spans="1:17">
      <c r="A52" s="3313" t="s">
        <v>3091</v>
      </c>
      <c r="B52" s="3313" t="s">
        <v>3023</v>
      </c>
      <c r="C52" s="3313" t="s">
        <v>3024</v>
      </c>
      <c r="D52" s="3313">
        <v>36581.4</v>
      </c>
      <c r="E52" s="3313">
        <v>73162.8</v>
      </c>
      <c r="F52" s="3313" t="s">
        <v>3025</v>
      </c>
      <c r="G52" s="3313" t="s">
        <v>3026</v>
      </c>
      <c r="H52" s="3313" t="s">
        <v>3049</v>
      </c>
      <c r="I52" s="3313" t="s">
        <v>3093</v>
      </c>
      <c r="J52" s="3313" t="s">
        <v>3093</v>
      </c>
      <c r="K52" s="3313">
        <v>12080</v>
      </c>
      <c r="L52" s="3313">
        <v>12280</v>
      </c>
      <c r="M52" s="3313">
        <v>1678.45</v>
      </c>
      <c r="N52" s="3313">
        <v>1.66</v>
      </c>
      <c r="O52" s="3313" t="s">
        <v>3094</v>
      </c>
      <c r="P52" s="3313" t="s">
        <v>3039</v>
      </c>
    </row>
    <row r="53" spans="1:17">
      <c r="A53" s="3313" t="s">
        <v>3091</v>
      </c>
      <c r="B53" s="3313" t="s">
        <v>3023</v>
      </c>
      <c r="C53" s="3313" t="s">
        <v>3024</v>
      </c>
      <c r="D53" s="3313">
        <v>25325.7</v>
      </c>
      <c r="E53" s="3313">
        <v>50651.4</v>
      </c>
      <c r="F53" s="3313" t="s">
        <v>3025</v>
      </c>
      <c r="G53" s="3313" t="s">
        <v>3026</v>
      </c>
      <c r="H53" s="3313" t="s">
        <v>3049</v>
      </c>
      <c r="I53" s="3313" t="s">
        <v>3093</v>
      </c>
      <c r="J53" s="3313" t="s">
        <v>3093</v>
      </c>
      <c r="K53" s="3313">
        <v>8360</v>
      </c>
      <c r="L53" s="3313">
        <v>8560</v>
      </c>
      <c r="M53" s="3313">
        <v>1689.98</v>
      </c>
      <c r="N53" s="3313">
        <v>2.39</v>
      </c>
      <c r="O53" s="3313" t="s">
        <v>3094</v>
      </c>
      <c r="P53" s="3313" t="s">
        <v>3039</v>
      </c>
    </row>
    <row r="54" spans="1:17">
      <c r="A54" s="3316" t="s">
        <v>3096</v>
      </c>
      <c r="B54" s="3316" t="s">
        <v>3023</v>
      </c>
      <c r="C54" s="3316" t="s">
        <v>3024</v>
      </c>
      <c r="D54" s="3316">
        <v>35117</v>
      </c>
      <c r="E54" s="3316">
        <v>70234</v>
      </c>
      <c r="F54" s="3316" t="s">
        <v>3025</v>
      </c>
      <c r="G54" s="3316" t="s">
        <v>3026</v>
      </c>
      <c r="H54" s="3316" t="s">
        <v>3049</v>
      </c>
      <c r="I54" s="3316" t="s">
        <v>3097</v>
      </c>
      <c r="J54" s="3316" t="s">
        <v>3097</v>
      </c>
      <c r="K54" s="3316">
        <v>14751</v>
      </c>
      <c r="L54" s="3316">
        <v>14811</v>
      </c>
      <c r="M54" s="3316">
        <v>2108.8000000000002</v>
      </c>
      <c r="N54" s="3316">
        <v>0.41</v>
      </c>
      <c r="O54" s="3316" t="s">
        <v>3098</v>
      </c>
      <c r="P54" s="3316" t="s">
        <v>3039</v>
      </c>
    </row>
    <row r="55" spans="1:17">
      <c r="A55" s="3316" t="s">
        <v>3096</v>
      </c>
      <c r="B55" s="3316" t="s">
        <v>3023</v>
      </c>
      <c r="C55" s="3316" t="s">
        <v>3024</v>
      </c>
      <c r="D55" s="3316">
        <v>64543</v>
      </c>
      <c r="E55" s="3316">
        <v>129086</v>
      </c>
      <c r="F55" s="3316" t="s">
        <v>3025</v>
      </c>
      <c r="G55" s="3316" t="s">
        <v>3026</v>
      </c>
      <c r="H55" s="3316" t="s">
        <v>3049</v>
      </c>
      <c r="I55" s="3316" t="s">
        <v>3097</v>
      </c>
      <c r="J55" s="3316" t="s">
        <v>3097</v>
      </c>
      <c r="K55" s="3316">
        <v>27107</v>
      </c>
      <c r="L55" s="3316">
        <v>27167</v>
      </c>
      <c r="M55" s="3316">
        <v>2104.5700000000002</v>
      </c>
      <c r="N55" s="3316">
        <v>0.22</v>
      </c>
      <c r="O55" s="3316" t="s">
        <v>3098</v>
      </c>
      <c r="P55" s="3316" t="s">
        <v>3039</v>
      </c>
    </row>
    <row r="56" spans="1:17">
      <c r="A56" s="3316" t="s">
        <v>3096</v>
      </c>
      <c r="B56" s="3316" t="s">
        <v>3023</v>
      </c>
      <c r="C56" s="3316" t="s">
        <v>3024</v>
      </c>
      <c r="D56" s="3316">
        <v>51752</v>
      </c>
      <c r="E56" s="3316">
        <v>103504</v>
      </c>
      <c r="F56" s="3316" t="s">
        <v>3025</v>
      </c>
      <c r="G56" s="3316" t="s">
        <v>3026</v>
      </c>
      <c r="H56" s="3316" t="s">
        <v>3049</v>
      </c>
      <c r="I56" s="3316" t="s">
        <v>3097</v>
      </c>
      <c r="J56" s="3316" t="s">
        <v>3097</v>
      </c>
      <c r="K56" s="3316">
        <v>21737</v>
      </c>
      <c r="L56" s="3316">
        <v>21797</v>
      </c>
      <c r="M56" s="3316">
        <v>2105.9</v>
      </c>
      <c r="N56" s="3316">
        <v>0.28000000000000003</v>
      </c>
      <c r="O56" s="3316" t="s">
        <v>3098</v>
      </c>
      <c r="P56" s="3316" t="s">
        <v>3039</v>
      </c>
    </row>
    <row r="57" spans="1:17">
      <c r="A57" s="3316" t="s">
        <v>3099</v>
      </c>
      <c r="B57" s="3316" t="s">
        <v>3023</v>
      </c>
      <c r="C57" s="3316" t="s">
        <v>3024</v>
      </c>
      <c r="D57" s="3316">
        <v>35152.720000000001</v>
      </c>
      <c r="E57" s="3316">
        <v>87881.8</v>
      </c>
      <c r="F57" s="3316" t="s">
        <v>3041</v>
      </c>
      <c r="G57" s="3316" t="s">
        <v>3026</v>
      </c>
      <c r="H57" s="3316" t="s">
        <v>3049</v>
      </c>
      <c r="I57" s="3316" t="s">
        <v>3100</v>
      </c>
      <c r="J57" s="3316" t="s">
        <v>3100</v>
      </c>
      <c r="K57" s="3316">
        <v>5280</v>
      </c>
      <c r="L57" s="3316">
        <v>5500</v>
      </c>
      <c r="M57" s="3316">
        <v>625.84</v>
      </c>
      <c r="N57" s="3316">
        <v>4.17</v>
      </c>
      <c r="O57" s="3316" t="s">
        <v>3101</v>
      </c>
      <c r="P57" s="3316" t="s">
        <v>3039</v>
      </c>
    </row>
    <row r="58" spans="1:17">
      <c r="A58" s="3316" t="s">
        <v>3102</v>
      </c>
      <c r="B58" s="3316" t="s">
        <v>3023</v>
      </c>
      <c r="C58" s="3316" t="s">
        <v>3024</v>
      </c>
      <c r="D58" s="3316">
        <v>61812.78</v>
      </c>
      <c r="E58" s="3316">
        <v>123625.56</v>
      </c>
      <c r="F58" s="3316" t="s">
        <v>3025</v>
      </c>
      <c r="G58" s="3316" t="s">
        <v>3026</v>
      </c>
      <c r="H58" s="3316" t="s">
        <v>3049</v>
      </c>
      <c r="I58" s="3316" t="s">
        <v>3103</v>
      </c>
      <c r="J58" s="3316" t="s">
        <v>3103</v>
      </c>
      <c r="K58" s="3316">
        <v>27820</v>
      </c>
      <c r="L58" s="3316">
        <v>33800</v>
      </c>
      <c r="M58" s="3316">
        <v>2734.05</v>
      </c>
      <c r="N58" s="3316">
        <v>21.5</v>
      </c>
      <c r="O58" s="3316" t="s">
        <v>3101</v>
      </c>
      <c r="P58" s="3316" t="s">
        <v>3039</v>
      </c>
    </row>
    <row r="59" spans="1:17">
      <c r="A59" s="3316" t="s">
        <v>3102</v>
      </c>
      <c r="B59" s="3316" t="s">
        <v>3023</v>
      </c>
      <c r="C59" s="3316" t="s">
        <v>3024</v>
      </c>
      <c r="D59" s="3316">
        <v>47295.03</v>
      </c>
      <c r="E59" s="3316">
        <v>85131.05</v>
      </c>
      <c r="F59" s="3316" t="s">
        <v>3092</v>
      </c>
      <c r="G59" s="3316" t="s">
        <v>3026</v>
      </c>
      <c r="H59" s="3316" t="s">
        <v>3049</v>
      </c>
      <c r="I59" s="3316" t="s">
        <v>3103</v>
      </c>
      <c r="J59" s="3316" t="s">
        <v>3103</v>
      </c>
      <c r="K59" s="3316">
        <v>21290</v>
      </c>
      <c r="L59" s="3316">
        <v>25600</v>
      </c>
      <c r="M59" s="3316">
        <v>3007.13</v>
      </c>
      <c r="N59" s="3316">
        <v>20.239999999999998</v>
      </c>
      <c r="O59" s="3316" t="s">
        <v>3101</v>
      </c>
      <c r="P59" s="3316" t="s">
        <v>3039</v>
      </c>
    </row>
    <row r="60" spans="1:17">
      <c r="A60" s="3316" t="s">
        <v>3099</v>
      </c>
      <c r="B60" s="3316" t="s">
        <v>3023</v>
      </c>
      <c r="C60" s="3316" t="s">
        <v>3024</v>
      </c>
      <c r="D60" s="3316">
        <v>11265.3</v>
      </c>
      <c r="E60" s="3316">
        <v>16897.95</v>
      </c>
      <c r="F60" s="3316" t="s">
        <v>3064</v>
      </c>
      <c r="G60" s="3316" t="s">
        <v>3026</v>
      </c>
      <c r="H60" s="3316" t="s">
        <v>3049</v>
      </c>
      <c r="I60" s="3316" t="s">
        <v>3103</v>
      </c>
      <c r="J60" s="3316" t="s">
        <v>3103</v>
      </c>
      <c r="K60" s="3316">
        <v>3800</v>
      </c>
      <c r="L60" s="3316">
        <v>6000</v>
      </c>
      <c r="M60" s="3316">
        <v>3550.73</v>
      </c>
      <c r="N60" s="3316">
        <v>57.89</v>
      </c>
      <c r="O60" s="3316" t="s">
        <v>3101</v>
      </c>
      <c r="P60" s="3316" t="s">
        <v>3039</v>
      </c>
    </row>
    <row r="61" spans="1:17">
      <c r="A61" s="3313" t="s">
        <v>3091</v>
      </c>
      <c r="B61" s="3313" t="s">
        <v>3023</v>
      </c>
      <c r="C61" s="3313" t="s">
        <v>3063</v>
      </c>
      <c r="D61" s="3313">
        <v>21595.59</v>
      </c>
      <c r="E61" s="3313">
        <v>43191.18</v>
      </c>
      <c r="F61" s="3313" t="s">
        <v>3104</v>
      </c>
      <c r="G61" s="3313" t="s">
        <v>3026</v>
      </c>
      <c r="H61" s="3313" t="s">
        <v>3105</v>
      </c>
      <c r="I61" s="3313" t="s">
        <v>3106</v>
      </c>
      <c r="J61" s="3313" t="s">
        <v>3106</v>
      </c>
      <c r="K61" s="3313">
        <v>7130</v>
      </c>
      <c r="L61" s="3313">
        <v>7330</v>
      </c>
      <c r="M61" s="3313">
        <v>1697.1</v>
      </c>
      <c r="N61" s="3313">
        <v>2.81</v>
      </c>
      <c r="O61" s="3313" t="s">
        <v>3107</v>
      </c>
      <c r="P61" s="3313" t="s">
        <v>3039</v>
      </c>
    </row>
    <row r="62" spans="1:17">
      <c r="A62" s="3313" t="s">
        <v>3091</v>
      </c>
      <c r="B62" s="3313" t="s">
        <v>3023</v>
      </c>
      <c r="C62" s="3313" t="s">
        <v>3063</v>
      </c>
      <c r="D62" s="3313">
        <v>39598.58</v>
      </c>
      <c r="E62" s="3313">
        <v>79197.16</v>
      </c>
      <c r="F62" s="3313" t="s">
        <v>3104</v>
      </c>
      <c r="G62" s="3313" t="s">
        <v>3026</v>
      </c>
      <c r="H62" s="3313" t="s">
        <v>3105</v>
      </c>
      <c r="I62" s="3313" t="s">
        <v>3106</v>
      </c>
      <c r="J62" s="3313" t="s">
        <v>3106</v>
      </c>
      <c r="K62" s="3313">
        <v>13070</v>
      </c>
      <c r="L62" s="3313">
        <v>13370</v>
      </c>
      <c r="M62" s="3313">
        <v>1688.19</v>
      </c>
      <c r="N62" s="3313">
        <v>2.2999999999999998</v>
      </c>
      <c r="O62" s="3313" t="s">
        <v>3107</v>
      </c>
      <c r="P62" s="3313" t="s">
        <v>3039</v>
      </c>
      <c r="Q62">
        <f>SUM(L61:L66)</f>
        <v>84400</v>
      </c>
    </row>
    <row r="63" spans="1:17" s="3315" customFormat="1">
      <c r="A63" s="3314" t="s">
        <v>3091</v>
      </c>
      <c r="B63" s="3314" t="s">
        <v>3023</v>
      </c>
      <c r="C63" s="3314" t="s">
        <v>3063</v>
      </c>
      <c r="D63" s="3314">
        <v>64219.97</v>
      </c>
      <c r="E63" s="3314">
        <v>115596</v>
      </c>
      <c r="F63" s="3314" t="s">
        <v>3108</v>
      </c>
      <c r="G63" s="3314" t="s">
        <v>3026</v>
      </c>
      <c r="H63" s="3314" t="s">
        <v>3105</v>
      </c>
      <c r="I63" s="3314" t="s">
        <v>3106</v>
      </c>
      <c r="J63" s="3314" t="s">
        <v>3106</v>
      </c>
      <c r="K63" s="3314">
        <v>21200</v>
      </c>
      <c r="L63" s="3314">
        <v>21700</v>
      </c>
      <c r="M63" s="3314">
        <v>1877.23</v>
      </c>
      <c r="N63" s="3314">
        <v>2.36</v>
      </c>
      <c r="O63" s="3314" t="s">
        <v>3107</v>
      </c>
      <c r="P63" s="3314" t="s">
        <v>3039</v>
      </c>
      <c r="Q63" s="3315">
        <f>SUM(E61:E66)</f>
        <v>453617.17999999993</v>
      </c>
    </row>
    <row r="64" spans="1:17">
      <c r="A64" s="3313" t="s">
        <v>3091</v>
      </c>
      <c r="B64" s="3313" t="s">
        <v>3023</v>
      </c>
      <c r="C64" s="3313" t="s">
        <v>3063</v>
      </c>
      <c r="D64" s="3313">
        <v>55674.97</v>
      </c>
      <c r="E64" s="3313">
        <v>100215</v>
      </c>
      <c r="F64" s="3313" t="s">
        <v>3108</v>
      </c>
      <c r="G64" s="3313" t="s">
        <v>3026</v>
      </c>
      <c r="H64" s="3313" t="s">
        <v>3105</v>
      </c>
      <c r="I64" s="3313" t="s">
        <v>3106</v>
      </c>
      <c r="J64" s="3313" t="s">
        <v>3106</v>
      </c>
      <c r="K64" s="3313">
        <v>18380</v>
      </c>
      <c r="L64" s="3313">
        <v>18780</v>
      </c>
      <c r="M64" s="3313">
        <v>1873.97</v>
      </c>
      <c r="N64" s="3313">
        <v>2.1800000000000002</v>
      </c>
      <c r="O64" s="3313" t="s">
        <v>3107</v>
      </c>
      <c r="P64" s="3313" t="s">
        <v>3039</v>
      </c>
      <c r="Q64">
        <f>Q62/Q63*10000</f>
        <v>1860.5997241991588</v>
      </c>
    </row>
    <row r="65" spans="1:16">
      <c r="A65" s="3313" t="s">
        <v>3091</v>
      </c>
      <c r="B65" s="3313" t="s">
        <v>3023</v>
      </c>
      <c r="C65" s="3313" t="s">
        <v>3063</v>
      </c>
      <c r="D65" s="3313">
        <v>40602.769999999997</v>
      </c>
      <c r="E65" s="3313">
        <v>73084.990000000005</v>
      </c>
      <c r="F65" s="3313" t="s">
        <v>3108</v>
      </c>
      <c r="G65" s="3313" t="s">
        <v>3026</v>
      </c>
      <c r="H65" s="3313" t="s">
        <v>3105</v>
      </c>
      <c r="I65" s="3313" t="s">
        <v>3106</v>
      </c>
      <c r="J65" s="3313" t="s">
        <v>3106</v>
      </c>
      <c r="K65" s="3313">
        <v>13400</v>
      </c>
      <c r="L65" s="3313">
        <v>13700</v>
      </c>
      <c r="M65" s="3313">
        <v>1874.52</v>
      </c>
      <c r="N65" s="3313">
        <v>2.2400000000000002</v>
      </c>
      <c r="O65" s="3313" t="s">
        <v>3107</v>
      </c>
      <c r="P65" s="3313" t="s">
        <v>3039</v>
      </c>
    </row>
    <row r="66" spans="1:16">
      <c r="A66" s="3313" t="s">
        <v>3091</v>
      </c>
      <c r="B66" s="3313" t="s">
        <v>3023</v>
      </c>
      <c r="C66" s="3313" t="s">
        <v>3063</v>
      </c>
      <c r="D66" s="3313">
        <v>28221.9</v>
      </c>
      <c r="E66" s="3313">
        <v>42332.85</v>
      </c>
      <c r="F66" s="3313" t="s">
        <v>3109</v>
      </c>
      <c r="G66" s="3313" t="s">
        <v>3026</v>
      </c>
      <c r="H66" s="3313" t="s">
        <v>3105</v>
      </c>
      <c r="I66" s="3313" t="s">
        <v>3106</v>
      </c>
      <c r="J66" s="3313" t="s">
        <v>3106</v>
      </c>
      <c r="K66" s="3313">
        <v>9320</v>
      </c>
      <c r="L66" s="3313">
        <v>9520</v>
      </c>
      <c r="M66" s="3313">
        <v>2248.84</v>
      </c>
      <c r="N66" s="3313">
        <v>2.15</v>
      </c>
      <c r="O66" s="3313" t="s">
        <v>3107</v>
      </c>
      <c r="P66" s="3313" t="s">
        <v>3039</v>
      </c>
    </row>
    <row r="67" spans="1:16">
      <c r="A67" s="3316" t="s">
        <v>3099</v>
      </c>
      <c r="B67" s="3316" t="s">
        <v>3023</v>
      </c>
      <c r="C67" s="3316" t="s">
        <v>3024</v>
      </c>
      <c r="D67" s="3316">
        <v>52422.49</v>
      </c>
      <c r="E67" s="3316">
        <v>131056.23</v>
      </c>
      <c r="F67" s="3316" t="s">
        <v>3041</v>
      </c>
      <c r="G67" s="3316" t="s">
        <v>3026</v>
      </c>
      <c r="H67" s="3316" t="s">
        <v>3110</v>
      </c>
      <c r="I67" s="3316" t="s">
        <v>3111</v>
      </c>
      <c r="J67" s="3316" t="s">
        <v>3111</v>
      </c>
      <c r="K67" s="3316" t="s">
        <v>2796</v>
      </c>
      <c r="L67" s="3316">
        <v>19185.72</v>
      </c>
      <c r="M67" s="3316">
        <v>1463.93</v>
      </c>
      <c r="N67" s="3316" t="s">
        <v>2796</v>
      </c>
      <c r="O67" s="3316" t="s">
        <v>3112</v>
      </c>
      <c r="P67" s="3316" t="s">
        <v>3039</v>
      </c>
    </row>
    <row r="68" spans="1:16">
      <c r="A68" s="3316" t="s">
        <v>3099</v>
      </c>
      <c r="B68" s="3316" t="s">
        <v>3023</v>
      </c>
      <c r="C68" s="3316" t="s">
        <v>3024</v>
      </c>
      <c r="D68" s="3316">
        <v>59476.959999999999</v>
      </c>
      <c r="E68" s="3316">
        <v>148692.4</v>
      </c>
      <c r="F68" s="3316" t="s">
        <v>3041</v>
      </c>
      <c r="G68" s="3316" t="s">
        <v>3026</v>
      </c>
      <c r="H68" s="3316" t="s">
        <v>3110</v>
      </c>
      <c r="I68" s="3316" t="s">
        <v>3111</v>
      </c>
      <c r="J68" s="3316" t="s">
        <v>3111</v>
      </c>
      <c r="K68" s="3316" t="s">
        <v>2796</v>
      </c>
      <c r="L68" s="3316">
        <v>21769.68</v>
      </c>
      <c r="M68" s="3316">
        <v>1464.06</v>
      </c>
      <c r="N68" s="3316" t="s">
        <v>2796</v>
      </c>
      <c r="O68" s="3316" t="s">
        <v>3112</v>
      </c>
      <c r="P68" s="3316" t="s">
        <v>3039</v>
      </c>
    </row>
    <row r="69" spans="1:16">
      <c r="A69" s="3316" t="s">
        <v>3113</v>
      </c>
      <c r="B69" s="3316" t="s">
        <v>3023</v>
      </c>
      <c r="C69" s="3316" t="s">
        <v>3024</v>
      </c>
      <c r="D69" s="3316">
        <v>18336.32</v>
      </c>
      <c r="E69" s="3316">
        <v>36672.639999999999</v>
      </c>
      <c r="F69" s="3316" t="s">
        <v>3025</v>
      </c>
      <c r="G69" s="3316" t="s">
        <v>3026</v>
      </c>
      <c r="H69" s="3316" t="s">
        <v>3110</v>
      </c>
      <c r="I69" s="3316" t="s">
        <v>3114</v>
      </c>
      <c r="J69" s="3316" t="s">
        <v>3114</v>
      </c>
      <c r="K69" s="3316">
        <v>5536</v>
      </c>
      <c r="L69" s="3316">
        <v>5721</v>
      </c>
      <c r="M69" s="3316">
        <v>1560.01</v>
      </c>
      <c r="N69" s="3316">
        <v>3.34</v>
      </c>
      <c r="O69" s="3316" t="s">
        <v>3115</v>
      </c>
      <c r="P69" s="3316" t="s">
        <v>3030</v>
      </c>
    </row>
    <row r="70" spans="1:16">
      <c r="A70" s="3316" t="s">
        <v>3116</v>
      </c>
      <c r="B70" s="3316" t="s">
        <v>3023</v>
      </c>
      <c r="C70" s="3316" t="s">
        <v>3024</v>
      </c>
      <c r="D70" s="3316">
        <v>14970.86</v>
      </c>
      <c r="E70" s="3316">
        <v>26947.55</v>
      </c>
      <c r="F70" s="3316" t="s">
        <v>3092</v>
      </c>
      <c r="G70" s="3316" t="s">
        <v>3026</v>
      </c>
      <c r="H70" s="3316" t="s">
        <v>3110</v>
      </c>
      <c r="I70" s="3316" t="s">
        <v>3117</v>
      </c>
      <c r="J70" s="3316" t="s">
        <v>3117</v>
      </c>
      <c r="K70" s="3316">
        <v>5660</v>
      </c>
      <c r="L70" s="3316">
        <v>5682.46</v>
      </c>
      <c r="M70" s="3316">
        <v>2108.71</v>
      </c>
      <c r="N70" s="3316">
        <v>0.4</v>
      </c>
      <c r="O70" s="3316" t="s">
        <v>3118</v>
      </c>
      <c r="P70" s="3316" t="s">
        <v>3039</v>
      </c>
    </row>
    <row r="71" spans="1:16">
      <c r="A71" s="3316" t="s">
        <v>3119</v>
      </c>
      <c r="B71" s="3316" t="s">
        <v>3023</v>
      </c>
      <c r="C71" s="3316" t="s">
        <v>3024</v>
      </c>
      <c r="D71" s="3316">
        <v>17388.64</v>
      </c>
      <c r="E71" s="3316">
        <v>31299.55</v>
      </c>
      <c r="F71" s="3316" t="s">
        <v>3092</v>
      </c>
      <c r="G71" s="3316" t="s">
        <v>3026</v>
      </c>
      <c r="H71" s="3316" t="s">
        <v>3110</v>
      </c>
      <c r="I71" s="3316" t="s">
        <v>3117</v>
      </c>
      <c r="J71" s="3316" t="s">
        <v>3117</v>
      </c>
      <c r="K71" s="3316">
        <v>6575</v>
      </c>
      <c r="L71" s="3316">
        <v>6601.07</v>
      </c>
      <c r="M71" s="3316">
        <v>2109</v>
      </c>
      <c r="N71" s="3316">
        <v>0.4</v>
      </c>
      <c r="O71" s="3316" t="s">
        <v>3118</v>
      </c>
      <c r="P71" s="3316" t="s">
        <v>3039</v>
      </c>
    </row>
    <row r="72" spans="1:16">
      <c r="A72" s="3316" t="s">
        <v>3120</v>
      </c>
      <c r="B72" s="3316" t="s">
        <v>3023</v>
      </c>
      <c r="C72" s="3316" t="s">
        <v>3024</v>
      </c>
      <c r="D72" s="3316">
        <v>39320.660000000003</v>
      </c>
      <c r="E72" s="3316">
        <v>98301.65</v>
      </c>
      <c r="F72" s="3316" t="s">
        <v>3041</v>
      </c>
      <c r="G72" s="3316" t="s">
        <v>3026</v>
      </c>
      <c r="H72" s="3316" t="s">
        <v>3110</v>
      </c>
      <c r="I72" s="3316" t="s">
        <v>3121</v>
      </c>
      <c r="J72" s="3316" t="s">
        <v>3121</v>
      </c>
      <c r="K72" s="3316">
        <v>4720</v>
      </c>
      <c r="L72" s="3316">
        <v>8800</v>
      </c>
      <c r="M72" s="3316">
        <v>895.2</v>
      </c>
      <c r="N72" s="3316">
        <v>86.44</v>
      </c>
      <c r="O72" s="3316" t="s">
        <v>3122</v>
      </c>
      <c r="P72" s="3316" t="s">
        <v>3030</v>
      </c>
    </row>
    <row r="73" spans="1:16">
      <c r="A73" s="3316" t="s">
        <v>3123</v>
      </c>
      <c r="B73" s="3316" t="s">
        <v>3023</v>
      </c>
      <c r="C73" s="3316" t="s">
        <v>3024</v>
      </c>
      <c r="D73" s="3316">
        <v>14990.35</v>
      </c>
      <c r="E73" s="3316">
        <v>37475.879999999997</v>
      </c>
      <c r="F73" s="3316" t="s">
        <v>3048</v>
      </c>
      <c r="G73" s="3316" t="s">
        <v>3026</v>
      </c>
      <c r="H73" s="3316" t="s">
        <v>3110</v>
      </c>
      <c r="I73" s="3316" t="s">
        <v>3121</v>
      </c>
      <c r="J73" s="3316" t="s">
        <v>3121</v>
      </c>
      <c r="K73" s="3316">
        <v>2834</v>
      </c>
      <c r="L73" s="3316">
        <v>2834</v>
      </c>
      <c r="M73" s="3316">
        <v>756.22</v>
      </c>
      <c r="N73" s="3316">
        <v>0</v>
      </c>
      <c r="O73" s="3316" t="s">
        <v>3124</v>
      </c>
      <c r="P73" s="3316" t="s">
        <v>3052</v>
      </c>
    </row>
    <row r="74" spans="1:16">
      <c r="A74" s="3316" t="s">
        <v>3125</v>
      </c>
      <c r="B74" s="3316" t="s">
        <v>3023</v>
      </c>
      <c r="C74" s="3316" t="s">
        <v>3024</v>
      </c>
      <c r="D74" s="3316">
        <v>75346.25</v>
      </c>
      <c r="E74" s="3316">
        <v>188365.6</v>
      </c>
      <c r="F74" s="3316" t="s">
        <v>3041</v>
      </c>
      <c r="G74" s="3316" t="s">
        <v>3026</v>
      </c>
      <c r="H74" s="3316" t="s">
        <v>3110</v>
      </c>
      <c r="I74" s="3316" t="s">
        <v>3121</v>
      </c>
      <c r="J74" s="3316" t="s">
        <v>3121</v>
      </c>
      <c r="K74" s="3316">
        <v>9042</v>
      </c>
      <c r="L74" s="3316">
        <v>17200</v>
      </c>
      <c r="M74" s="3316">
        <v>913.12</v>
      </c>
      <c r="N74" s="3316">
        <v>90.22</v>
      </c>
      <c r="O74" s="3316" t="s">
        <v>3126</v>
      </c>
      <c r="P74" s="3316" t="s">
        <v>3030</v>
      </c>
    </row>
    <row r="75" spans="1:16">
      <c r="A75" s="3316" t="s">
        <v>3120</v>
      </c>
      <c r="B75" s="3316" t="s">
        <v>3023</v>
      </c>
      <c r="C75" s="3316" t="s">
        <v>3024</v>
      </c>
      <c r="D75" s="3316">
        <v>63926.15</v>
      </c>
      <c r="E75" s="3316">
        <v>159815.4</v>
      </c>
      <c r="F75" s="3316" t="s">
        <v>3041</v>
      </c>
      <c r="G75" s="3316" t="s">
        <v>3026</v>
      </c>
      <c r="H75" s="3316" t="s">
        <v>3110</v>
      </c>
      <c r="I75" s="3316" t="s">
        <v>3121</v>
      </c>
      <c r="J75" s="3316" t="s">
        <v>3121</v>
      </c>
      <c r="K75" s="3316">
        <v>7672</v>
      </c>
      <c r="L75" s="3316">
        <v>15200</v>
      </c>
      <c r="M75" s="3316">
        <v>951.1</v>
      </c>
      <c r="N75" s="3316">
        <v>98.12</v>
      </c>
      <c r="O75" s="3316" t="s">
        <v>3122</v>
      </c>
      <c r="P75" s="3316" t="s">
        <v>3030</v>
      </c>
    </row>
    <row r="76" spans="1:16">
      <c r="A76" s="3316" t="s">
        <v>3125</v>
      </c>
      <c r="B76" s="3316" t="s">
        <v>3023</v>
      </c>
      <c r="C76" s="3316" t="s">
        <v>3024</v>
      </c>
      <c r="D76" s="3316">
        <v>51530.81</v>
      </c>
      <c r="E76" s="3316">
        <v>128827</v>
      </c>
      <c r="F76" s="3316" t="s">
        <v>3041</v>
      </c>
      <c r="G76" s="3316" t="s">
        <v>3026</v>
      </c>
      <c r="H76" s="3316" t="s">
        <v>3110</v>
      </c>
      <c r="I76" s="3316" t="s">
        <v>3121</v>
      </c>
      <c r="J76" s="3316" t="s">
        <v>3121</v>
      </c>
      <c r="K76" s="3316">
        <v>6184</v>
      </c>
      <c r="L76" s="3316">
        <v>13200</v>
      </c>
      <c r="M76" s="3316">
        <v>1024.6300000000001</v>
      </c>
      <c r="N76" s="3316">
        <v>113.45</v>
      </c>
      <c r="O76" s="3316" t="s">
        <v>3126</v>
      </c>
      <c r="P76" s="3316" t="s">
        <v>3030</v>
      </c>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N28" sqref="N28"/>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f ca="1">C36</f>
        <v>39248</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1674</v>
      </c>
      <c r="B3" s="1989">
        <f ca="1">ROUND(B2*10000/IF(B1="",'数据-汇总表'!E3,INDIRECT("'数据-取费表'!K"&amp;$K$1)),0)</f>
        <v>2884</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7211</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481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1832</v>
      </c>
      <c r="B6" s="2546"/>
      <c r="C6" s="2547">
        <f>SUM(C10:K10)</f>
        <v>129604</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t="s">
        <v>913</v>
      </c>
      <c r="D7" s="430"/>
      <c r="E7" s="430"/>
      <c r="F7" s="430"/>
      <c r="G7" s="430"/>
      <c r="H7" s="430"/>
      <c r="I7" s="430"/>
      <c r="J7" s="430"/>
      <c r="K7" s="431"/>
      <c r="AA7" s="1994"/>
      <c r="AB7" s="1994"/>
      <c r="AC7" s="1994"/>
      <c r="AD7" s="1994"/>
      <c r="AE7" s="1994"/>
    </row>
    <row r="8" spans="1:31" s="1997" customFormat="1" ht="13.5" customHeight="1">
      <c r="A8" s="793" t="s">
        <v>1835</v>
      </c>
      <c r="B8" s="259" t="s">
        <v>466</v>
      </c>
      <c r="C8" s="2551">
        <f>'不动产比较法-住宅'!B3</f>
        <v>9525</v>
      </c>
      <c r="D8" s="2551"/>
      <c r="E8" s="2551"/>
      <c r="F8" s="2551"/>
      <c r="G8" s="2551"/>
      <c r="H8" s="2551"/>
      <c r="I8" s="2551"/>
      <c r="J8" s="2551"/>
      <c r="K8" s="2552"/>
      <c r="AA8" s="1996"/>
      <c r="AB8" s="1996"/>
      <c r="AC8" s="1996"/>
      <c r="AD8" s="1996"/>
      <c r="AE8" s="1996"/>
    </row>
    <row r="9" spans="1:31" s="1997" customFormat="1" ht="13.5" customHeight="1">
      <c r="A9" s="793" t="s">
        <v>1836</v>
      </c>
      <c r="B9" s="259" t="s">
        <v>467</v>
      </c>
      <c r="C9" s="435">
        <f>SUMIF('数据-汇总表'!$C19:$C33,'剩余法-待开发'!C7,'数据-汇总表'!$E19:$E33)</f>
        <v>136066.92000000001</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1837</v>
      </c>
      <c r="B10" s="2539" t="s">
        <v>468</v>
      </c>
      <c r="C10" s="2742">
        <f>'不动产比较法-住宅'!B2</f>
        <v>129604</v>
      </c>
      <c r="D10" s="2742"/>
      <c r="E10" s="2742"/>
      <c r="F10" s="2554"/>
      <c r="G10" s="2554"/>
      <c r="H10" s="2554"/>
      <c r="I10" s="2554"/>
      <c r="J10" s="2554"/>
      <c r="K10" s="2555"/>
      <c r="AA10" s="1996"/>
      <c r="AB10" s="1996"/>
      <c r="AC10" s="1996"/>
      <c r="AD10" s="1996"/>
      <c r="AE10" s="1996"/>
    </row>
    <row r="11" spans="1:31" s="1993" customFormat="1" ht="16.5" customHeight="1">
      <c r="A11" s="2556" t="s">
        <v>1833</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1838</v>
      </c>
      <c r="B13" s="2560" t="s">
        <v>473</v>
      </c>
      <c r="C13" s="444">
        <f ca="1">IF(B1="",'数据-取费表'!P16,INDIRECT("'数据-取费表'!p"&amp;$K$1)+INDIRECT("'数据-取费表'!t"&amp;$K$1))</f>
        <v>46263</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1839</v>
      </c>
      <c r="B14" s="2560" t="s">
        <v>474</v>
      </c>
      <c r="C14" s="53">
        <f ca="1">ROUND(C13*F14,0)</f>
        <v>1388</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1840</v>
      </c>
      <c r="B15" s="2560" t="s">
        <v>476</v>
      </c>
      <c r="C15" s="53">
        <f ca="1">ROUND(IF(B1="",SUMIF('数据-取费表'!C:C,"住宅",'数据-取费表'!P:P)*F15,IF(INDIRECT("'数据-取费表'!c"&amp;$K$1)="住宅",INDIRECT("'数据-取费表'!P"&amp;$K$1)*F15,0)),0)</f>
        <v>2313</v>
      </c>
      <c r="D15" s="2561"/>
      <c r="E15" s="2562"/>
      <c r="F15" s="2564">
        <f>'数据-取费表'!B34</f>
        <v>0.05</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1841</v>
      </c>
      <c r="B16" s="2560" t="s">
        <v>478</v>
      </c>
      <c r="C16" s="53">
        <f ca="1">ROUND(D16*E16/10000,0)</f>
        <v>2721</v>
      </c>
      <c r="D16" s="2561">
        <f ca="1">IF(B1="",'数据-汇总表'!E3,INDIRECT("'数据-取费表'!K"&amp;$K$1)+INDIRECT("'数据-取费表'!S"&amp;$K$1))</f>
        <v>136066.92000000001</v>
      </c>
      <c r="E16" s="53">
        <f>'数据-取费表'!B35</f>
        <v>200</v>
      </c>
      <c r="F16" s="2564"/>
      <c r="G16" s="2529"/>
      <c r="H16" s="2530"/>
      <c r="I16" s="2530"/>
      <c r="J16" s="2530"/>
      <c r="K16" s="2531"/>
      <c r="AA16" s="1998"/>
      <c r="AB16" s="1998"/>
      <c r="AC16" s="1998"/>
      <c r="AD16" s="1998"/>
      <c r="AE16" s="1998"/>
    </row>
    <row r="17" spans="1:26" s="1998" customFormat="1" ht="13.5" customHeight="1">
      <c r="A17" s="2559" t="s">
        <v>1842</v>
      </c>
      <c r="B17" s="2560" t="s">
        <v>479</v>
      </c>
      <c r="C17" s="2565">
        <f ca="1">ROUND(C13*F17,0)</f>
        <v>694</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1843</v>
      </c>
      <c r="B18" s="2568" t="s">
        <v>481</v>
      </c>
      <c r="C18" s="2569">
        <f ca="1">SUM(C13:C17)</f>
        <v>53379</v>
      </c>
      <c r="D18" s="2570"/>
      <c r="E18" s="462"/>
      <c r="F18" s="462"/>
      <c r="G18" s="2533" t="s">
        <v>2413</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1844</v>
      </c>
      <c r="B19" s="2568" t="s">
        <v>482</v>
      </c>
      <c r="C19" s="2525">
        <f ca="1">ROUND(D19*E19/10000,0)</f>
        <v>1089</v>
      </c>
      <c r="D19" s="2571">
        <f ca="1">D16</f>
        <v>136066.92000000001</v>
      </c>
      <c r="E19" s="2525">
        <f>'数据-取费表'!B32</f>
        <v>80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1845</v>
      </c>
      <c r="B20" s="2568" t="s">
        <v>484</v>
      </c>
      <c r="C20" s="2525">
        <f ca="1">C21+C22-IF(B1="",'数据-取费表'!B29,IF(G20="已全部缴纳",C21+C22,H20))</f>
        <v>2993</v>
      </c>
      <c r="D20" s="2571"/>
      <c r="E20" s="2525"/>
      <c r="F20" s="2572"/>
      <c r="G20" s="2776"/>
      <c r="H20" s="2527"/>
      <c r="I20" s="2528" t="s">
        <v>2630</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1846</v>
      </c>
      <c r="B21" s="2560" t="s">
        <v>485</v>
      </c>
      <c r="C21" s="53">
        <f ca="1">ROUND(D21*E21/10000,0)</f>
        <v>2993</v>
      </c>
      <c r="D21" s="2561">
        <f ca="1">IF(B1="",'数据-汇总表'!E5,IF(INDIRECT("'数据-取费表'!c"&amp;$K$1)="住宅",INDIRECT("'数据-取费表'!k"&amp;$K$1),0))</f>
        <v>136066.92000000001</v>
      </c>
      <c r="E21" s="53">
        <f>'数据-取费表'!B27</f>
        <v>220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1847</v>
      </c>
      <c r="B22" s="2560" t="s">
        <v>486</v>
      </c>
      <c r="C22" s="53">
        <f ca="1">ROUND(D22*E22/10000,0)</f>
        <v>0</v>
      </c>
      <c r="D22" s="2561">
        <f ca="1">IF(B1="",'数据-汇总表'!E6,IF(INDIRECT("'数据-取费表'!c"&amp;$K$1)="住宅",INDIRECT("'数据-取费表'!s"&amp;$K$1),INDIRECT("'数据-取费表'!k"&amp;$K$1)+INDIRECT("'数据-取费表'!s"&amp;$K$1)))</f>
        <v>0</v>
      </c>
      <c r="E22" s="53">
        <f>'数据-取费表'!B28</f>
        <v>220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1848</v>
      </c>
      <c r="B23" s="2748" t="s">
        <v>2812</v>
      </c>
      <c r="C23" s="2569">
        <f ca="1">ROUND((C18+C19+C20)*F23,0)</f>
        <v>1149</v>
      </c>
      <c r="D23" s="462"/>
      <c r="E23" s="462"/>
      <c r="F23" s="2573">
        <f>'数据-取费表'!B37</f>
        <v>0.02</v>
      </c>
      <c r="G23" s="2529" t="s">
        <v>2414</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1849</v>
      </c>
      <c r="B24" s="2748" t="s">
        <v>2815</v>
      </c>
      <c r="C24" s="2569">
        <f>ROUND(C6*F24,0)</f>
        <v>2592</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1850</v>
      </c>
      <c r="B25" s="2748" t="s">
        <v>2813</v>
      </c>
      <c r="C25" s="461">
        <f>ROUND(F25/(1+'数据-取费表'!C42),4)</f>
        <v>3.8600000000000002E-2</v>
      </c>
      <c r="D25" s="456" t="s">
        <v>2807</v>
      </c>
      <c r="E25" s="463"/>
      <c r="F25" s="2573">
        <f>IF(项目基本情况!B8="出让",0,'数据-取费表'!B48+'数据-取费表'!B49)</f>
        <v>4.0500000000000001E-2</v>
      </c>
      <c r="G25" s="2537" t="s">
        <v>2276</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1851</v>
      </c>
      <c r="B26" s="2749" t="s">
        <v>2814</v>
      </c>
      <c r="C26" s="2574">
        <f ca="1">C28</f>
        <v>2356</v>
      </c>
      <c r="D26" s="461">
        <f ca="1">C27</f>
        <v>8.1500000000000003E-2</v>
      </c>
      <c r="E26" s="463" t="s">
        <v>489</v>
      </c>
      <c r="F26" s="465">
        <f ca="1">'数据-取费表'!B40</f>
        <v>3.85E-2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1846</v>
      </c>
      <c r="B27" s="2575" t="s">
        <v>490</v>
      </c>
      <c r="C27" s="2576">
        <f ca="1">ROUND(IF('数据-取费表'!B22&lt;=1,(1+C25)*F26*'数据-取费表'!B24,(1+C25)*(POWER((1+F26),'数据-取费表'!B24)-1)),4)</f>
        <v>8.1500000000000003E-2</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1847</v>
      </c>
      <c r="B28" s="2575" t="s">
        <v>2816</v>
      </c>
      <c r="C28" s="2577">
        <f ca="1">ROUND(IF('数据-取费表'!B22&lt;=1,(C18+C19+C20+C23+C24)*F26*'数据-取费表'!B24/2,(C18+C19+C20+C23+C24)*(POWER((1+F26),'数据-取费表'!B24/2)-1)),0)</f>
        <v>2356</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1852</v>
      </c>
      <c r="B29" s="2568" t="s">
        <v>491</v>
      </c>
      <c r="C29" s="2569">
        <f>ROUND(C6*F29/(1+'数据-取费表'!C42),0)</f>
        <v>6789</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3" t="s">
        <v>1853</v>
      </c>
      <c r="B30" s="2579" t="s">
        <v>494</v>
      </c>
      <c r="C30" s="2574">
        <f ca="1">C31</f>
        <v>70347</v>
      </c>
      <c r="D30" s="471">
        <f ca="1">C32</f>
        <v>0.1201</v>
      </c>
      <c r="E30" s="463" t="s">
        <v>489</v>
      </c>
      <c r="F30" s="465"/>
      <c r="G30" s="2537" t="s">
        <v>2930</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1846</v>
      </c>
      <c r="B31" s="2575"/>
      <c r="C31" s="444">
        <f ca="1">C18+C19+C20+C23+C24+C26+C29</f>
        <v>70347</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1847</v>
      </c>
      <c r="B32" s="2575"/>
      <c r="C32" s="53">
        <f ca="1">ROUND(C25+D26,4)</f>
        <v>0.1201</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2811</v>
      </c>
      <c r="B33" s="2745" t="s">
        <v>2809</v>
      </c>
      <c r="C33" s="472">
        <f ca="1">C35</f>
        <v>9180</v>
      </c>
      <c r="D33" s="461">
        <f ca="1">C34</f>
        <v>0.15579999999999999</v>
      </c>
      <c r="E33" s="463" t="s">
        <v>489</v>
      </c>
      <c r="F33" s="473">
        <f ca="1">IF(B1="",'数据-取费表'!Q16,INDIRECT("'数据-取费表'!q"&amp;$K$1))</f>
        <v>0.15</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1846</v>
      </c>
      <c r="B34" s="2580" t="s">
        <v>495</v>
      </c>
      <c r="C34" s="466">
        <f ca="1">ROUND((1+C25)*F33,4)</f>
        <v>0.15579999999999999</v>
      </c>
      <c r="D34" s="466"/>
      <c r="E34" s="467"/>
      <c r="F34" s="474"/>
      <c r="G34" s="259" t="s">
        <v>2277</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4" t="s">
        <v>1847</v>
      </c>
      <c r="B35" s="2746" t="s">
        <v>2817</v>
      </c>
      <c r="C35" s="1556">
        <f ca="1">ROUND((C18+C19+C20+C23+C24)*F33,0)</f>
        <v>9180</v>
      </c>
      <c r="D35" s="1557"/>
      <c r="E35" s="2581"/>
      <c r="F35" s="1558"/>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1834</v>
      </c>
      <c r="B36" s="2543"/>
      <c r="C36" s="2582">
        <f ca="1">ROUND((C6-C30-C33)/(1+D30+D33),0)</f>
        <v>39248</v>
      </c>
      <c r="D36" s="2543"/>
      <c r="E36" s="2543"/>
      <c r="F36" s="2543"/>
      <c r="G36" s="2542" t="s">
        <v>2818</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1674</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2631</v>
      </c>
      <c r="B6" s="427"/>
      <c r="C6" s="1551">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1835</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1837</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1854</v>
      </c>
      <c r="B11" s="1549"/>
      <c r="C11" s="1549"/>
      <c r="D11" s="1549"/>
      <c r="E11" s="1549"/>
      <c r="F11" s="1549"/>
      <c r="G11" s="1549"/>
      <c r="H11" s="1549"/>
      <c r="I11" s="1549"/>
      <c r="J11" s="1549"/>
      <c r="K11" s="1550"/>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1" t="s">
        <v>1838</v>
      </c>
      <c r="B13" s="443" t="s">
        <v>473</v>
      </c>
      <c r="C13" s="444">
        <f ca="1">IF(B1="",'数据-取费表'!M16,INDIRECT("'数据-取费表'!M"&amp;$K$1)+INDIRECT("'数据-取费表'!t"&amp;$K$1))</f>
        <v>46263</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1839</v>
      </c>
      <c r="B14" s="443" t="s">
        <v>474</v>
      </c>
      <c r="C14" s="53">
        <f ca="1">ROUND(C13*F14,0)</f>
        <v>1388</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1840</v>
      </c>
      <c r="B15" s="443" t="s">
        <v>476</v>
      </c>
      <c r="C15" s="53">
        <f ca="1">ROUND(IF(B1="",SUMIF('数据-取费表'!C:C,"住宅",'数据-取费表'!M:M)*F15,IF(INDIRECT("'数据-取费表'!c"&amp;$K$1)="住宅",INDIRECT("'数据-取费表'!M"&amp;$K$1)*F15,0)),0)</f>
        <v>2313</v>
      </c>
      <c r="D15" s="445"/>
      <c r="E15" s="363"/>
      <c r="F15" s="447">
        <f>'数据-取费表'!B34</f>
        <v>0.05</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1841</v>
      </c>
      <c r="B16" s="443" t="s">
        <v>478</v>
      </c>
      <c r="C16" s="53">
        <f ca="1">ROUND(D16*E16/10000,0)</f>
        <v>2721</v>
      </c>
      <c r="D16" s="445">
        <f ca="1">IF(B1="",'数据-汇总表'!E3,INDIRECT("'数据-取费表'!K"&amp;$K$1)+INDIRECT("'数据-取费表'!S"&amp;$K$1))</f>
        <v>136066.92000000001</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1842</v>
      </c>
      <c r="B17" s="443" t="s">
        <v>479</v>
      </c>
      <c r="C17" s="448">
        <f ca="1">ROUND(C13*F17,0)</f>
        <v>694</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1843</v>
      </c>
      <c r="B18" s="453" t="s">
        <v>481</v>
      </c>
      <c r="C18" s="454">
        <f ca="1">SUM(C13:C17)</f>
        <v>53379</v>
      </c>
      <c r="D18" s="455"/>
      <c r="E18" s="456"/>
      <c r="F18" s="456"/>
      <c r="G18" s="1280" t="s">
        <v>2415</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2" t="s">
        <v>1844</v>
      </c>
      <c r="B19" s="453" t="s">
        <v>487</v>
      </c>
      <c r="C19" s="454">
        <f ca="1">ROUND(C18*F19,0)</f>
        <v>1068</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2" t="s">
        <v>1845</v>
      </c>
      <c r="B20" s="453" t="s">
        <v>498</v>
      </c>
      <c r="C20" s="2743">
        <f>F20</f>
        <v>0.02</v>
      </c>
      <c r="D20" s="463" t="s">
        <v>499</v>
      </c>
      <c r="E20" s="463"/>
      <c r="F20" s="480">
        <f>'数据-取费表'!B38</f>
        <v>0.02</v>
      </c>
      <c r="G20" s="1280"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2" t="s">
        <v>1848</v>
      </c>
      <c r="B21" s="455" t="s">
        <v>488</v>
      </c>
      <c r="C21" s="464">
        <f ca="1">C22</f>
        <v>2096</v>
      </c>
      <c r="D21" s="461">
        <f ca="1">C23</f>
        <v>8.0000000000000004E-4</v>
      </c>
      <c r="E21" s="463" t="s">
        <v>501</v>
      </c>
      <c r="F21" s="465">
        <f ca="1">'数据-取费表'!B40</f>
        <v>3.85E-2</v>
      </c>
      <c r="G21" s="1280" t="str">
        <f>IF('数据-取费表'!B22&lt;=1,"单利计息。","复利计息。")&amp;"建造成本、管理费用及销售费用产生的利息。"</f>
        <v>复利计息。建造成本、管理费用及销售费用产生的利息。</v>
      </c>
      <c r="H21" s="441"/>
      <c r="I21" s="441"/>
      <c r="J21" s="441"/>
      <c r="K21" s="442"/>
      <c r="L21" s="3208" t="s">
        <v>2436</v>
      </c>
      <c r="M21" s="3209"/>
      <c r="N21" s="3209"/>
      <c r="O21" s="3209"/>
      <c r="P21" s="3209"/>
      <c r="Q21" s="3202"/>
      <c r="R21" s="3202"/>
      <c r="S21" s="3202"/>
      <c r="T21" s="3202"/>
      <c r="U21" s="3202"/>
      <c r="V21" s="3202"/>
      <c r="W21" s="3202"/>
      <c r="X21" s="3202"/>
      <c r="Y21" s="3202"/>
      <c r="Z21" s="3202"/>
    </row>
    <row r="22" spans="1:26" s="2002" customFormat="1" ht="13.5" customHeight="1">
      <c r="A22" s="1561" t="s">
        <v>1838</v>
      </c>
      <c r="B22" s="1281" t="s">
        <v>2418</v>
      </c>
      <c r="C22" s="481">
        <f ca="1">ROUND(IF('数据-取费表'!B22&lt;=1,(C18+C19)*F21*'数据-取费表'!B20/2,(C18+C19)*(POWER((1+F21),'数据-取费表'!B20/2)-1)),0)</f>
        <v>2096</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1" t="s">
        <v>1839</v>
      </c>
      <c r="B23" s="1281" t="s">
        <v>502</v>
      </c>
      <c r="C23" s="482">
        <f ca="1">ROUND(IF('数据-取费表'!B22&lt;=1,F20*F21*'数据-取费表'!B20/2,F20*(POWER((1+F21),'数据-取费表'!B20/2)-1)),4)</f>
        <v>8.0000000000000004E-4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2" t="s">
        <v>1849</v>
      </c>
      <c r="B24" s="2745" t="s">
        <v>2810</v>
      </c>
      <c r="C24" s="472">
        <f ca="1">C25</f>
        <v>8167</v>
      </c>
      <c r="D24" s="483">
        <f ca="1">C26</f>
        <v>3.0000000000000001E-3</v>
      </c>
      <c r="E24" s="463" t="s">
        <v>501</v>
      </c>
      <c r="F24" s="473">
        <f ca="1">IF(B1="",'数据-取费表'!Q16,INDIRECT("'数据-取费表'!q"&amp;$K$1))</f>
        <v>0.15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1" t="s">
        <v>1838</v>
      </c>
      <c r="B25" s="1281" t="s">
        <v>2419</v>
      </c>
      <c r="C25" s="484">
        <f ca="1">ROUND((C18+C19)*F24,0)</f>
        <v>8167</v>
      </c>
      <c r="D25" s="466"/>
      <c r="E25" s="467"/>
      <c r="F25" s="474"/>
      <c r="G25" s="1279" t="s">
        <v>2416</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1" t="s">
        <v>1839</v>
      </c>
      <c r="B26" s="1281" t="s">
        <v>503</v>
      </c>
      <c r="C26" s="485">
        <f ca="1">ROUND(F20*F24,4)</f>
        <v>3.0000000000000001E-3</v>
      </c>
      <c r="D26" s="466"/>
      <c r="E26" s="475"/>
      <c r="F26" s="474"/>
      <c r="G26" s="1279"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5" t="s">
        <v>1857</v>
      </c>
      <c r="B27" s="453" t="s">
        <v>505</v>
      </c>
      <c r="C27" s="2744">
        <f>ROUND(F27/(1+'数据-取费表'!C42),4)</f>
        <v>5.2400000000000002E-2</v>
      </c>
      <c r="D27" s="456" t="s">
        <v>2808</v>
      </c>
      <c r="E27" s="456"/>
      <c r="F27" s="460">
        <f>'数据-取费表'!B41</f>
        <v>5.5000000000000007E-2</v>
      </c>
      <c r="G27" s="1874" t="s">
        <v>2278</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5" t="s">
        <v>1858</v>
      </c>
      <c r="B28" s="470" t="s">
        <v>506</v>
      </c>
      <c r="C28" s="464">
        <f ca="1">ROUND((C18+C19+C21+C24)/(1-C20-D21-D24-C27),0)</f>
        <v>70048</v>
      </c>
      <c r="D28" s="471"/>
      <c r="E28" s="463"/>
      <c r="F28" s="465"/>
      <c r="G28" s="1280" t="s">
        <v>2417</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5" t="s">
        <v>1859</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0</v>
      </c>
      <c r="D30" s="487"/>
      <c r="E30" s="492"/>
      <c r="F30" s="493"/>
      <c r="G30" s="1282"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1855</v>
      </c>
      <c r="B31" s="1283"/>
      <c r="C31" s="494">
        <f>ROUND(C6*F31/(1+'数据-取费表'!C42),0)</f>
        <v>0</v>
      </c>
      <c r="D31" s="1284"/>
      <c r="E31" s="1284"/>
      <c r="F31" s="495">
        <f>'数据-取费表'!B41</f>
        <v>5.5000000000000007E-2</v>
      </c>
      <c r="G31" s="1285"/>
      <c r="H31" s="1285"/>
      <c r="I31" s="1285"/>
      <c r="J31" s="1286"/>
      <c r="K31" s="1287"/>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6" t="s">
        <v>2931</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c r="A3" s="1331" t="s">
        <v>1675</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549" t="s">
        <v>516</v>
      </c>
      <c r="D6" s="3550"/>
      <c r="E6" s="3574" t="s">
        <v>517</v>
      </c>
      <c r="F6" s="3575"/>
      <c r="G6" s="3549" t="s">
        <v>518</v>
      </c>
      <c r="H6" s="3550"/>
      <c r="I6" s="3549" t="s">
        <v>519</v>
      </c>
      <c r="J6" s="3550"/>
      <c r="K6" s="508" t="s">
        <v>520</v>
      </c>
      <c r="L6" s="2015"/>
      <c r="M6" s="2016"/>
      <c r="N6" s="2016"/>
      <c r="O6" s="2016"/>
      <c r="P6" s="3551" t="s">
        <v>521</v>
      </c>
      <c r="Q6" s="3552"/>
      <c r="R6" s="3537" t="s">
        <v>517</v>
      </c>
      <c r="S6" s="3538"/>
      <c r="T6" s="3537" t="s">
        <v>518</v>
      </c>
      <c r="U6" s="3538"/>
      <c r="V6" s="3557" t="s">
        <v>519</v>
      </c>
      <c r="W6" s="3557"/>
      <c r="X6" s="1501"/>
      <c r="Y6" s="3537" t="s">
        <v>521</v>
      </c>
      <c r="Z6" s="3538"/>
      <c r="AA6" s="3532" t="s">
        <v>517</v>
      </c>
      <c r="AB6" s="3533" t="s">
        <v>518</v>
      </c>
      <c r="AC6" s="3532" t="s">
        <v>519</v>
      </c>
    </row>
    <row r="7" spans="1:29" ht="15">
      <c r="A7" s="509"/>
      <c r="B7" s="510"/>
      <c r="C7" s="3560" t="s">
        <v>2891</v>
      </c>
      <c r="D7" s="3561"/>
      <c r="E7" s="3576" t="s">
        <v>2892</v>
      </c>
      <c r="F7" s="3577"/>
      <c r="G7" s="3560" t="s">
        <v>2893</v>
      </c>
      <c r="H7" s="3561"/>
      <c r="I7" s="3560" t="s">
        <v>2894</v>
      </c>
      <c r="J7" s="3561"/>
      <c r="K7" s="508"/>
      <c r="L7" s="2015"/>
      <c r="M7" s="2016"/>
      <c r="N7" s="2016"/>
      <c r="O7" s="2016"/>
      <c r="P7" s="3553"/>
      <c r="Q7" s="3554"/>
      <c r="R7" s="3539"/>
      <c r="S7" s="3540"/>
      <c r="T7" s="3539"/>
      <c r="U7" s="3540"/>
      <c r="V7" s="3557"/>
      <c r="W7" s="3557"/>
      <c r="X7" s="1501"/>
      <c r="Y7" s="3539"/>
      <c r="Z7" s="3540"/>
      <c r="AA7" s="3533"/>
      <c r="AB7" s="3533"/>
      <c r="AC7" s="3533"/>
    </row>
    <row r="8" spans="1:29" ht="15.75" thickBot="1">
      <c r="A8" s="511"/>
      <c r="B8" s="512"/>
      <c r="C8" s="3558" t="s">
        <v>2895</v>
      </c>
      <c r="D8" s="3559"/>
      <c r="E8" s="3578" t="s">
        <v>2895</v>
      </c>
      <c r="F8" s="3579"/>
      <c r="G8" s="3558" t="s">
        <v>2895</v>
      </c>
      <c r="H8" s="3559"/>
      <c r="I8" s="3558" t="s">
        <v>2895</v>
      </c>
      <c r="J8" s="3559"/>
      <c r="K8" s="508" t="s">
        <v>522</v>
      </c>
      <c r="L8" s="2015"/>
      <c r="M8" s="2016"/>
      <c r="N8" s="2016"/>
      <c r="O8" s="2016"/>
      <c r="P8" s="3555"/>
      <c r="Q8" s="3556"/>
      <c r="R8" s="3539"/>
      <c r="S8" s="3540"/>
      <c r="T8" s="3541"/>
      <c r="U8" s="3542"/>
      <c r="V8" s="3557"/>
      <c r="W8" s="3557"/>
      <c r="X8" s="1501"/>
      <c r="Y8" s="3541"/>
      <c r="Z8" s="3542"/>
      <c r="AA8" s="3534"/>
      <c r="AB8" s="3534"/>
      <c r="AC8" s="3534"/>
    </row>
    <row r="9" spans="1:29" s="1202" customFormat="1" ht="15.75" thickBot="1">
      <c r="A9" s="2629"/>
      <c r="B9" s="2636" t="s">
        <v>523</v>
      </c>
      <c r="C9" s="513">
        <f>'数据-取费表'!B2</f>
        <v>44258</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35" t="s">
        <v>524</v>
      </c>
      <c r="Q9" s="3544"/>
      <c r="R9" s="1502" t="s">
        <v>8</v>
      </c>
      <c r="S9" s="1503">
        <f t="shared" ref="S9:S17" si="0">F9</f>
        <v>0</v>
      </c>
      <c r="T9" s="1502" t="s">
        <v>8</v>
      </c>
      <c r="U9" s="1503">
        <f t="shared" ref="U9:U17" si="1">H9</f>
        <v>0</v>
      </c>
      <c r="V9" s="1502" t="s">
        <v>8</v>
      </c>
      <c r="W9" s="1503">
        <f t="shared" ref="W9:W17" si="2">J9</f>
        <v>0</v>
      </c>
      <c r="X9" s="1504"/>
      <c r="Y9" s="3535" t="s">
        <v>524</v>
      </c>
      <c r="Z9" s="3536"/>
      <c r="AA9" s="1505" t="e">
        <f>D9/F9</f>
        <v>#DIV/0!</v>
      </c>
      <c r="AB9" s="1505" t="e">
        <f>D9/H9</f>
        <v>#DIV/0!</v>
      </c>
      <c r="AC9" s="1505" t="e">
        <f>D9/J9</f>
        <v>#DIV/0!</v>
      </c>
    </row>
    <row r="10" spans="1:29" s="1202"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35" t="s">
        <v>527</v>
      </c>
      <c r="Q10" s="3536"/>
      <c r="R10" s="1502" t="s">
        <v>8</v>
      </c>
      <c r="S10" s="1503">
        <f t="shared" si="0"/>
        <v>0</v>
      </c>
      <c r="T10" s="1502" t="s">
        <v>8</v>
      </c>
      <c r="U10" s="1503">
        <f t="shared" si="1"/>
        <v>0</v>
      </c>
      <c r="V10" s="1502" t="s">
        <v>8</v>
      </c>
      <c r="W10" s="1503">
        <f t="shared" si="2"/>
        <v>0</v>
      </c>
      <c r="X10" s="1504"/>
      <c r="Y10" s="3535" t="s">
        <v>527</v>
      </c>
      <c r="Z10" s="3536"/>
      <c r="AA10" s="1505" t="e">
        <f t="shared" ref="AA10:AA42" si="3">D10/F10</f>
        <v>#DIV/0!</v>
      </c>
      <c r="AB10" s="1505" t="e">
        <f t="shared" ref="AB10:AB42" si="4">D10/H10</f>
        <v>#DIV/0!</v>
      </c>
      <c r="AC10" s="1505" t="e">
        <f t="shared" ref="AC10:AC42" si="5">D10/J10</f>
        <v>#DIV/0!</v>
      </c>
    </row>
    <row r="11" spans="1:29" s="1202" customFormat="1" ht="15">
      <c r="A11" s="2631"/>
      <c r="B11" s="2638" t="s">
        <v>2735</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43" t="s">
        <v>529</v>
      </c>
      <c r="Q11" s="1133" t="str">
        <f t="shared" ref="Q11:Q17" si="6">B11</f>
        <v>用途</v>
      </c>
      <c r="R11" s="1502" t="s">
        <v>8</v>
      </c>
      <c r="S11" s="1503">
        <f t="shared" si="0"/>
        <v>100</v>
      </c>
      <c r="T11" s="1502" t="s">
        <v>8</v>
      </c>
      <c r="U11" s="1503">
        <f t="shared" si="1"/>
        <v>100</v>
      </c>
      <c r="V11" s="1502" t="s">
        <v>8</v>
      </c>
      <c r="W11" s="1503">
        <f t="shared" si="2"/>
        <v>100</v>
      </c>
      <c r="X11" s="1504"/>
      <c r="Y11" s="3494" t="s">
        <v>530</v>
      </c>
      <c r="Z11" s="1132" t="str">
        <f t="shared" ref="Z11:Z17" si="7">Q11</f>
        <v>用途</v>
      </c>
      <c r="AA11" s="1505">
        <f t="shared" si="3"/>
        <v>1</v>
      </c>
      <c r="AB11" s="1505">
        <f t="shared" si="4"/>
        <v>1</v>
      </c>
      <c r="AC11" s="1505">
        <f t="shared" si="5"/>
        <v>1</v>
      </c>
    </row>
    <row r="12" spans="1:29" s="1291" customFormat="1" ht="27">
      <c r="A12" s="2632"/>
      <c r="B12" s="2637" t="s">
        <v>2736</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543"/>
      <c r="Q12" s="1133" t="str">
        <f t="shared" si="6"/>
        <v>土地使用年限（年）</v>
      </c>
      <c r="R12" s="1502" t="s">
        <v>8</v>
      </c>
      <c r="S12" s="1503">
        <f t="shared" si="0"/>
        <v>100</v>
      </c>
      <c r="T12" s="1502" t="s">
        <v>8</v>
      </c>
      <c r="U12" s="1503">
        <f t="shared" si="1"/>
        <v>100</v>
      </c>
      <c r="V12" s="1502" t="s">
        <v>8</v>
      </c>
      <c r="W12" s="1503">
        <f t="shared" si="2"/>
        <v>100</v>
      </c>
      <c r="X12" s="1504"/>
      <c r="Y12" s="3494"/>
      <c r="Z12" s="1132" t="str">
        <f t="shared" si="7"/>
        <v>土地使用年限（年）</v>
      </c>
      <c r="AA12" s="1505">
        <f t="shared" si="3"/>
        <v>1</v>
      </c>
      <c r="AB12" s="1505">
        <f t="shared" si="4"/>
        <v>1</v>
      </c>
      <c r="AC12" s="1505">
        <f t="shared" si="5"/>
        <v>1</v>
      </c>
    </row>
    <row r="13" spans="1:29" ht="15">
      <c r="A13" s="2633"/>
      <c r="B13" s="2637" t="s">
        <v>2737</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43"/>
      <c r="Q13" s="1133" t="str">
        <f t="shared" si="6"/>
        <v>容积率</v>
      </c>
      <c r="R13" s="1502" t="s">
        <v>8</v>
      </c>
      <c r="S13" s="1503" t="e">
        <f t="shared" si="0"/>
        <v>#N/A</v>
      </c>
      <c r="T13" s="1502" t="s">
        <v>8</v>
      </c>
      <c r="U13" s="1503" t="e">
        <f t="shared" si="1"/>
        <v>#N/A</v>
      </c>
      <c r="V13" s="1502" t="s">
        <v>8</v>
      </c>
      <c r="W13" s="1503" t="e">
        <f t="shared" si="2"/>
        <v>#N/A</v>
      </c>
      <c r="X13" s="1504"/>
      <c r="Y13" s="3494"/>
      <c r="Z13" s="1132" t="str">
        <f t="shared" si="7"/>
        <v>容积率</v>
      </c>
      <c r="AA13" s="1505" t="e">
        <f t="shared" si="3"/>
        <v>#N/A</v>
      </c>
      <c r="AB13" s="1505" t="e">
        <f t="shared" si="4"/>
        <v>#N/A</v>
      </c>
      <c r="AC13" s="1505" t="e">
        <f t="shared" si="5"/>
        <v>#N/A</v>
      </c>
    </row>
    <row r="14" spans="1:29" s="1202"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43"/>
      <c r="Q14" s="1133">
        <f t="shared" si="6"/>
        <v>111</v>
      </c>
      <c r="R14" s="1502" t="s">
        <v>8</v>
      </c>
      <c r="S14" s="1503">
        <f t="shared" si="0"/>
        <v>100</v>
      </c>
      <c r="T14" s="1502" t="s">
        <v>8</v>
      </c>
      <c r="U14" s="1503">
        <f t="shared" si="1"/>
        <v>100</v>
      </c>
      <c r="V14" s="1502" t="s">
        <v>8</v>
      </c>
      <c r="W14" s="1503">
        <f t="shared" si="2"/>
        <v>100</v>
      </c>
      <c r="X14" s="1504"/>
      <c r="Y14" s="3494"/>
      <c r="Z14" s="1132">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43"/>
      <c r="Q15" s="1133">
        <f t="shared" si="6"/>
        <v>111</v>
      </c>
      <c r="R15" s="1502" t="s">
        <v>8</v>
      </c>
      <c r="S15" s="1503">
        <f t="shared" si="0"/>
        <v>100</v>
      </c>
      <c r="T15" s="1502" t="s">
        <v>8</v>
      </c>
      <c r="U15" s="1503">
        <f t="shared" si="1"/>
        <v>100</v>
      </c>
      <c r="V15" s="1502" t="s">
        <v>8</v>
      </c>
      <c r="W15" s="1503">
        <f t="shared" si="2"/>
        <v>100</v>
      </c>
      <c r="X15" s="1504"/>
      <c r="Y15" s="3494"/>
      <c r="Z15" s="1132">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43"/>
      <c r="Q16" s="1133">
        <f t="shared" si="6"/>
        <v>111</v>
      </c>
      <c r="R16" s="1502" t="s">
        <v>8</v>
      </c>
      <c r="S16" s="1503">
        <f t="shared" si="0"/>
        <v>100</v>
      </c>
      <c r="T16" s="1502" t="s">
        <v>8</v>
      </c>
      <c r="U16" s="1503">
        <f t="shared" si="1"/>
        <v>100</v>
      </c>
      <c r="V16" s="1502" t="s">
        <v>8</v>
      </c>
      <c r="W16" s="1503">
        <f t="shared" si="2"/>
        <v>100</v>
      </c>
      <c r="X16" s="1504"/>
      <c r="Y16" s="3494"/>
      <c r="Z16" s="1132">
        <f t="shared" si="7"/>
        <v>111</v>
      </c>
      <c r="AA16" s="1505">
        <f t="shared" si="3"/>
        <v>1</v>
      </c>
      <c r="AB16" s="1505">
        <f t="shared" si="4"/>
        <v>1</v>
      </c>
      <c r="AC16" s="1505">
        <f t="shared" si="5"/>
        <v>1</v>
      </c>
    </row>
    <row r="17" spans="1:29" ht="57">
      <c r="A17" s="2627" t="s">
        <v>2733</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45" t="s">
        <v>534</v>
      </c>
      <c r="Q17" s="1506" t="str">
        <f t="shared" si="6"/>
        <v>产业集聚程度</v>
      </c>
      <c r="R17" s="1507" t="s">
        <v>8</v>
      </c>
      <c r="S17" s="1508">
        <f t="shared" si="0"/>
        <v>100</v>
      </c>
      <c r="T17" s="1507" t="s">
        <v>8</v>
      </c>
      <c r="U17" s="1508">
        <f t="shared" si="1"/>
        <v>100</v>
      </c>
      <c r="V17" s="1507" t="s">
        <v>8</v>
      </c>
      <c r="W17" s="1508">
        <f t="shared" si="2"/>
        <v>100</v>
      </c>
      <c r="X17" s="1501"/>
      <c r="Y17" s="3545"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546"/>
      <c r="Q18" s="1506"/>
      <c r="R18" s="1507"/>
      <c r="S18" s="1508"/>
      <c r="T18" s="1507"/>
      <c r="U18" s="1508"/>
      <c r="V18" s="1507"/>
      <c r="W18" s="1508"/>
      <c r="X18" s="1501"/>
      <c r="Y18" s="3546"/>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46"/>
      <c r="Q19" s="1506" t="str">
        <f>B19</f>
        <v>交通便捷度</v>
      </c>
      <c r="R19" s="1507" t="s">
        <v>8</v>
      </c>
      <c r="S19" s="1508">
        <f>F19</f>
        <v>100</v>
      </c>
      <c r="T19" s="1507" t="s">
        <v>8</v>
      </c>
      <c r="U19" s="1508">
        <f>H19</f>
        <v>100</v>
      </c>
      <c r="V19" s="1507" t="s">
        <v>8</v>
      </c>
      <c r="W19" s="1508">
        <f>J19</f>
        <v>100</v>
      </c>
      <c r="X19" s="1501"/>
      <c r="Y19" s="3546"/>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4"/>
      <c r="M20" s="2016"/>
      <c r="N20" s="2016"/>
      <c r="O20" s="2023"/>
      <c r="P20" s="3546"/>
      <c r="Q20" s="1506"/>
      <c r="R20" s="1507"/>
      <c r="S20" s="1508"/>
      <c r="T20" s="1507"/>
      <c r="U20" s="1508"/>
      <c r="V20" s="1507"/>
      <c r="W20" s="1508"/>
      <c r="X20" s="1501"/>
      <c r="Y20" s="3546"/>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4"/>
      <c r="M21" s="2016"/>
      <c r="N21" s="2016"/>
      <c r="O21" s="2023"/>
      <c r="P21" s="3546"/>
      <c r="Q21" s="1506" t="str">
        <f t="shared" ref="Q21:Q35" si="8">B21</f>
        <v>区域土地利用方向</v>
      </c>
      <c r="R21" s="1507" t="s">
        <v>8</v>
      </c>
      <c r="S21" s="1508">
        <f>F21</f>
        <v>100</v>
      </c>
      <c r="T21" s="1507" t="s">
        <v>8</v>
      </c>
      <c r="U21" s="1508">
        <f>H21</f>
        <v>100</v>
      </c>
      <c r="V21" s="1507" t="s">
        <v>8</v>
      </c>
      <c r="W21" s="1508">
        <f>J21</f>
        <v>100</v>
      </c>
      <c r="X21" s="1501"/>
      <c r="Y21" s="3546"/>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546"/>
      <c r="Q22" s="1506"/>
      <c r="R22" s="1507"/>
      <c r="S22" s="1508"/>
      <c r="T22" s="1507"/>
      <c r="U22" s="1508"/>
      <c r="V22" s="1507"/>
      <c r="W22" s="1508"/>
      <c r="X22" s="1501"/>
      <c r="Y22" s="3546"/>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46"/>
      <c r="Q23" s="1506" t="str">
        <f t="shared" si="8"/>
        <v>环境状况</v>
      </c>
      <c r="R23" s="1507" t="s">
        <v>8</v>
      </c>
      <c r="S23" s="1508">
        <f>F23</f>
        <v>100</v>
      </c>
      <c r="T23" s="1507" t="s">
        <v>8</v>
      </c>
      <c r="U23" s="1508">
        <f>H23</f>
        <v>100</v>
      </c>
      <c r="V23" s="1507" t="s">
        <v>8</v>
      </c>
      <c r="W23" s="1508">
        <f>J23</f>
        <v>100</v>
      </c>
      <c r="X23" s="1501"/>
      <c r="Y23" s="3546"/>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546"/>
      <c r="Q24" s="1506"/>
      <c r="R24" s="1507"/>
      <c r="S24" s="1508"/>
      <c r="T24" s="1507"/>
      <c r="U24" s="1508"/>
      <c r="V24" s="1507"/>
      <c r="W24" s="1508"/>
      <c r="X24" s="1501"/>
      <c r="Y24" s="3546"/>
      <c r="Z24" s="1509"/>
      <c r="AA24" s="1510">
        <v>1</v>
      </c>
      <c r="AB24" s="1510">
        <v>1</v>
      </c>
      <c r="AC24" s="1510">
        <v>1</v>
      </c>
    </row>
    <row r="25" spans="1:29" s="1202" customFormat="1" ht="42.75">
      <c r="A25" s="571"/>
      <c r="B25" s="2437" t="s">
        <v>2528</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46"/>
      <c r="Q25" s="1133" t="str">
        <f t="shared" si="8"/>
        <v>公共配套设施</v>
      </c>
      <c r="R25" s="1502" t="s">
        <v>8</v>
      </c>
      <c r="S25" s="1503">
        <f>F25</f>
        <v>100</v>
      </c>
      <c r="T25" s="1502" t="s">
        <v>8</v>
      </c>
      <c r="U25" s="1503">
        <f>H25</f>
        <v>100</v>
      </c>
      <c r="V25" s="1502" t="s">
        <v>8</v>
      </c>
      <c r="W25" s="1503">
        <f>J25</f>
        <v>100</v>
      </c>
      <c r="X25" s="1504"/>
      <c r="Y25" s="3546"/>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546"/>
      <c r="Q26" s="1133"/>
      <c r="R26" s="1502"/>
      <c r="S26" s="1503"/>
      <c r="T26" s="1502"/>
      <c r="U26" s="1503"/>
      <c r="V26" s="1502"/>
      <c r="W26" s="1503"/>
      <c r="X26" s="1504"/>
      <c r="Y26" s="3546"/>
      <c r="Z26" s="1132"/>
      <c r="AA26" s="1505">
        <v>1</v>
      </c>
      <c r="AB26" s="1505">
        <v>1</v>
      </c>
      <c r="AC26" s="1505">
        <v>1</v>
      </c>
    </row>
    <row r="27" spans="1:29" s="1202" customFormat="1" ht="28.5">
      <c r="A27" s="571"/>
      <c r="B27" s="2437" t="s">
        <v>2529</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46"/>
      <c r="Q27" s="2428" t="str">
        <f t="shared" ref="Q27" si="9">B27</f>
        <v>基础设施水平</v>
      </c>
      <c r="R27" s="1502" t="s">
        <v>8</v>
      </c>
      <c r="S27" s="1503">
        <f>F27</f>
        <v>100</v>
      </c>
      <c r="T27" s="1502" t="s">
        <v>8</v>
      </c>
      <c r="U27" s="1503">
        <f>H27</f>
        <v>100</v>
      </c>
      <c r="V27" s="1502" t="s">
        <v>8</v>
      </c>
      <c r="W27" s="1503">
        <f>J27</f>
        <v>100</v>
      </c>
      <c r="X27" s="1504"/>
      <c r="Y27" s="3546"/>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546"/>
      <c r="Q28" s="2428"/>
      <c r="R28" s="1502"/>
      <c r="S28" s="1503"/>
      <c r="T28" s="1502"/>
      <c r="U28" s="1503"/>
      <c r="V28" s="1502"/>
      <c r="W28" s="1503"/>
      <c r="X28" s="1504"/>
      <c r="Y28" s="3546"/>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46"/>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46"/>
      <c r="Z29" s="1509" t="str">
        <f t="shared" ref="Z29:Z42" si="13">Q29</f>
        <v>临街状况</v>
      </c>
      <c r="AA29" s="1510">
        <f t="shared" si="3"/>
        <v>1</v>
      </c>
      <c r="AB29" s="1510">
        <f t="shared" si="4"/>
        <v>1</v>
      </c>
      <c r="AC29" s="1510">
        <f t="shared" si="5"/>
        <v>1</v>
      </c>
    </row>
    <row r="30" spans="1:29" ht="27">
      <c r="A30" s="526"/>
      <c r="B30" s="910"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46"/>
      <c r="Q30" s="1506" t="str">
        <f t="shared" si="8"/>
        <v>毗邻道路的类型与等级</v>
      </c>
      <c r="R30" s="1507" t="s">
        <v>8</v>
      </c>
      <c r="S30" s="1508">
        <f t="shared" si="10"/>
        <v>100</v>
      </c>
      <c r="T30" s="1507" t="s">
        <v>8</v>
      </c>
      <c r="U30" s="1508">
        <f t="shared" si="11"/>
        <v>100</v>
      </c>
      <c r="V30" s="1507" t="s">
        <v>8</v>
      </c>
      <c r="W30" s="1508">
        <f t="shared" si="12"/>
        <v>100</v>
      </c>
      <c r="X30" s="1501"/>
      <c r="Y30" s="3546"/>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546"/>
      <c r="Q31" s="1506"/>
      <c r="R31" s="1507"/>
      <c r="S31" s="1508"/>
      <c r="T31" s="1507"/>
      <c r="U31" s="1508"/>
      <c r="V31" s="1507"/>
      <c r="W31" s="1508"/>
      <c r="X31" s="1501"/>
      <c r="Y31" s="3546"/>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46"/>
      <c r="Q32" s="1506" t="str">
        <f t="shared" si="8"/>
        <v>土地级别</v>
      </c>
      <c r="R32" s="1507" t="s">
        <v>8</v>
      </c>
      <c r="S32" s="1508">
        <f t="shared" si="10"/>
        <v>100</v>
      </c>
      <c r="T32" s="1507" t="s">
        <v>8</v>
      </c>
      <c r="U32" s="1508">
        <f t="shared" si="11"/>
        <v>100</v>
      </c>
      <c r="V32" s="1507" t="s">
        <v>8</v>
      </c>
      <c r="W32" s="1508">
        <f t="shared" si="12"/>
        <v>100</v>
      </c>
      <c r="X32" s="1501"/>
      <c r="Y32" s="3546"/>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46"/>
      <c r="Q33" s="1506">
        <f t="shared" si="8"/>
        <v>111</v>
      </c>
      <c r="R33" s="1507" t="s">
        <v>8</v>
      </c>
      <c r="S33" s="1508">
        <f t="shared" si="10"/>
        <v>100</v>
      </c>
      <c r="T33" s="1507" t="s">
        <v>8</v>
      </c>
      <c r="U33" s="1508">
        <f t="shared" si="11"/>
        <v>100</v>
      </c>
      <c r="V33" s="1507" t="s">
        <v>8</v>
      </c>
      <c r="W33" s="1508">
        <f t="shared" si="12"/>
        <v>100</v>
      </c>
      <c r="X33" s="1501"/>
      <c r="Y33" s="3546"/>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47" t="s">
        <v>544</v>
      </c>
      <c r="Q34" s="1506">
        <f t="shared" si="8"/>
        <v>111</v>
      </c>
      <c r="R34" s="1507" t="s">
        <v>8</v>
      </c>
      <c r="S34" s="1508">
        <f t="shared" si="10"/>
        <v>100</v>
      </c>
      <c r="T34" s="1507" t="s">
        <v>8</v>
      </c>
      <c r="U34" s="1508">
        <f t="shared" si="11"/>
        <v>100</v>
      </c>
      <c r="V34" s="1507" t="s">
        <v>8</v>
      </c>
      <c r="W34" s="1508">
        <f t="shared" si="12"/>
        <v>100</v>
      </c>
      <c r="X34" s="1501"/>
      <c r="Y34" s="3548" t="s">
        <v>544</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48"/>
      <c r="Q35" s="1506">
        <f t="shared" si="8"/>
        <v>111</v>
      </c>
      <c r="R35" s="1511" t="s">
        <v>8</v>
      </c>
      <c r="S35" s="1512">
        <f t="shared" si="10"/>
        <v>100</v>
      </c>
      <c r="T35" s="1511" t="s">
        <v>8</v>
      </c>
      <c r="U35" s="1512">
        <f t="shared" si="11"/>
        <v>100</v>
      </c>
      <c r="V35" s="1511" t="s">
        <v>8</v>
      </c>
      <c r="W35" s="1512">
        <f t="shared" si="12"/>
        <v>100</v>
      </c>
      <c r="X35" s="1513"/>
      <c r="Y35" s="3548"/>
      <c r="Z35" s="1514">
        <f t="shared" si="13"/>
        <v>111</v>
      </c>
      <c r="AA35" s="1510">
        <f t="shared" si="3"/>
        <v>1</v>
      </c>
      <c r="AB35" s="1510">
        <f t="shared" si="4"/>
        <v>1</v>
      </c>
      <c r="AC35" s="1510">
        <f t="shared" si="5"/>
        <v>1</v>
      </c>
    </row>
    <row r="36" spans="1:29" ht="15">
      <c r="A36" s="2624" t="s">
        <v>2734</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48"/>
      <c r="Q36" s="1506" t="str">
        <f>B36</f>
        <v>宗地面积</v>
      </c>
      <c r="R36" s="1507" t="s">
        <v>8</v>
      </c>
      <c r="S36" s="1508" t="e">
        <f t="shared" si="10"/>
        <v>#N/A</v>
      </c>
      <c r="T36" s="1507" t="s">
        <v>8</v>
      </c>
      <c r="U36" s="1508" t="e">
        <f t="shared" si="11"/>
        <v>#N/A</v>
      </c>
      <c r="V36" s="1507" t="s">
        <v>8</v>
      </c>
      <c r="W36" s="1508" t="e">
        <f t="shared" si="12"/>
        <v>#N/A</v>
      </c>
      <c r="X36" s="1501"/>
      <c r="Y36" s="3548"/>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48"/>
      <c r="Q37" s="1506" t="str">
        <f t="shared" ref="Q37:Q42" si="14">B37</f>
        <v>宗地形状</v>
      </c>
      <c r="R37" s="1507" t="s">
        <v>8</v>
      </c>
      <c r="S37" s="1508">
        <f t="shared" si="10"/>
        <v>100</v>
      </c>
      <c r="T37" s="1507" t="s">
        <v>8</v>
      </c>
      <c r="U37" s="1508">
        <f t="shared" si="11"/>
        <v>100</v>
      </c>
      <c r="V37" s="1507" t="s">
        <v>8</v>
      </c>
      <c r="W37" s="1508">
        <f t="shared" si="12"/>
        <v>100</v>
      </c>
      <c r="X37" s="1501"/>
      <c r="Y37" s="3548"/>
      <c r="Z37" s="1509" t="str">
        <f t="shared" si="13"/>
        <v>宗地形状</v>
      </c>
      <c r="AA37" s="1510">
        <f t="shared" si="3"/>
        <v>1</v>
      </c>
      <c r="AB37" s="1510">
        <f t="shared" si="4"/>
        <v>1</v>
      </c>
      <c r="AC37" s="1510">
        <f t="shared" si="5"/>
        <v>1</v>
      </c>
    </row>
    <row r="38" spans="1:29" s="1202" customFormat="1" ht="15">
      <c r="A38" s="594"/>
      <c r="B38" s="1809"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48"/>
      <c r="Q38" s="1506" t="str">
        <f t="shared" si="14"/>
        <v>宗地开发程度</v>
      </c>
      <c r="R38" s="1502" t="s">
        <v>8</v>
      </c>
      <c r="S38" s="1503">
        <f t="shared" si="10"/>
        <v>100</v>
      </c>
      <c r="T38" s="1502" t="s">
        <v>8</v>
      </c>
      <c r="U38" s="1503">
        <f t="shared" si="11"/>
        <v>100</v>
      </c>
      <c r="V38" s="1502" t="s">
        <v>8</v>
      </c>
      <c r="W38" s="1503">
        <f t="shared" si="12"/>
        <v>100</v>
      </c>
      <c r="X38" s="1504"/>
      <c r="Y38" s="3548"/>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48" t="s">
        <v>595</v>
      </c>
      <c r="Q39" s="1506" t="str">
        <f t="shared" si="14"/>
        <v>工程地质条件</v>
      </c>
      <c r="R39" s="1507" t="s">
        <v>8</v>
      </c>
      <c r="S39" s="1508">
        <f t="shared" si="10"/>
        <v>100</v>
      </c>
      <c r="T39" s="1507" t="s">
        <v>8</v>
      </c>
      <c r="U39" s="1508">
        <f t="shared" si="11"/>
        <v>100</v>
      </c>
      <c r="V39" s="1507" t="s">
        <v>8</v>
      </c>
      <c r="W39" s="1508">
        <f t="shared" si="12"/>
        <v>100</v>
      </c>
      <c r="X39" s="1501"/>
      <c r="Y39" s="3548"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48"/>
      <c r="Q40" s="1506">
        <f t="shared" si="14"/>
        <v>111</v>
      </c>
      <c r="R40" s="1507" t="s">
        <v>8</v>
      </c>
      <c r="S40" s="1508">
        <f t="shared" si="10"/>
        <v>100</v>
      </c>
      <c r="T40" s="1507" t="s">
        <v>8</v>
      </c>
      <c r="U40" s="1508">
        <f t="shared" si="11"/>
        <v>100</v>
      </c>
      <c r="V40" s="1507" t="s">
        <v>8</v>
      </c>
      <c r="W40" s="1508">
        <f t="shared" si="12"/>
        <v>100</v>
      </c>
      <c r="X40" s="1501"/>
      <c r="Y40" s="3548"/>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48"/>
      <c r="Q41" s="1506">
        <f t="shared" si="14"/>
        <v>111</v>
      </c>
      <c r="R41" s="1507" t="s">
        <v>8</v>
      </c>
      <c r="S41" s="1508">
        <f t="shared" si="10"/>
        <v>100</v>
      </c>
      <c r="T41" s="1507" t="s">
        <v>8</v>
      </c>
      <c r="U41" s="1508">
        <f t="shared" si="11"/>
        <v>100</v>
      </c>
      <c r="V41" s="1507" t="s">
        <v>8</v>
      </c>
      <c r="W41" s="1508">
        <f t="shared" si="12"/>
        <v>100</v>
      </c>
      <c r="X41" s="1501"/>
      <c r="Y41" s="3548"/>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48"/>
      <c r="Q42" s="1506">
        <f t="shared" si="14"/>
        <v>111</v>
      </c>
      <c r="R42" s="1511" t="s">
        <v>8</v>
      </c>
      <c r="S42" s="1512">
        <f t="shared" si="10"/>
        <v>100</v>
      </c>
      <c r="T42" s="1511" t="s">
        <v>8</v>
      </c>
      <c r="U42" s="1512">
        <f t="shared" si="11"/>
        <v>100</v>
      </c>
      <c r="V42" s="1511" t="s">
        <v>8</v>
      </c>
      <c r="W42" s="1512">
        <f t="shared" si="12"/>
        <v>100</v>
      </c>
      <c r="X42" s="1513"/>
      <c r="Y42" s="3548"/>
      <c r="Z42" s="1514">
        <f t="shared" si="13"/>
        <v>111</v>
      </c>
      <c r="AA42" s="1510">
        <f t="shared" si="3"/>
        <v>1</v>
      </c>
      <c r="AB42" s="1510">
        <f t="shared" si="4"/>
        <v>1</v>
      </c>
      <c r="AC42" s="1510">
        <f t="shared" si="5"/>
        <v>1</v>
      </c>
    </row>
    <row r="43" spans="1:29" ht="15">
      <c r="A43" s="601" t="s">
        <v>550</v>
      </c>
      <c r="B43" s="602" t="s">
        <v>2896</v>
      </c>
      <c r="C43" s="603" t="s">
        <v>1</v>
      </c>
      <c r="D43" s="604"/>
      <c r="E43" s="605"/>
      <c r="F43" s="606"/>
      <c r="G43" s="607"/>
      <c r="H43" s="608"/>
      <c r="I43" s="605"/>
      <c r="J43" s="608"/>
      <c r="K43" s="1293"/>
      <c r="L43" s="2026"/>
      <c r="M43" s="2016"/>
      <c r="N43" s="2016"/>
      <c r="O43" s="2027"/>
      <c r="P43" s="3543" t="str">
        <f>A43</f>
        <v>成交单价</v>
      </c>
      <c r="Q43" s="3543"/>
      <c r="R43" s="3557">
        <f>E43</f>
        <v>0</v>
      </c>
      <c r="S43" s="3557"/>
      <c r="T43" s="3557">
        <f>G43</f>
        <v>0</v>
      </c>
      <c r="U43" s="3557"/>
      <c r="V43" s="3557">
        <f>I43</f>
        <v>0</v>
      </c>
      <c r="W43" s="3557"/>
      <c r="X43" s="1496"/>
      <c r="Y43" s="1515"/>
      <c r="Z43" s="1496"/>
      <c r="AA43" s="1496"/>
      <c r="AB43" s="1496"/>
      <c r="AC43" s="1496"/>
    </row>
    <row r="44" spans="1:29" ht="15.75" thickBot="1">
      <c r="A44" s="609" t="s">
        <v>2672</v>
      </c>
      <c r="B44" s="610"/>
      <c r="C44" s="611" t="e">
        <f>R45</f>
        <v>#DIV/0!</v>
      </c>
      <c r="D44" s="3014" t="s">
        <v>2965</v>
      </c>
      <c r="E44" s="611" t="e">
        <f>R44</f>
        <v>#DIV/0!</v>
      </c>
      <c r="F44" s="3015"/>
      <c r="G44" s="612" t="e">
        <f>T44</f>
        <v>#DIV/0!</v>
      </c>
      <c r="H44" s="3015"/>
      <c r="I44" s="611" t="e">
        <f>V44</f>
        <v>#DIV/0!</v>
      </c>
      <c r="J44" s="3015"/>
      <c r="K44" s="3016">
        <f>F44+H44+J44</f>
        <v>0</v>
      </c>
      <c r="L44" s="2026"/>
      <c r="M44" s="2016"/>
      <c r="N44" s="2016"/>
      <c r="O44" s="2027"/>
      <c r="P44" s="3543" t="str">
        <f>A44</f>
        <v>比较价格（元/平方米）</v>
      </c>
      <c r="Q44" s="3543"/>
      <c r="R44" s="3567" t="e">
        <f>ROUND(PRODUCT(R43,AA9:AA42),0)</f>
        <v>#DIV/0!</v>
      </c>
      <c r="S44" s="3567"/>
      <c r="T44" s="3567" t="e">
        <f>ROUND(PRODUCT(T43,AB9:AB42),0)</f>
        <v>#DIV/0!</v>
      </c>
      <c r="U44" s="3567"/>
      <c r="V44" s="3567" t="e">
        <f>ROUND(PRODUCT(V43,AC9:AC42),0)</f>
        <v>#DIV/0!</v>
      </c>
      <c r="W44" s="3567"/>
      <c r="X44" s="1496"/>
      <c r="Y44" s="1496"/>
      <c r="Z44" s="1496"/>
      <c r="AA44" s="1496"/>
      <c r="AB44" s="1496"/>
      <c r="AC44" s="1496"/>
    </row>
    <row r="45" spans="1:29" ht="15.75" thickBot="1">
      <c r="A45" s="613" t="s">
        <v>2897</v>
      </c>
      <c r="B45" s="614"/>
      <c r="C45" s="615" t="e">
        <f>R45</f>
        <v>#DIV/0!</v>
      </c>
      <c r="D45" s="615"/>
      <c r="E45" s="615"/>
      <c r="F45" s="615"/>
      <c r="G45" s="615"/>
      <c r="H45" s="615"/>
      <c r="I45" s="615"/>
      <c r="J45" s="615"/>
      <c r="K45" s="1294"/>
      <c r="L45" s="2026"/>
      <c r="M45" s="2016"/>
      <c r="N45" s="2016"/>
      <c r="O45" s="2027"/>
      <c r="P45" s="3564" t="str">
        <f>A45</f>
        <v>估价对象XX用房的比较价格（楼面单价，元/平方米）</v>
      </c>
      <c r="Q45" s="3565"/>
      <c r="R45" s="3573" t="e">
        <f>ROUND(IF(D44="简单平均",AVERAGE(R44:W44),R44*F44+T44*H44+V44*J44),0)</f>
        <v>#DIV/0!</v>
      </c>
      <c r="S45" s="3573"/>
      <c r="T45" s="3573"/>
      <c r="U45" s="3573"/>
      <c r="V45" s="3573"/>
      <c r="W45" s="3573"/>
      <c r="X45" s="1496"/>
      <c r="Y45" s="1496"/>
      <c r="Z45" s="1496"/>
      <c r="AA45" s="1496"/>
      <c r="AB45" s="1496"/>
      <c r="AC45" s="1496"/>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1714</v>
      </c>
      <c r="D52" s="2107" t="s">
        <v>2280</v>
      </c>
      <c r="E52" s="623" t="s">
        <v>556</v>
      </c>
      <c r="F52" s="1865" t="s">
        <v>557</v>
      </c>
      <c r="G52" s="3568" t="s">
        <v>2271</v>
      </c>
      <c r="H52" s="3569"/>
      <c r="I52" s="1866" t="s">
        <v>1933</v>
      </c>
      <c r="J52" s="1493">
        <f>项目基本情况!F41</f>
        <v>0</v>
      </c>
      <c r="K52" s="2035" t="s">
        <v>1713</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558</v>
      </c>
      <c r="B53" s="626" t="e">
        <f>C45</f>
        <v>#DIV/0!</v>
      </c>
      <c r="C53" s="627">
        <v>1</v>
      </c>
      <c r="D53" s="2108">
        <v>1</v>
      </c>
      <c r="E53" s="627">
        <f>'数据-汇总表'!E8+'数据-汇总表'!E9</f>
        <v>136066.92000000001</v>
      </c>
      <c r="F53" s="1864" t="e">
        <f t="shared" ref="F53:F62" si="15">ROUND(B53*E53/10000,0)</f>
        <v>#DIV/0!</v>
      </c>
      <c r="G53" s="3570"/>
      <c r="H53" s="3571"/>
      <c r="I53" s="1867">
        <v>1</v>
      </c>
      <c r="J53" s="1494">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559</v>
      </c>
      <c r="B54" s="630" t="e">
        <f>ROUND($C$45*C54*D54,0)</f>
        <v>#DIV/0!</v>
      </c>
      <c r="C54" s="372">
        <f t="shared" ref="C54:C62" si="16">IF($C$52="北京市系数",I54,J54)</f>
        <v>0</v>
      </c>
      <c r="D54" s="2109">
        <v>0.25</v>
      </c>
      <c r="E54" s="631"/>
      <c r="F54" s="1864" t="e">
        <f t="shared" si="15"/>
        <v>#DIV/0!</v>
      </c>
      <c r="G54" s="3572" t="s">
        <v>2272</v>
      </c>
      <c r="H54" s="1868">
        <f>项目基本情况!B43</f>
        <v>0</v>
      </c>
      <c r="I54" s="1867">
        <f>SUMIF(修正!$A$45:$A$56,H54,修正!B45:B56)</f>
        <v>0</v>
      </c>
      <c r="J54" s="1495"/>
      <c r="K54" s="3219"/>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560</v>
      </c>
      <c r="B55" s="630" t="e">
        <f t="shared" ref="B55:B62" si="17">ROUND($C$45*C55*D55,0)</f>
        <v>#DIV/0!</v>
      </c>
      <c r="C55" s="372">
        <f t="shared" si="16"/>
        <v>0</v>
      </c>
      <c r="D55" s="2109">
        <v>0.25</v>
      </c>
      <c r="E55" s="631"/>
      <c r="F55" s="1864" t="e">
        <f t="shared" si="15"/>
        <v>#DIV/0!</v>
      </c>
      <c r="G55" s="3572"/>
      <c r="H55" s="1869">
        <f>项目基本情况!B43</f>
        <v>0</v>
      </c>
      <c r="I55" s="1867">
        <f>SUMIF(修正!$A$45:$A$56,H55,修正!C45:C56)</f>
        <v>0</v>
      </c>
      <c r="J55" s="1495"/>
      <c r="K55" s="3219"/>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561</v>
      </c>
      <c r="B56" s="630" t="e">
        <f t="shared" si="17"/>
        <v>#DIV/0!</v>
      </c>
      <c r="C56" s="372">
        <f t="shared" si="16"/>
        <v>0</v>
      </c>
      <c r="D56" s="2109">
        <v>0.25</v>
      </c>
      <c r="E56" s="631"/>
      <c r="F56" s="1864" t="e">
        <f t="shared" si="15"/>
        <v>#DIV/0!</v>
      </c>
      <c r="G56" s="3572"/>
      <c r="H56" s="1869">
        <f>项目基本情况!B43</f>
        <v>0</v>
      </c>
      <c r="I56" s="1867">
        <f>SUMIF(修正!$A$45:$A$56,H56,修正!D45:D56)</f>
        <v>0</v>
      </c>
      <c r="J56" s="1495"/>
      <c r="K56" s="3219"/>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562</v>
      </c>
      <c r="B57" s="630" t="e">
        <f t="shared" si="17"/>
        <v>#DIV/0!</v>
      </c>
      <c r="C57" s="372">
        <f t="shared" si="16"/>
        <v>0</v>
      </c>
      <c r="D57" s="2109">
        <v>0.25</v>
      </c>
      <c r="E57" s="631"/>
      <c r="F57" s="1864" t="e">
        <f t="shared" si="15"/>
        <v>#DIV/0!</v>
      </c>
      <c r="G57" s="3572"/>
      <c r="H57" s="1869">
        <f>项目基本情况!B43</f>
        <v>0</v>
      </c>
      <c r="I57" s="1867">
        <f>SUMIF(修正!$A$45:$A$56,H57,修正!E45:E56)</f>
        <v>0</v>
      </c>
      <c r="J57" s="1495"/>
      <c r="K57" s="3219"/>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2315</v>
      </c>
      <c r="B58" s="630" t="e">
        <f t="shared" si="17"/>
        <v>#DIV/0!</v>
      </c>
      <c r="C58" s="372">
        <f t="shared" si="16"/>
        <v>0</v>
      </c>
      <c r="D58" s="2109">
        <v>0.25</v>
      </c>
      <c r="E58" s="633">
        <f>'数据-汇总表'!E11</f>
        <v>0</v>
      </c>
      <c r="F58" s="1864" t="e">
        <f t="shared" si="15"/>
        <v>#DIV/0!</v>
      </c>
      <c r="G58" s="1870" t="s">
        <v>2273</v>
      </c>
      <c r="H58" s="1869">
        <f>项目基本情况!C43</f>
        <v>0</v>
      </c>
      <c r="I58" s="1867">
        <f>SUMIF(修正!$A$45:$A$56,H58,修正!F45:F56)</f>
        <v>0</v>
      </c>
      <c r="J58" s="1495"/>
      <c r="K58" s="3219"/>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563</v>
      </c>
      <c r="B59" s="630" t="e">
        <f t="shared" si="17"/>
        <v>#DIV/0!</v>
      </c>
      <c r="C59" s="372">
        <f t="shared" si="16"/>
        <v>0</v>
      </c>
      <c r="D59" s="2109">
        <v>0.25</v>
      </c>
      <c r="E59" s="633">
        <f>'数据-汇总表'!E12</f>
        <v>0</v>
      </c>
      <c r="F59" s="1864" t="e">
        <f t="shared" si="15"/>
        <v>#DIV/0!</v>
      </c>
      <c r="G59" s="1860" t="s">
        <v>1667</v>
      </c>
      <c r="H59" s="1868">
        <f>IF(G59="商业",项目基本情况!B43,IF(G59="办公",项目基本情况!C43,IF(G59="住宅",项目基本情况!D43,项目基本情况!E43)))</f>
        <v>0</v>
      </c>
      <c r="I59" s="1867">
        <f>SUMIF(修正!$A$45:$A$56,H59,修正!G45:G56)</f>
        <v>0</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564</v>
      </c>
      <c r="B60" s="630" t="e">
        <f t="shared" si="17"/>
        <v>#DIV/0!</v>
      </c>
      <c r="C60" s="372">
        <f t="shared" si="16"/>
        <v>0</v>
      </c>
      <c r="D60" s="2109">
        <v>0.25</v>
      </c>
      <c r="E60" s="633">
        <f>'数据-汇总表'!E13</f>
        <v>0</v>
      </c>
      <c r="F60" s="1864" t="e">
        <f t="shared" si="15"/>
        <v>#DIV/0!</v>
      </c>
      <c r="G60" s="1860" t="s">
        <v>913</v>
      </c>
      <c r="H60" s="1868">
        <f>IF(G60="商业",项目基本情况!B43,IF(G60="办公",项目基本情况!C43,IF(G60="住宅",项目基本情况!D43,项目基本情况!E43)))</f>
        <v>0</v>
      </c>
      <c r="I60" s="1867">
        <f>SUMIF(修正!$A$45:$A$56,H60,修正!H45:H56)</f>
        <v>0</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565</v>
      </c>
      <c r="B61" s="630" t="e">
        <f t="shared" si="17"/>
        <v>#DIV/0!</v>
      </c>
      <c r="C61" s="372">
        <f t="shared" si="16"/>
        <v>0</v>
      </c>
      <c r="D61" s="2109">
        <v>0.25</v>
      </c>
      <c r="E61" s="633">
        <f>'数据-汇总表'!E14</f>
        <v>0</v>
      </c>
      <c r="F61" s="1864" t="e">
        <f t="shared" si="15"/>
        <v>#DIV/0!</v>
      </c>
      <c r="G61" s="1870" t="s">
        <v>2272</v>
      </c>
      <c r="H61" s="1869">
        <f>项目基本情况!B43</f>
        <v>0</v>
      </c>
      <c r="I61" s="1867">
        <f>SUMIF(修正!$A$45:$A$56,H61,修正!H45:H56)</f>
        <v>0</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566</v>
      </c>
      <c r="B62" s="630" t="e">
        <f t="shared" si="17"/>
        <v>#DIV/0!</v>
      </c>
      <c r="C62" s="372">
        <f t="shared" si="16"/>
        <v>0</v>
      </c>
      <c r="D62" s="2109">
        <v>0.25</v>
      </c>
      <c r="E62" s="633">
        <f>'数据-汇总表'!E15</f>
        <v>0</v>
      </c>
      <c r="F62" s="1864" t="e">
        <f t="shared" si="15"/>
        <v>#DIV/0!</v>
      </c>
      <c r="G62" s="1871" t="s">
        <v>2273</v>
      </c>
      <c r="H62" s="1872">
        <f>项目基本情况!C43</f>
        <v>0</v>
      </c>
      <c r="I62" s="1867">
        <f>SUMIF(修正!$A$45:$A$56,H62,修正!H45:H56)</f>
        <v>0</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567</v>
      </c>
      <c r="B63" s="635" t="s">
        <v>17</v>
      </c>
      <c r="C63" s="635" t="s">
        <v>18</v>
      </c>
      <c r="D63" s="635" t="s">
        <v>2281</v>
      </c>
      <c r="E63" s="635">
        <f>IF(B43="楼面地价",SUM(E53:E62),'数据-汇总表'!D3)</f>
        <v>54426.77</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2021-3-1</v>
      </c>
      <c r="D65" s="2516">
        <f>EDATE(C65,-3)</f>
        <v>44166</v>
      </c>
      <c r="E65" s="2516">
        <f t="shared" ref="E65:N65" si="18">EDATE(D65,-3)</f>
        <v>44075</v>
      </c>
      <c r="F65" s="2516">
        <f t="shared" si="18"/>
        <v>43983</v>
      </c>
      <c r="G65" s="2516">
        <f t="shared" si="18"/>
        <v>43891</v>
      </c>
      <c r="H65" s="2516">
        <f t="shared" si="18"/>
        <v>43800</v>
      </c>
      <c r="I65" s="2516">
        <f t="shared" si="18"/>
        <v>43709</v>
      </c>
      <c r="J65" s="2516">
        <f t="shared" si="18"/>
        <v>43617</v>
      </c>
      <c r="K65" s="2516">
        <f t="shared" si="18"/>
        <v>43525</v>
      </c>
      <c r="L65" s="2516">
        <f t="shared" si="18"/>
        <v>43435</v>
      </c>
      <c r="M65" s="2516">
        <f t="shared" si="18"/>
        <v>43344</v>
      </c>
      <c r="N65" s="2516">
        <f t="shared" si="18"/>
        <v>43252</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2513</v>
      </c>
      <c r="B67" s="638"/>
      <c r="C67" s="2513" t="str">
        <f>YEAR(C65)&amp;"-"&amp;ROUNDUP(MONTH(C65)/3,0)</f>
        <v>2021-1</v>
      </c>
      <c r="D67" s="2518" t="str">
        <f t="shared" ref="D67:N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2628</v>
      </c>
      <c r="B68" s="473" t="str">
        <f>"北京市平均增长率"&amp;TEXT(基准地价!P24,"0.00%")</f>
        <v>北京市平均增长率1.19%</v>
      </c>
      <c r="C68" s="882">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2528</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2530</v>
      </c>
      <c r="C95" s="2442" t="s">
        <v>2531</v>
      </c>
      <c r="D95" s="2442" t="s">
        <v>2532</v>
      </c>
      <c r="E95" s="2442" t="s">
        <v>2533</v>
      </c>
      <c r="F95" s="2442" t="s">
        <v>2534</v>
      </c>
      <c r="G95" s="2442" t="s">
        <v>2535</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2409</v>
      </c>
      <c r="C114" s="1326"/>
      <c r="D114" s="1326"/>
      <c r="E114" s="1326"/>
      <c r="F114" s="1326"/>
      <c r="G114" s="1326"/>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1684</v>
      </c>
      <c r="B1" s="1348"/>
      <c r="C1" s="1354" t="s">
        <v>2410</v>
      </c>
      <c r="D1" s="1460">
        <f>SUM(D29:D30,D33:D39)</f>
        <v>0</v>
      </c>
      <c r="E1" s="1354" t="s">
        <v>2411</v>
      </c>
      <c r="F1" s="2307"/>
      <c r="G1" s="1349"/>
      <c r="H1" s="1349"/>
      <c r="I1" s="1349"/>
      <c r="J1" s="1349"/>
      <c r="K1" s="2070"/>
      <c r="L1" s="1796" t="s">
        <v>2226</v>
      </c>
      <c r="M1" s="1797">
        <f>SUMPRODUCT((区片价!B5:B9=I2)*(区片价!C3:F3=E2)*(区片价!C5:F9))</f>
        <v>0</v>
      </c>
      <c r="N1" s="1798">
        <f>SUMPRODUCT((因素修正幅度!B5:B9=I2)*(因素修正幅度!C3:F3=E2)*(因素修正幅度!C5:F9))</f>
        <v>0</v>
      </c>
      <c r="O1" s="2070"/>
      <c r="P1" s="2070"/>
      <c r="Q1" s="2070"/>
      <c r="R1" s="2653" t="s">
        <v>2740</v>
      </c>
      <c r="S1" s="2653" t="s">
        <v>2741</v>
      </c>
      <c r="T1" s="2653" t="s">
        <v>2762</v>
      </c>
      <c r="U1" s="2653" t="s">
        <v>2763</v>
      </c>
      <c r="V1" s="2653" t="s">
        <v>2764</v>
      </c>
      <c r="W1" s="2070"/>
      <c r="X1" s="2070"/>
      <c r="Y1" s="2070"/>
      <c r="Z1" s="2070"/>
      <c r="AA1" s="2070"/>
      <c r="AB1" s="2070"/>
      <c r="AC1" s="2071"/>
    </row>
    <row r="2" spans="1:39" ht="15.75">
      <c r="A2" s="1354" t="s">
        <v>910</v>
      </c>
      <c r="B2" s="1024" t="e">
        <f>C26</f>
        <v>#DIV/0!</v>
      </c>
      <c r="C2" s="1355" t="s">
        <v>911</v>
      </c>
      <c r="D2" s="1356" t="s">
        <v>912</v>
      </c>
      <c r="E2" s="1357"/>
      <c r="F2" s="1356" t="s">
        <v>914</v>
      </c>
      <c r="G2" s="1580">
        <f>IF(E2="商业",项目基本情况!B43,IF(E2="办公",项目基本情况!C43,IF(E2="住宅",项目基本情况!D43,项目基本情况!E43)))</f>
        <v>0</v>
      </c>
      <c r="H2" s="1356" t="s">
        <v>916</v>
      </c>
      <c r="I2" s="1581">
        <f>IF(E2="商业",项目基本情况!B44,IF(E2="办公",项目基本情况!C44,IF(E2="住宅",项目基本情况!D44,项目基本情况!E44)))</f>
        <v>0</v>
      </c>
      <c r="J2" s="1358"/>
      <c r="K2" s="3232"/>
      <c r="L2" s="1799" t="s">
        <v>2227</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0</v>
      </c>
      <c r="T2" s="2654" t="e">
        <f>ROUND($C$5*$C$18*$C$19*$C$20*S2*$C$24,0)</f>
        <v>#DIV/0!</v>
      </c>
      <c r="U2" s="2643"/>
      <c r="V2" s="2654" t="e">
        <f>ROUND(T2*U2/10000,0)</f>
        <v>#DIV/0!</v>
      </c>
      <c r="W2" s="2070"/>
      <c r="X2" s="2070"/>
      <c r="Y2" s="2070"/>
      <c r="Z2" s="2070"/>
      <c r="AA2" s="2070"/>
      <c r="AB2" s="2070"/>
      <c r="AC2" s="2071"/>
    </row>
    <row r="3" spans="1:39" ht="15.75">
      <c r="A3" s="1359" t="s">
        <v>1677</v>
      </c>
      <c r="B3" s="1024" t="e">
        <f>ROUND(B2*10000/D1,0)</f>
        <v>#DIV/0!</v>
      </c>
      <c r="C3" s="1355" t="s">
        <v>917</v>
      </c>
      <c r="D3" s="1356" t="s">
        <v>918</v>
      </c>
      <c r="E3" s="1360"/>
      <c r="F3" s="1361"/>
      <c r="G3" s="1025">
        <f>IF(F3="宗地容积率",'数据-汇总表'!I4,IF(F3="估价对象容积率",'数据-汇总表'!I6,'数据-汇总表'!I7))</f>
        <v>4</v>
      </c>
      <c r="H3" s="1362" t="s">
        <v>919</v>
      </c>
      <c r="I3" s="1026">
        <v>8</v>
      </c>
      <c r="J3" s="1358" t="s">
        <v>920</v>
      </c>
      <c r="K3" s="3232"/>
      <c r="L3" s="1799" t="s">
        <v>2228</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2267</v>
      </c>
      <c r="B4" s="2308" t="e">
        <f>ROUND(B2*10000/F1,0)</f>
        <v>#DIV/0!</v>
      </c>
      <c r="C4" s="1808" t="s">
        <v>2242</v>
      </c>
      <c r="D4" s="1808" t="e">
        <f>ROUND(B2/(F1/666.67),0)</f>
        <v>#DIV/0!</v>
      </c>
      <c r="E4" s="1808" t="s">
        <v>2243</v>
      </c>
      <c r="F4" s="1806"/>
      <c r="G4" s="1806"/>
      <c r="H4" s="1806"/>
      <c r="I4" s="1806"/>
      <c r="J4" s="1807"/>
      <c r="K4" s="3233"/>
      <c r="L4" s="1799" t="s">
        <v>2229</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0</v>
      </c>
      <c r="T4" s="2654" t="e">
        <f t="shared" si="0"/>
        <v>#DIV/0!</v>
      </c>
      <c r="U4" s="2643"/>
      <c r="V4" s="2654" t="e">
        <f t="shared" si="1"/>
        <v>#DIV/0!</v>
      </c>
      <c r="W4" s="2070"/>
      <c r="X4" s="2070"/>
      <c r="Y4" s="2070"/>
      <c r="Z4" s="2070"/>
      <c r="AA4" s="2070"/>
      <c r="AB4" s="2070"/>
      <c r="AC4" s="2071"/>
    </row>
    <row r="5" spans="1:39" s="1369" customFormat="1" ht="15.75" thickBot="1">
      <c r="A5" s="1566" t="s">
        <v>1813</v>
      </c>
      <c r="B5" s="1363" t="s">
        <v>921</v>
      </c>
      <c r="C5" s="1027" t="e">
        <f>ROUND(IF(E2="商业",C6*C7+C16,(IF(E2="住宅",C6*C12+C16,C6+C16))),0)</f>
        <v>#DIV/0!</v>
      </c>
      <c r="D5" s="2793" t="e">
        <f>ROUND(C6+C16,0)</f>
        <v>#DIV/0!</v>
      </c>
      <c r="E5" s="2793"/>
      <c r="F5" s="1364"/>
      <c r="G5" s="1365"/>
      <c r="H5" s="1365"/>
      <c r="I5" s="1365"/>
      <c r="J5" s="1366"/>
      <c r="K5" s="3234"/>
      <c r="L5" s="1799" t="s">
        <v>2230</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1860</v>
      </c>
      <c r="B6" s="1370" t="s">
        <v>921</v>
      </c>
      <c r="C6" s="1028">
        <f>SUMIF(L1:L12,基准地价!G2,M1:M12)</f>
        <v>0</v>
      </c>
      <c r="D6" s="1371" t="s">
        <v>1685</v>
      </c>
      <c r="E6" s="1372"/>
      <c r="F6" s="1372"/>
      <c r="G6" s="1373"/>
      <c r="H6" s="1373"/>
      <c r="I6" s="1373"/>
      <c r="J6" s="1374"/>
      <c r="K6" s="3235"/>
      <c r="L6" s="1799" t="s">
        <v>2231</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81" t="str">
        <f>IF(E2="商业",IF(C8="不临58条商业街","",2),"")</f>
        <v/>
      </c>
      <c r="B7" s="1375" t="s">
        <v>922</v>
      </c>
      <c r="C7" s="1029" t="e">
        <f>IF(C8="不临58条商业街",1,ROUND(1+(1.6*E8+1.2*E9+0.8*E10+0.4*E11)*C9,4))</f>
        <v>#DIV/0!</v>
      </c>
      <c r="D7" s="1376" t="s">
        <v>923</v>
      </c>
      <c r="E7" s="1030"/>
      <c r="F7" s="1377"/>
      <c r="G7" s="1378"/>
      <c r="H7" s="1378"/>
      <c r="I7" s="1378"/>
      <c r="J7" s="1379"/>
      <c r="K7" s="3235"/>
      <c r="L7" s="1799" t="s">
        <v>2232</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v>
      </c>
      <c r="T7" s="2654" t="e">
        <f t="shared" si="0"/>
        <v>#DIV/0!</v>
      </c>
      <c r="U7" s="2643"/>
      <c r="V7" s="2654" t="e">
        <f t="shared" si="1"/>
        <v>#DIV/0!</v>
      </c>
      <c r="W7" s="2652" t="s">
        <v>2743</v>
      </c>
      <c r="X7" s="2644">
        <f>G2</f>
        <v>0</v>
      </c>
      <c r="Y7" s="2644" t="s">
        <v>2744</v>
      </c>
      <c r="Z7" s="2645">
        <f>G3</f>
        <v>4</v>
      </c>
      <c r="AA7" s="2073"/>
      <c r="AB7" s="2073"/>
      <c r="AC7" s="2074"/>
      <c r="AD7" s="2646"/>
      <c r="AE7" s="2646"/>
      <c r="AF7" s="2646"/>
      <c r="AG7" s="2646"/>
      <c r="AH7" s="2646"/>
      <c r="AI7" s="2646"/>
      <c r="AJ7" s="2647"/>
    </row>
    <row r="8" spans="1:39" ht="15">
      <c r="A8" s="3582"/>
      <c r="B8" s="1362" t="s">
        <v>924</v>
      </c>
      <c r="C8" s="1468"/>
      <c r="D8" s="1031" t="s">
        <v>925</v>
      </c>
      <c r="E8" s="1032" t="e">
        <f>ROUND(C11/E7,4)</f>
        <v>#DIV/0!</v>
      </c>
      <c r="F8" s="1380" t="s">
        <v>926</v>
      </c>
      <c r="G8" s="1381"/>
      <c r="H8" s="1381"/>
      <c r="I8" s="1381"/>
      <c r="J8" s="1382"/>
      <c r="K8" s="3235"/>
      <c r="L8" s="1799" t="s">
        <v>2233</v>
      </c>
      <c r="M8" s="1800">
        <f>SUMPRODUCT((区片价!B206:B244=I2)*(区片价!C3:F3=E2)*(区片价!C206:F244))</f>
        <v>0</v>
      </c>
      <c r="N8" s="1801">
        <f>SUMPRODUCT((因素修正幅度!B206:B244=I2)*(因素修正幅度!C3:F3=E2)*(因素修正幅度!C206:F244))</f>
        <v>0</v>
      </c>
      <c r="O8" s="3235"/>
      <c r="P8" s="2070"/>
      <c r="Q8" s="2070"/>
      <c r="R8" s="2654">
        <v>7</v>
      </c>
      <c r="S8" s="2643"/>
      <c r="T8" s="2654" t="e">
        <f t="shared" si="0"/>
        <v>#DIV/0!</v>
      </c>
      <c r="U8" s="2643"/>
      <c r="V8" s="2654" t="e">
        <f t="shared" si="1"/>
        <v>#DIV/0!</v>
      </c>
      <c r="W8" s="3592" t="s">
        <v>2761</v>
      </c>
      <c r="X8" s="3593"/>
      <c r="Y8" s="1763" t="s">
        <v>2745</v>
      </c>
      <c r="Z8" s="1763" t="s">
        <v>2746</v>
      </c>
      <c r="AA8" s="1763" t="s">
        <v>2747</v>
      </c>
      <c r="AB8" s="1763" t="s">
        <v>2748</v>
      </c>
      <c r="AC8" s="1763" t="s">
        <v>2749</v>
      </c>
      <c r="AD8" s="1763" t="s">
        <v>2750</v>
      </c>
      <c r="AE8" s="1763" t="s">
        <v>2751</v>
      </c>
      <c r="AF8" s="1763" t="s">
        <v>2752</v>
      </c>
      <c r="AG8" s="1763" t="s">
        <v>2753</v>
      </c>
      <c r="AH8" s="1763" t="s">
        <v>2754</v>
      </c>
      <c r="AI8" s="1763" t="s">
        <v>2755</v>
      </c>
      <c r="AJ8" s="1763" t="s">
        <v>2756</v>
      </c>
    </row>
    <row r="9" spans="1:39" ht="15">
      <c r="A9" s="3582"/>
      <c r="B9" s="1362" t="s">
        <v>927</v>
      </c>
      <c r="C9" s="1033">
        <f>SUMIF(修正!C59:C119,C8,修正!E59:E119)</f>
        <v>0</v>
      </c>
      <c r="D9" s="1034" t="s">
        <v>928</v>
      </c>
      <c r="E9" s="1034" t="e">
        <f>ROUND(C11/E7,4)</f>
        <v>#DIV/0!</v>
      </c>
      <c r="F9" s="1380" t="s">
        <v>929</v>
      </c>
      <c r="G9" s="1381"/>
      <c r="H9" s="1381"/>
      <c r="I9" s="1381"/>
      <c r="J9" s="1382"/>
      <c r="K9" s="3235"/>
      <c r="L9" s="1799" t="s">
        <v>2234</v>
      </c>
      <c r="M9" s="1800">
        <f>SUMPRODUCT((区片价!B245:B289=I2)*(区片价!C3:F3=E2)*(区片价!C245:F289))</f>
        <v>0</v>
      </c>
      <c r="N9" s="1801">
        <f>SUMPRODUCT((因素修正幅度!B245:B289=I2)*(因素修正幅度!C3:F3=E2)*(因素修正幅度!C245:F289))</f>
        <v>0</v>
      </c>
      <c r="O9" s="3235"/>
      <c r="P9" s="2070"/>
      <c r="Q9" s="2070"/>
      <c r="R9" s="2654">
        <v>8</v>
      </c>
      <c r="S9" s="2643"/>
      <c r="T9" s="2654" t="e">
        <f t="shared" si="0"/>
        <v>#DIV/0!</v>
      </c>
      <c r="U9" s="2643"/>
      <c r="V9" s="2654" t="e">
        <f t="shared" si="1"/>
        <v>#DIV/0!</v>
      </c>
      <c r="W9" s="3591" t="s">
        <v>2757</v>
      </c>
      <c r="X9" s="2648" t="s">
        <v>2758</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82"/>
      <c r="B10" s="1362" t="s">
        <v>930</v>
      </c>
      <c r="C10" s="1034">
        <f>SUMIF(修正!C59:C119,C8,修正!F59:F119)</f>
        <v>0</v>
      </c>
      <c r="D10" s="1034" t="s">
        <v>931</v>
      </c>
      <c r="E10" s="1034" t="e">
        <f>ROUND(C11/E7,4)</f>
        <v>#DIV/0!</v>
      </c>
      <c r="F10" s="1380" t="s">
        <v>932</v>
      </c>
      <c r="G10" s="1381"/>
      <c r="H10" s="1381"/>
      <c r="I10" s="1381"/>
      <c r="J10" s="1382"/>
      <c r="K10" s="3235"/>
      <c r="L10" s="1799" t="s">
        <v>2235</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t="e">
        <f t="shared" si="0"/>
        <v>#DIV/0!</v>
      </c>
      <c r="U10" s="2643"/>
      <c r="V10" s="2654" t="e">
        <f t="shared" si="1"/>
        <v>#DIV/0!</v>
      </c>
      <c r="W10" s="3591"/>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82"/>
      <c r="B11" s="1383" t="s">
        <v>933</v>
      </c>
      <c r="C11" s="1035">
        <f>C10/4</f>
        <v>0</v>
      </c>
      <c r="D11" s="1035" t="s">
        <v>934</v>
      </c>
      <c r="E11" s="1035" t="e">
        <f>ROUND(C11/E7,4)</f>
        <v>#DIV/0!</v>
      </c>
      <c r="F11" s="1384" t="s">
        <v>935</v>
      </c>
      <c r="G11" s="1385"/>
      <c r="H11" s="1385"/>
      <c r="I11" s="1385"/>
      <c r="J11" s="1386"/>
      <c r="K11" s="3235"/>
      <c r="L11" s="1799" t="s">
        <v>2236</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t="e">
        <f t="shared" si="0"/>
        <v>#DIV/0!</v>
      </c>
      <c r="U11" s="2643"/>
      <c r="V11" s="2654" t="e">
        <f t="shared" si="1"/>
        <v>#DIV/0!</v>
      </c>
      <c r="W11" s="3591" t="s">
        <v>2759</v>
      </c>
      <c r="X11" s="1034" t="s">
        <v>2744</v>
      </c>
      <c r="Y11" s="1581">
        <f>$G$3</f>
        <v>4</v>
      </c>
      <c r="Z11" s="1581">
        <f t="shared" ref="Z11:AJ11" si="3">$G$3</f>
        <v>4</v>
      </c>
      <c r="AA11" s="1581">
        <f t="shared" si="3"/>
        <v>4</v>
      </c>
      <c r="AB11" s="1581">
        <f t="shared" si="3"/>
        <v>4</v>
      </c>
      <c r="AC11" s="1581">
        <f t="shared" si="3"/>
        <v>4</v>
      </c>
      <c r="AD11" s="1581">
        <f t="shared" si="3"/>
        <v>4</v>
      </c>
      <c r="AE11" s="1581">
        <f t="shared" si="3"/>
        <v>4</v>
      </c>
      <c r="AF11" s="1581">
        <f t="shared" si="3"/>
        <v>4</v>
      </c>
      <c r="AG11" s="1581">
        <f t="shared" si="3"/>
        <v>4</v>
      </c>
      <c r="AH11" s="1581">
        <f t="shared" si="3"/>
        <v>4</v>
      </c>
      <c r="AI11" s="1581">
        <f t="shared" si="3"/>
        <v>4</v>
      </c>
      <c r="AJ11" s="1581">
        <f t="shared" si="3"/>
        <v>4</v>
      </c>
    </row>
    <row r="12" spans="1:39" ht="25.5" thickBot="1">
      <c r="A12" s="3581" t="s">
        <v>1861</v>
      </c>
      <c r="B12" s="1387" t="s">
        <v>936</v>
      </c>
      <c r="C12" s="1029">
        <f>ROUND(C15*D15*E15*F15*G15*H15*I15*J15,4)</f>
        <v>1</v>
      </c>
      <c r="D12" s="1388" t="s">
        <v>937</v>
      </c>
      <c r="E12" s="1389"/>
      <c r="F12" s="1389"/>
      <c r="G12" s="1390"/>
      <c r="H12" s="1390"/>
      <c r="I12" s="1390"/>
      <c r="J12" s="1391"/>
      <c r="K12" s="3235"/>
      <c r="L12" s="1802" t="s">
        <v>2237</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t="e">
        <f t="shared" si="0"/>
        <v>#DIV/0!</v>
      </c>
      <c r="U12" s="2643"/>
      <c r="V12" s="2654" t="e">
        <f t="shared" si="1"/>
        <v>#DIV/0!</v>
      </c>
      <c r="W12" s="3591"/>
      <c r="X12" s="2651" t="s">
        <v>2760</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83"/>
      <c r="B13" s="1392" t="s">
        <v>1686</v>
      </c>
      <c r="C13" s="1393" t="s">
        <v>1687</v>
      </c>
      <c r="D13" s="1071" t="s">
        <v>1688</v>
      </c>
      <c r="E13" s="1071" t="s">
        <v>1689</v>
      </c>
      <c r="F13" s="1394" t="s">
        <v>938</v>
      </c>
      <c r="G13" s="1395" t="s">
        <v>1632</v>
      </c>
      <c r="H13" s="1396" t="s">
        <v>1632</v>
      </c>
      <c r="I13" s="1397" t="s">
        <v>1632</v>
      </c>
      <c r="J13" s="1398" t="s">
        <v>1632</v>
      </c>
      <c r="K13" s="2843"/>
      <c r="L13" s="2843"/>
      <c r="M13" s="2843"/>
      <c r="N13" s="2843"/>
      <c r="O13" s="2843"/>
      <c r="P13" s="2070"/>
      <c r="Q13" s="2070"/>
      <c r="R13" s="2654">
        <v>12</v>
      </c>
      <c r="S13" s="2643"/>
      <c r="T13" s="2654" t="e">
        <f t="shared" si="0"/>
        <v>#DIV/0!</v>
      </c>
      <c r="U13" s="2643"/>
      <c r="V13" s="2654" t="e">
        <f t="shared" si="1"/>
        <v>#DIV/0!</v>
      </c>
      <c r="W13" s="3591"/>
      <c r="X13" s="2651"/>
      <c r="Y13" s="2650">
        <f>(-0.163*(Y12^2)-0.59*Y12+7617)*(10^(-4))/Y11</f>
        <v>0.19042500000000001</v>
      </c>
      <c r="Z13" s="2650">
        <f t="shared" ref="Z13:AJ13" si="5">(-0.163*(Z12^2)-0.59*Z12+7617)*(10^(-4))/Z11</f>
        <v>0.19042500000000001</v>
      </c>
      <c r="AA13" s="2650">
        <f t="shared" si="5"/>
        <v>0.19042500000000001</v>
      </c>
      <c r="AB13" s="2650">
        <f t="shared" si="5"/>
        <v>0.19042500000000001</v>
      </c>
      <c r="AC13" s="2650">
        <f t="shared" si="5"/>
        <v>0.19042500000000001</v>
      </c>
      <c r="AD13" s="2650">
        <f t="shared" si="5"/>
        <v>0.19042500000000001</v>
      </c>
      <c r="AE13" s="2650">
        <f t="shared" si="5"/>
        <v>0.19042500000000001</v>
      </c>
      <c r="AF13" s="2650">
        <f t="shared" si="5"/>
        <v>0.19042500000000001</v>
      </c>
      <c r="AG13" s="2650">
        <f t="shared" si="5"/>
        <v>0.19042500000000001</v>
      </c>
      <c r="AH13" s="2650">
        <f t="shared" si="5"/>
        <v>0.19042500000000001</v>
      </c>
      <c r="AI13" s="2650">
        <f t="shared" si="5"/>
        <v>0.19042500000000001</v>
      </c>
      <c r="AJ13" s="2650">
        <f t="shared" si="5"/>
        <v>0.19042500000000001</v>
      </c>
    </row>
    <row r="14" spans="1:39" ht="12.75" customHeight="1">
      <c r="A14" s="3583"/>
      <c r="B14" s="1399"/>
      <c r="C14" s="1400"/>
      <c r="D14" s="1401"/>
      <c r="E14" s="1401"/>
      <c r="F14" s="1402"/>
      <c r="G14" s="1403" t="s">
        <v>939</v>
      </c>
      <c r="H14" s="1404"/>
      <c r="I14" s="1405"/>
      <c r="J14" s="1406"/>
      <c r="K14" s="3236"/>
      <c r="L14" s="3236"/>
      <c r="M14" s="3236"/>
      <c r="N14" s="3236"/>
      <c r="O14" s="3236"/>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84"/>
      <c r="B15" s="2848" t="s">
        <v>1690</v>
      </c>
      <c r="C15" s="1035">
        <f>IF(C14="有",1.1,1)</f>
        <v>1</v>
      </c>
      <c r="D15" s="1035">
        <f>IF(D14="有",1.1,1)</f>
        <v>1</v>
      </c>
      <c r="E15" s="1035">
        <f>IF(E14="有",1.1,1)</f>
        <v>1</v>
      </c>
      <c r="F15" s="1035">
        <f>IF(F14="500米范围内",1.2,IF(F14="500-1000米",1.1,1))</f>
        <v>1</v>
      </c>
      <c r="G15" s="2840">
        <v>1</v>
      </c>
      <c r="H15" s="2840">
        <v>1</v>
      </c>
      <c r="I15" s="2840">
        <v>1</v>
      </c>
      <c r="J15" s="2841">
        <v>1</v>
      </c>
      <c r="K15" s="2844"/>
      <c r="L15" s="2844"/>
      <c r="M15" s="2844"/>
      <c r="N15" s="2844"/>
      <c r="O15" s="2844"/>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81" t="s">
        <v>1828</v>
      </c>
      <c r="B16" s="1375" t="s">
        <v>940</v>
      </c>
      <c r="C16" s="1038" t="e">
        <f>ROUND(IF(F17="与级别开发程度一致",0,(G17-E17)/C17),0)</f>
        <v>#DIV/0!</v>
      </c>
      <c r="D16" s="3599" t="s">
        <v>944</v>
      </c>
      <c r="E16" s="3600"/>
      <c r="F16" s="3599" t="s">
        <v>941</v>
      </c>
      <c r="G16" s="3600"/>
      <c r="H16" s="1407"/>
      <c r="I16" s="1407"/>
      <c r="J16" s="1407"/>
      <c r="K16" s="1407"/>
      <c r="L16" s="1407"/>
      <c r="M16" s="1407"/>
      <c r="N16" s="1407"/>
      <c r="O16" s="2853"/>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85"/>
      <c r="B17" s="2854" t="s">
        <v>943</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1819</v>
      </c>
      <c r="B18" s="2849" t="s">
        <v>945</v>
      </c>
      <c r="C18" s="2850">
        <f>SUMIF(修正!C18:C39,E3,修正!E18:E39)</f>
        <v>0</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1825</v>
      </c>
      <c r="B19" s="1410" t="s">
        <v>946</v>
      </c>
      <c r="C19" s="1039">
        <f>ROUND(IF(H19="按公示增长率计算",SUMPRODUCT((地价!A3:A33=YEAR(G19)&amp;"-"&amp;ROUNDUP(MONTH(G19)/3,0))*(地价!X2:AB2=E2)*(地价!X3:AB33)),IF(H19="地价指数",M20/M19,(1+I19)^O19)),4)</f>
        <v>0</v>
      </c>
      <c r="D19" s="1414" t="s">
        <v>947</v>
      </c>
      <c r="E19" s="1040">
        <v>41640</v>
      </c>
      <c r="F19" s="1414" t="s">
        <v>948</v>
      </c>
      <c r="G19" s="1041">
        <f>'数据-取费表'!B2</f>
        <v>44258</v>
      </c>
      <c r="H19" s="1415" t="s">
        <v>2949</v>
      </c>
      <c r="I19" s="2503" t="str">
        <f>IF(H19="季度增幅（自定义）",SUMIF(N21:N24,E2,O21:O24),"")</f>
        <v/>
      </c>
      <c r="J19" s="1411"/>
      <c r="K19" s="3234"/>
      <c r="L19" s="2753" t="s">
        <v>2819</v>
      </c>
      <c r="M19" s="2754">
        <f>ROUND(SUMIF(地价!B2:F2,E2,地价!B33:F33),0)</f>
        <v>0</v>
      </c>
      <c r="N19" s="2505" t="s">
        <v>1666</v>
      </c>
      <c r="O19" s="2504">
        <f>ROUNDDOWN(DATEDIF(E19,G19,"M")/3,0)</f>
        <v>28</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1826</v>
      </c>
      <c r="B20" s="2498" t="s">
        <v>961</v>
      </c>
      <c r="C20" s="2499" t="e">
        <f>ROUND(POWER(1+G20,J20-I20)*(POWER(1+G20,I20)-1)/(POWER(1+G20,J20)-1),4)</f>
        <v>#DIV/0!</v>
      </c>
      <c r="D20" s="2500" t="s">
        <v>962</v>
      </c>
      <c r="E20" s="2783">
        <f ca="1">存贷款利率!I4/100</f>
        <v>3.85E-2</v>
      </c>
      <c r="F20" s="2500" t="s">
        <v>963</v>
      </c>
      <c r="G20" s="2501">
        <f>SUMIF(M26:P26,E2,M28:P28)</f>
        <v>0</v>
      </c>
      <c r="H20" s="2500" t="s">
        <v>964</v>
      </c>
      <c r="I20" s="2496" t="e">
        <f>SUMIF('数据-取费表'!C6:C15,E2,'数据-取费表'!F6:F15)/COUNTIF('数据-取费表'!C6:C15,E2)</f>
        <v>#DIV/0!</v>
      </c>
      <c r="J20" s="2502">
        <f>IF(E2="住宅",70,IF(E2="商业",40,50))</f>
        <v>50</v>
      </c>
      <c r="K20" s="2844"/>
      <c r="L20" s="2755" t="s">
        <v>2820</v>
      </c>
      <c r="M20" s="2837">
        <f>ROUND(SUMPRODUCT((地价!A4:A33=YEAR(G19)&amp;"-"&amp;ROUNDUP(MONTH(G19)/3,0))*(地价!B2:F2=E2)*(地价!B4:F33)),0)</f>
        <v>0</v>
      </c>
      <c r="N20" s="2508" t="s">
        <v>2624</v>
      </c>
      <c r="O20" s="2506" t="s">
        <v>2623</v>
      </c>
      <c r="P20" s="2507" t="s">
        <v>2629</v>
      </c>
      <c r="Q20" s="2642"/>
      <c r="R20" s="2076"/>
      <c r="S20" s="2076"/>
      <c r="T20" s="2076"/>
      <c r="U20" s="2076"/>
      <c r="V20" s="2076"/>
      <c r="W20" s="2076"/>
      <c r="X20" s="2076"/>
      <c r="Y20" s="1412"/>
      <c r="Z20" s="1412"/>
      <c r="AA20" s="1412"/>
      <c r="AB20" s="1412"/>
      <c r="AC20" s="1412"/>
      <c r="AD20" s="1412"/>
    </row>
    <row r="21" spans="1:40" s="1369" customFormat="1" ht="14.25">
      <c r="A21" s="1570" t="s">
        <v>1827</v>
      </c>
      <c r="B21" s="1420" t="s">
        <v>2984</v>
      </c>
      <c r="C21" s="1140" t="b">
        <f>IF(B21="容积率修正",IF(G3&lt;=10,D22,J22),C23)</f>
        <v>0</v>
      </c>
      <c r="D21" s="1421"/>
      <c r="E21" s="1421"/>
      <c r="F21" s="1421"/>
      <c r="G21" s="1421"/>
      <c r="H21" s="1421"/>
      <c r="I21" s="1421"/>
      <c r="J21" s="1422"/>
      <c r="K21" s="3234"/>
      <c r="L21" s="1421"/>
      <c r="M21" s="1421"/>
      <c r="N21" s="1418" t="s">
        <v>965</v>
      </c>
      <c r="O21" s="1481"/>
      <c r="P21" s="2495">
        <f>SUMPRODUCT((地价!A3:A33=YEAR(G19)&amp;"-"&amp;ROUNDUP(MONTH(G19)/3,0))*(地价!AD2:AH2=N21)*(地价!AD3:AH33))</f>
        <v>1.0999999999999999E-2</v>
      </c>
      <c r="Q21" s="2642"/>
      <c r="R21" s="2076"/>
      <c r="S21" s="2076"/>
      <c r="T21" s="2076"/>
      <c r="U21" s="2076"/>
      <c r="V21" s="2076"/>
      <c r="W21" s="2076"/>
      <c r="X21" s="2076"/>
      <c r="Y21" s="1351"/>
      <c r="Z21" s="1351"/>
      <c r="AA21" s="1351"/>
      <c r="AB21" s="1351"/>
      <c r="AC21" s="1412"/>
      <c r="AD21" s="1412"/>
    </row>
    <row r="22" spans="1:40" s="1369" customFormat="1" ht="14.25">
      <c r="A22" s="1571" t="s">
        <v>1860</v>
      </c>
      <c r="B22" s="1423" t="s">
        <v>966</v>
      </c>
      <c r="C22" s="1042" t="s">
        <v>1692</v>
      </c>
      <c r="D22" s="1042" t="b">
        <f>IF(E22=G22,F22,IF(G3&lt;=10,ROUND(F22+(H22-F22)*(G3-E22)/(G22-E22),4),"——"))</f>
        <v>0</v>
      </c>
      <c r="E22" s="1025">
        <f>ROUNDDOWN(G3,1)</f>
        <v>4</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4</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967</v>
      </c>
      <c r="J22" s="1042" t="str">
        <f>IF(G3&gt;10,D113,"——")</f>
        <v>——</v>
      </c>
      <c r="K22" s="3240"/>
      <c r="L22" s="1421"/>
      <c r="M22" s="1421"/>
      <c r="N22" s="1418" t="s">
        <v>968</v>
      </c>
      <c r="O22" s="1481"/>
      <c r="P22" s="2495">
        <f>SUMPRODUCT((地价!A3:A33=YEAR(G19)&amp;"-"&amp;ROUNDUP(MONTH(G19)/3,0))*(地价!AD2:AH2=N22)*(地价!AD3:AH33))</f>
        <v>1.0999999999999999E-2</v>
      </c>
      <c r="Q22" s="2642"/>
      <c r="R22" s="2076"/>
      <c r="S22" s="2076"/>
      <c r="T22" s="2076"/>
      <c r="U22" s="2076"/>
      <c r="V22" s="2076"/>
      <c r="W22" s="2076"/>
      <c r="X22" s="2076"/>
      <c r="Y22" s="1412"/>
      <c r="Z22" s="1412"/>
      <c r="AA22" s="1412"/>
      <c r="AB22" s="1412"/>
      <c r="AC22" s="1412"/>
      <c r="AD22" s="1412"/>
    </row>
    <row r="23" spans="1:40" ht="15.75" thickBot="1">
      <c r="A23" s="1571" t="s">
        <v>1861</v>
      </c>
      <c r="B23" s="1423" t="s">
        <v>969</v>
      </c>
      <c r="C23" s="1043">
        <f>ROUND(IF(G3&gt;1,IF(I3&lt;7,SUMPRODUCT((B93:B98=I3)*(C92:N92=G2)*(C93:N98)),SUMIF(C92:N92,G2,C100:N100)),IF(I3&lt;7,SUMPRODUCT((B102:B107=I3)*(C92:N92=G2)*(C102:N107)),SUMIF(C92:N92,G2,C109:N109))),4)</f>
        <v>0</v>
      </c>
      <c r="D23" s="1469"/>
      <c r="E23" s="1469"/>
      <c r="F23" s="1470"/>
      <c r="G23" s="1471"/>
      <c r="H23" s="1472"/>
      <c r="I23" s="1473"/>
      <c r="J23" s="1473"/>
      <c r="K23" s="3241"/>
      <c r="L23" s="1349"/>
      <c r="M23" s="1349"/>
      <c r="N23" s="1418" t="s">
        <v>913</v>
      </c>
      <c r="O23" s="1481"/>
      <c r="P23" s="2495">
        <f>SUMPRODUCT((地价!A3:A33=YEAR(G19)&amp;"-"&amp;ROUNDUP(MONTH(G19)/3,0))*(地价!AD2:AH2=N23)*(地价!AD3:AH33))</f>
        <v>1.8499999999999999E-2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1862</v>
      </c>
      <c r="B24" s="1363" t="s">
        <v>970</v>
      </c>
      <c r="C24" s="1044">
        <f>SUMIF(A44:A87,E2,B44:B87)</f>
        <v>0</v>
      </c>
      <c r="D24" s="1474"/>
      <c r="E24" s="1475"/>
      <c r="F24" s="1475"/>
      <c r="G24" s="1475"/>
      <c r="H24" s="1475"/>
      <c r="I24" s="1475"/>
      <c r="J24" s="1475"/>
      <c r="K24" s="3241"/>
      <c r="L24" s="1421"/>
      <c r="M24" s="1421"/>
      <c r="N24" s="1418" t="s">
        <v>971</v>
      </c>
      <c r="O24" s="2836"/>
      <c r="P24" s="2495">
        <f>SUMPRODUCT((地价!A3:A33=YEAR(G19)&amp;"-"&amp;ROUNDUP(MONTH(G19)/3,0))*(地价!AD2:AH2=N24)*(地价!AD3:AH33))</f>
        <v>1.1900000000000001E-2</v>
      </c>
      <c r="Q24" s="2642"/>
      <c r="R24" s="2076"/>
      <c r="S24" s="2076"/>
      <c r="T24" s="2076"/>
      <c r="U24" s="2076"/>
      <c r="V24" s="2076"/>
      <c r="W24" s="2076"/>
      <c r="X24" s="2076"/>
      <c r="Y24" s="1412"/>
      <c r="Z24" s="1412"/>
      <c r="AA24" s="1412"/>
      <c r="AB24" s="1412"/>
      <c r="AC24" s="1412"/>
      <c r="AD24" s="1412"/>
    </row>
    <row r="25" spans="1:40" ht="15" thickBot="1">
      <c r="A25" s="1569" t="s">
        <v>1863</v>
      </c>
      <c r="B25" s="1425" t="s">
        <v>972</v>
      </c>
      <c r="C25" s="1426"/>
      <c r="D25" s="1378"/>
      <c r="E25" s="1378"/>
      <c r="F25" s="1427"/>
      <c r="G25" s="1378"/>
      <c r="H25" s="1378"/>
      <c r="I25" s="1378"/>
      <c r="J25" s="1379"/>
      <c r="K25" s="3235"/>
      <c r="L25" s="2076"/>
      <c r="M25" s="2076"/>
      <c r="N25" s="2838" t="s">
        <v>2627</v>
      </c>
      <c r="O25" s="2839"/>
      <c r="P25" s="2302">
        <f>SUMPRODUCT((地价!A3:A33=YEAR(G19)&amp;"-"&amp;ROUNDUP(MONTH(G19)/3,0))*(地价!AD2:AH2=N25)*(地价!AD3:AH33))</f>
        <v>1.6799999999999999E-2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976</v>
      </c>
      <c r="C26" s="3017" t="e">
        <f>IF(B21="容积率修正",E29+SUM(E33:E39),SUM(V2:V16)+SUM(E33:E39))</f>
        <v>#DIV/0!</v>
      </c>
      <c r="D26" s="1429"/>
      <c r="E26" s="1404"/>
      <c r="F26" s="1430"/>
      <c r="G26" s="1404"/>
      <c r="H26" s="1404"/>
      <c r="I26" s="1404"/>
      <c r="J26" s="1431"/>
      <c r="K26" s="3235"/>
      <c r="L26" s="1528" t="s">
        <v>888</v>
      </c>
      <c r="M26" s="1376" t="s">
        <v>973</v>
      </c>
      <c r="N26" s="1376" t="s">
        <v>974</v>
      </c>
      <c r="O26" s="1376" t="s">
        <v>892</v>
      </c>
      <c r="P26" s="1416" t="s">
        <v>975</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978</v>
      </c>
      <c r="C27" s="1046" t="e">
        <f>E30+SUM(I33:I39)</f>
        <v>#DIV/0!</v>
      </c>
      <c r="D27" s="1433"/>
      <c r="E27" s="1434"/>
      <c r="F27" s="1435"/>
      <c r="G27" s="1434"/>
      <c r="H27" s="1434"/>
      <c r="I27" s="1434"/>
      <c r="J27" s="1436"/>
      <c r="K27" s="3235"/>
      <c r="L27" s="1408" t="s">
        <v>977</v>
      </c>
      <c r="M27" s="1033">
        <v>0.25</v>
      </c>
      <c r="N27" s="1033">
        <v>0.2</v>
      </c>
      <c r="O27" s="1033">
        <v>0.15</v>
      </c>
      <c r="P27" s="1478">
        <v>0.1</v>
      </c>
      <c r="Q27" s="2076"/>
      <c r="R27" s="2642"/>
      <c r="S27" s="2642"/>
      <c r="T27" s="2642"/>
      <c r="U27" s="2642"/>
      <c r="V27" s="2642"/>
      <c r="W27" s="2076"/>
      <c r="X27" s="2076"/>
      <c r="Y27" s="2076"/>
      <c r="Z27" s="2076"/>
      <c r="AA27" s="2076"/>
      <c r="AB27" s="2076"/>
      <c r="AC27" s="2076"/>
    </row>
    <row r="28" spans="1:40" ht="15" thickBot="1">
      <c r="A28" s="1424"/>
      <c r="B28" s="1437" t="s">
        <v>979</v>
      </c>
      <c r="C28" s="1438" t="s">
        <v>980</v>
      </c>
      <c r="D28" s="1438" t="s">
        <v>981</v>
      </c>
      <c r="E28" s="1439" t="s">
        <v>982</v>
      </c>
      <c r="F28" s="1440"/>
      <c r="G28" s="1390"/>
      <c r="H28" s="1390"/>
      <c r="I28" s="1390"/>
      <c r="J28" s="1391"/>
      <c r="K28" s="3235"/>
      <c r="L28" s="1409" t="s">
        <v>963</v>
      </c>
      <c r="M28" s="1479">
        <f ca="1">ROUND($E$20*(1+M27),3)</f>
        <v>4.8000000000000001E-2</v>
      </c>
      <c r="N28" s="1479">
        <f ca="1">ROUND($E$20*(1+N27),3)</f>
        <v>4.5999999999999999E-2</v>
      </c>
      <c r="O28" s="1479">
        <f ca="1">ROUND($E$20*(1+O27),3)</f>
        <v>4.3999999999999997E-2</v>
      </c>
      <c r="P28" s="1480">
        <f ca="1">ROUND($E$20*(1+P27),3)</f>
        <v>4.2000000000000003E-2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983</v>
      </c>
      <c r="C29" s="1045" t="e">
        <f>ROUND(C5*C18*C19*C20*C21*C24,0)</f>
        <v>#DIV/0!</v>
      </c>
      <c r="D29" s="1443"/>
      <c r="E29" s="1763" t="e">
        <f>ROUND(C29*D29/10000,0)</f>
        <v>#DIV/0!</v>
      </c>
      <c r="F29" s="1444" t="s">
        <v>1691</v>
      </c>
      <c r="G29" s="1445"/>
      <c r="H29" s="1445"/>
      <c r="I29" s="1445"/>
      <c r="J29" s="1446"/>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984</v>
      </c>
      <c r="C30" s="1037" t="e">
        <f>ROUND(IF(E2="工业",C29*M39,C29*M38),0)</f>
        <v>#DIV/0!</v>
      </c>
      <c r="D30" s="1449"/>
      <c r="E30" s="1763" t="e">
        <f>ROUND(C30*D30/10000,0)</f>
        <v>#DIV/0!</v>
      </c>
      <c r="F30" s="1450" t="s">
        <v>985</v>
      </c>
      <c r="G30" s="1451"/>
      <c r="H30" s="1451"/>
      <c r="I30" s="1451"/>
      <c r="J30" s="1452"/>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986</v>
      </c>
      <c r="C31" s="1455" t="s">
        <v>987</v>
      </c>
      <c r="D31" s="1390"/>
      <c r="E31" s="1455"/>
      <c r="F31" s="1455"/>
      <c r="G31" s="1388" t="s">
        <v>985</v>
      </c>
      <c r="H31" s="1390"/>
      <c r="I31" s="1456"/>
      <c r="J31" s="1391"/>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980</v>
      </c>
      <c r="D32" s="1459" t="s">
        <v>981</v>
      </c>
      <c r="E32" s="1459" t="s">
        <v>982</v>
      </c>
      <c r="F32" s="1460" t="s">
        <v>988</v>
      </c>
      <c r="G32" s="1419" t="s">
        <v>980</v>
      </c>
      <c r="H32" s="1419" t="s">
        <v>981</v>
      </c>
      <c r="I32" s="1419" t="s">
        <v>982</v>
      </c>
      <c r="J32" s="1461"/>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88"/>
      <c r="B33" s="1463" t="s">
        <v>989</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88" t="s">
        <v>2988</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89"/>
      <c r="B34" s="1393" t="s">
        <v>990</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89"/>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89"/>
      <c r="B35" s="1393" t="s">
        <v>991</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89"/>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90"/>
      <c r="B36" s="1393" t="s">
        <v>992</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90"/>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993</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1693</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994</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1695</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995</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1694</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2943</v>
      </c>
      <c r="C41" s="828" t="e">
        <f>ROUND(POWER(1+E41,H41-G41)*(POWER(1+E41,G41)-1)/(POWER(1+E41,H41)-1),4)</f>
        <v>#DIV/0!</v>
      </c>
      <c r="D41" s="372" t="s">
        <v>2941</v>
      </c>
      <c r="E41" s="2832">
        <f>G20</f>
        <v>0</v>
      </c>
      <c r="F41" s="372" t="s">
        <v>2942</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996</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997</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998</v>
      </c>
      <c r="B46" s="2263" t="s">
        <v>999</v>
      </c>
      <c r="C46" s="2285" t="s">
        <v>1000</v>
      </c>
      <c r="D46" s="2286" t="s">
        <v>1001</v>
      </c>
      <c r="E46" s="2287" t="s">
        <v>1003</v>
      </c>
      <c r="F46" s="2288" t="s">
        <v>2238</v>
      </c>
      <c r="G46" s="2286" t="s">
        <v>1004</v>
      </c>
      <c r="H46" s="2269" t="s">
        <v>2402</v>
      </c>
      <c r="I46" s="2286" t="s">
        <v>1002</v>
      </c>
      <c r="J46" s="2289" t="s">
        <v>1005</v>
      </c>
      <c r="K46" s="2289" t="s">
        <v>1006</v>
      </c>
      <c r="L46" s="2289" t="s">
        <v>1007</v>
      </c>
      <c r="M46" s="2289" t="s">
        <v>1008</v>
      </c>
      <c r="N46" s="2289" t="s">
        <v>1009</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49" t="s">
        <v>1010</v>
      </c>
      <c r="B47" s="2266" t="str">
        <f>估价对象房地状况!C16</f>
        <v>估价对象位于XX商圈，周边商业氛围成熟，人流量大，商业繁华度好</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49" t="s">
        <v>1011</v>
      </c>
      <c r="B48" s="2263" t="str">
        <f>估价对象房地状况!C18</f>
        <v>估价对象周边道路状况、公共交通通达情况、停车便捷程度，综合评价交通便捷度较好</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1012</v>
      </c>
      <c r="B49" s="2263">
        <f>估价对象房地状况!C19</f>
        <v>0</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1013</v>
      </c>
      <c r="B50" s="2785" t="s">
        <v>2899</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1014</v>
      </c>
      <c r="B51" s="2263">
        <f>估价对象房地状况!C24</f>
        <v>0</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1015</v>
      </c>
      <c r="B52" s="2784" t="s">
        <v>2898</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1016</v>
      </c>
      <c r="B53" s="2264" t="str">
        <f>估价对象房地状况!C21</f>
        <v>估价对象所在区域公共配套设施齐备情况</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1017</v>
      </c>
      <c r="B54" s="2263" t="str">
        <f>估价对象房地状况!C22</f>
        <v>估价对象所在区域基础设施水平</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1018</v>
      </c>
      <c r="B55" s="2267" t="str">
        <f>估价对象房地状况!C20</f>
        <v>区域自然环境：；人文环境；综合评价环境状况一般</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1019</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998</v>
      </c>
      <c r="B57" s="2263"/>
      <c r="C57" s="2285" t="s">
        <v>1000</v>
      </c>
      <c r="D57" s="2286" t="s">
        <v>1001</v>
      </c>
      <c r="E57" s="2287" t="s">
        <v>1003</v>
      </c>
      <c r="F57" s="2288" t="s">
        <v>2239</v>
      </c>
      <c r="G57" s="2286" t="s">
        <v>1004</v>
      </c>
      <c r="H57" s="2269" t="s">
        <v>2402</v>
      </c>
      <c r="I57" s="2286" t="s">
        <v>1002</v>
      </c>
      <c r="J57" s="2289" t="s">
        <v>1005</v>
      </c>
      <c r="K57" s="2289" t="s">
        <v>1006</v>
      </c>
      <c r="L57" s="2289" t="s">
        <v>1007</v>
      </c>
      <c r="M57" s="2289" t="s">
        <v>1008</v>
      </c>
      <c r="N57" s="2289" t="s">
        <v>1009</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49" t="s">
        <v>1020</v>
      </c>
      <c r="B58" s="2266" t="str">
        <f>估价对象房地状况!C17</f>
        <v>估价对象位于XX商圈，周边办公楼项目较多，入驻率高，办公集聚程度较好</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49" t="s">
        <v>1011</v>
      </c>
      <c r="B59" s="2263" t="str">
        <f>估价对象房地状况!C18</f>
        <v>估价对象周边道路状况、公共交通通达情况、停车便捷程度，综合评价交通便捷度较好</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1012</v>
      </c>
      <c r="B60" s="2263">
        <f>估价对象房地状况!C19</f>
        <v>0</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1013</v>
      </c>
      <c r="B61" s="2785" t="s">
        <v>2900</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1014</v>
      </c>
      <c r="B62" s="2263">
        <f>估价对象房地状况!C24</f>
        <v>0</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1015</v>
      </c>
      <c r="B63" s="2784" t="s">
        <v>2898</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1016</v>
      </c>
      <c r="B64" s="2264" t="str">
        <f>估价对象房地状况!C21</f>
        <v>估价对象所在区域公共配套设施齐备情况</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1017</v>
      </c>
      <c r="B65" s="2264" t="str">
        <f>估价对象房地状况!C22</f>
        <v>估价对象所在区域基础设施水平</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1018</v>
      </c>
      <c r="B66" s="2268" t="str">
        <f>估价对象房地状况!C20</f>
        <v>区域自然环境：；人文环境；综合评价环境状况一般</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1021</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998</v>
      </c>
      <c r="B68" s="2263"/>
      <c r="C68" s="2285" t="s">
        <v>1000</v>
      </c>
      <c r="D68" s="2286" t="s">
        <v>1001</v>
      </c>
      <c r="E68" s="2287" t="s">
        <v>1003</v>
      </c>
      <c r="F68" s="2288" t="s">
        <v>2240</v>
      </c>
      <c r="G68" s="2286" t="s">
        <v>1004</v>
      </c>
      <c r="H68" s="2269" t="s">
        <v>2402</v>
      </c>
      <c r="I68" s="2286" t="s">
        <v>1002</v>
      </c>
      <c r="J68" s="2289" t="s">
        <v>1005</v>
      </c>
      <c r="K68" s="2289" t="s">
        <v>1006</v>
      </c>
      <c r="L68" s="2289" t="s">
        <v>1007</v>
      </c>
      <c r="M68" s="2289" t="s">
        <v>1008</v>
      </c>
      <c r="N68" s="2289" t="s">
        <v>1009</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49" t="s">
        <v>1022</v>
      </c>
      <c r="B69" s="2266" t="str">
        <f>估价对象房地状况!C15</f>
        <v>估价对象周边居住用地比例、居住小区规模和社区发展完善程度，综合评价居住社区成熟度一般</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49" t="s">
        <v>1023</v>
      </c>
      <c r="B70" s="2263" t="str">
        <f>估价对象房地状况!C18</f>
        <v>估价对象周边道路状况、公共交通通达情况、停车便捷程度，综合评价交通便捷度较好</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1012</v>
      </c>
      <c r="B71" s="2263">
        <f>估价对象房地状况!C19</f>
        <v>0</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1024</v>
      </c>
      <c r="B72" s="2263">
        <f>估价对象房地状况!C24</f>
        <v>0</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1016</v>
      </c>
      <c r="B73" s="2264" t="str">
        <f>估价对象房地状况!C21</f>
        <v>估价对象所在区域公共配套设施齐备情况</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1017</v>
      </c>
      <c r="B74" s="2264" t="str">
        <f>估价对象房地状况!C22</f>
        <v>估价对象所在区域基础设施水平</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1015</v>
      </c>
      <c r="B75" s="2784" t="s">
        <v>2898</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1018</v>
      </c>
      <c r="B76" s="2266" t="str">
        <f>估价对象房地状况!C20</f>
        <v>区域自然环境：；人文环境；综合评价环境状况一般</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1025</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1026</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998</v>
      </c>
      <c r="B79" s="2263"/>
      <c r="C79" s="2285" t="s">
        <v>1000</v>
      </c>
      <c r="D79" s="2286" t="s">
        <v>1001</v>
      </c>
      <c r="E79" s="2287" t="s">
        <v>1003</v>
      </c>
      <c r="F79" s="2288" t="s">
        <v>2241</v>
      </c>
      <c r="G79" s="2286" t="s">
        <v>1004</v>
      </c>
      <c r="H79" s="2269" t="s">
        <v>2402</v>
      </c>
      <c r="I79" s="2286" t="s">
        <v>1002</v>
      </c>
      <c r="J79" s="2289" t="s">
        <v>1005</v>
      </c>
      <c r="K79" s="2289" t="s">
        <v>1006</v>
      </c>
      <c r="L79" s="2289" t="s">
        <v>1007</v>
      </c>
      <c r="M79" s="2289" t="s">
        <v>1008</v>
      </c>
      <c r="N79" s="2289" t="s">
        <v>1009</v>
      </c>
      <c r="AC79" s="1353"/>
      <c r="AD79" s="1352"/>
      <c r="AJ79" s="1351"/>
      <c r="AN79" s="1352"/>
    </row>
    <row r="80" spans="1:40" ht="36">
      <c r="A80" s="1049" t="s">
        <v>1027</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1023</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1012</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1024</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1016</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1017</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1015</v>
      </c>
      <c r="B86" s="2784" t="s">
        <v>2898</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1028</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86" t="s">
        <v>1623</v>
      </c>
      <c r="B90" s="3586"/>
      <c r="C90" s="3586"/>
      <c r="D90" s="3586"/>
      <c r="E90" s="3586"/>
      <c r="F90" s="3586"/>
      <c r="G90" s="3586"/>
      <c r="H90" s="3586"/>
      <c r="I90" s="3586"/>
      <c r="J90" s="3586"/>
      <c r="K90" s="2305"/>
      <c r="L90" s="2305"/>
      <c r="M90" s="2305"/>
      <c r="N90" s="2305"/>
    </row>
    <row r="91" spans="1:40">
      <c r="A91" s="3587" t="s">
        <v>1433</v>
      </c>
      <c r="B91" s="3587" t="s">
        <v>1624</v>
      </c>
      <c r="C91" s="1122" t="s">
        <v>1625</v>
      </c>
      <c r="D91" s="1123"/>
      <c r="E91" s="1123"/>
      <c r="F91" s="1123"/>
      <c r="G91" s="1123"/>
      <c r="H91" s="1123"/>
      <c r="I91" s="1123"/>
      <c r="J91" s="1124"/>
      <c r="K91" s="1116"/>
      <c r="L91" s="1116"/>
      <c r="M91" s="1116"/>
      <c r="N91" s="1116"/>
    </row>
    <row r="92" spans="1:40">
      <c r="A92" s="3587"/>
      <c r="B92" s="3587"/>
      <c r="C92" s="2304" t="s">
        <v>897</v>
      </c>
      <c r="D92" s="2304" t="s">
        <v>875</v>
      </c>
      <c r="E92" s="2304" t="s">
        <v>876</v>
      </c>
      <c r="F92" s="2304" t="s">
        <v>900</v>
      </c>
      <c r="G92" s="2304" t="s">
        <v>878</v>
      </c>
      <c r="H92" s="2304" t="s">
        <v>879</v>
      </c>
      <c r="I92" s="2304" t="s">
        <v>880</v>
      </c>
      <c r="J92" s="2304" t="s">
        <v>881</v>
      </c>
      <c r="K92" s="2304" t="s">
        <v>905</v>
      </c>
      <c r="L92" s="2304" t="s">
        <v>883</v>
      </c>
      <c r="M92" s="2304" t="s">
        <v>884</v>
      </c>
      <c r="N92" s="2304" t="s">
        <v>908</v>
      </c>
    </row>
    <row r="93" spans="1:40">
      <c r="A93" s="3594" t="s">
        <v>2742</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95"/>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95"/>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95"/>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95"/>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95"/>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95"/>
      <c r="B99" s="1125" t="s">
        <v>1626</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96"/>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94" t="s">
        <v>1627</v>
      </c>
      <c r="B101" s="1129" t="s">
        <v>896</v>
      </c>
      <c r="C101" s="1130">
        <f>$G$3</f>
        <v>4</v>
      </c>
      <c r="D101" s="1130">
        <f t="shared" ref="D101:N101" si="31">$G$3</f>
        <v>4</v>
      </c>
      <c r="E101" s="1130">
        <f t="shared" si="31"/>
        <v>4</v>
      </c>
      <c r="F101" s="1130">
        <f t="shared" si="31"/>
        <v>4</v>
      </c>
      <c r="G101" s="1130">
        <f t="shared" si="31"/>
        <v>4</v>
      </c>
      <c r="H101" s="1130">
        <f t="shared" si="31"/>
        <v>4</v>
      </c>
      <c r="I101" s="1130">
        <f t="shared" si="31"/>
        <v>4</v>
      </c>
      <c r="J101" s="1130">
        <f t="shared" si="31"/>
        <v>4</v>
      </c>
      <c r="K101" s="1130">
        <f t="shared" si="31"/>
        <v>4</v>
      </c>
      <c r="L101" s="1130">
        <f t="shared" si="31"/>
        <v>4</v>
      </c>
      <c r="M101" s="1130">
        <f t="shared" si="31"/>
        <v>4</v>
      </c>
      <c r="N101" s="1130">
        <f t="shared" si="31"/>
        <v>4</v>
      </c>
    </row>
    <row r="102" spans="1:14">
      <c r="A102" s="3595"/>
      <c r="B102" s="1125">
        <v>1</v>
      </c>
      <c r="C102" s="1126">
        <f>1.9362/C101</f>
        <v>0.48404999999999998</v>
      </c>
      <c r="D102" s="1126">
        <f>1.9362/D101</f>
        <v>0.48404999999999998</v>
      </c>
      <c r="E102" s="1126">
        <f>1.8629/E101</f>
        <v>0.465725</v>
      </c>
      <c r="F102" s="1126">
        <f>1.8629/F101</f>
        <v>0.465725</v>
      </c>
      <c r="G102" s="1126">
        <f>1.8629/G101</f>
        <v>0.465725</v>
      </c>
      <c r="H102" s="1126">
        <f>1.8629/H101</f>
        <v>0.465725</v>
      </c>
      <c r="I102" s="1126">
        <f>1.8629/I101</f>
        <v>0.465725</v>
      </c>
      <c r="J102" s="1126">
        <f>1.942/J101</f>
        <v>0.48549999999999999</v>
      </c>
      <c r="K102" s="1126">
        <f>1.942/K101</f>
        <v>0.48549999999999999</v>
      </c>
      <c r="L102" s="1126">
        <f>1.942/L101</f>
        <v>0.48549999999999999</v>
      </c>
      <c r="M102" s="1126">
        <f>1.942/M101</f>
        <v>0.48549999999999999</v>
      </c>
      <c r="N102" s="1126">
        <f>1.942/N101</f>
        <v>0.48549999999999999</v>
      </c>
    </row>
    <row r="103" spans="1:14">
      <c r="A103" s="3595"/>
      <c r="B103" s="1125">
        <v>2</v>
      </c>
      <c r="C103" s="1126">
        <f>1.4198/C101</f>
        <v>0.35494999999999999</v>
      </c>
      <c r="D103" s="1126">
        <f>1.4198/D101</f>
        <v>0.35494999999999999</v>
      </c>
      <c r="E103" s="1126">
        <f>1.3372/E101</f>
        <v>0.33429999999999999</v>
      </c>
      <c r="F103" s="1126">
        <f>1.3372/F101</f>
        <v>0.33429999999999999</v>
      </c>
      <c r="G103" s="1126">
        <f>1.3372/G101</f>
        <v>0.33429999999999999</v>
      </c>
      <c r="H103" s="1126">
        <f>1.3372/H101</f>
        <v>0.33429999999999999</v>
      </c>
      <c r="I103" s="1126">
        <f>1.3372/I101</f>
        <v>0.33429999999999999</v>
      </c>
      <c r="J103" s="1126">
        <f>1.2799/J101</f>
        <v>0.31997500000000001</v>
      </c>
      <c r="K103" s="1126">
        <f>1.2799/K101</f>
        <v>0.31997500000000001</v>
      </c>
      <c r="L103" s="1126">
        <f>1.2799/L101</f>
        <v>0.31997500000000001</v>
      </c>
      <c r="M103" s="1126">
        <f>1.2799/M101</f>
        <v>0.31997500000000001</v>
      </c>
      <c r="N103" s="1126">
        <f>1.2799/N101</f>
        <v>0.31997500000000001</v>
      </c>
    </row>
    <row r="104" spans="1:14">
      <c r="A104" s="3595"/>
      <c r="B104" s="1125">
        <v>3</v>
      </c>
      <c r="C104" s="1126">
        <f>1.1594/C101</f>
        <v>0.28985</v>
      </c>
      <c r="D104" s="1126">
        <f>1.1594/D101</f>
        <v>0.28985</v>
      </c>
      <c r="E104" s="1126">
        <f>1.0788/E101</f>
        <v>0.2697</v>
      </c>
      <c r="F104" s="1126">
        <f>1.0788/F101</f>
        <v>0.2697</v>
      </c>
      <c r="G104" s="1126">
        <f>1.0788/G101</f>
        <v>0.2697</v>
      </c>
      <c r="H104" s="1126">
        <f>1.0788/H101</f>
        <v>0.2697</v>
      </c>
      <c r="I104" s="1126">
        <f>1.0788/I101</f>
        <v>0.2697</v>
      </c>
      <c r="J104" s="1126">
        <f>1.0072/J101</f>
        <v>0.25180000000000002</v>
      </c>
      <c r="K104" s="1126">
        <f>1.0072/K101</f>
        <v>0.25180000000000002</v>
      </c>
      <c r="L104" s="1126">
        <f>1.0072/L101</f>
        <v>0.25180000000000002</v>
      </c>
      <c r="M104" s="1126">
        <f>1.0072/M101</f>
        <v>0.25180000000000002</v>
      </c>
      <c r="N104" s="1126">
        <f>1.0072/N101</f>
        <v>0.25180000000000002</v>
      </c>
    </row>
    <row r="105" spans="1:14">
      <c r="A105" s="3595"/>
      <c r="B105" s="1125">
        <v>4</v>
      </c>
      <c r="C105" s="1126">
        <f>0.9622/C101</f>
        <v>0.24055000000000001</v>
      </c>
      <c r="D105" s="1126">
        <f>0.9622/D101</f>
        <v>0.24055000000000001</v>
      </c>
      <c r="E105" s="1126">
        <f>0.8656/E101</f>
        <v>0.21640000000000001</v>
      </c>
      <c r="F105" s="1126">
        <f>0.8656/F101</f>
        <v>0.21640000000000001</v>
      </c>
      <c r="G105" s="1126">
        <f>0.8656/G101</f>
        <v>0.21640000000000001</v>
      </c>
      <c r="H105" s="1126">
        <f>0.8656/H101</f>
        <v>0.21640000000000001</v>
      </c>
      <c r="I105" s="1126">
        <f>0.8656/I101</f>
        <v>0.21640000000000001</v>
      </c>
      <c r="J105" s="1126">
        <f>0.7525/J101</f>
        <v>0.18812499999999999</v>
      </c>
      <c r="K105" s="1126">
        <f>0.7525/K101</f>
        <v>0.18812499999999999</v>
      </c>
      <c r="L105" s="1126">
        <f>0.7525/L101</f>
        <v>0.18812499999999999</v>
      </c>
      <c r="M105" s="1126">
        <f>0.7525/M101</f>
        <v>0.18812499999999999</v>
      </c>
      <c r="N105" s="1126">
        <f>0.7525/N101</f>
        <v>0.18812499999999999</v>
      </c>
    </row>
    <row r="106" spans="1:14">
      <c r="A106" s="3595"/>
      <c r="B106" s="1125">
        <v>5</v>
      </c>
      <c r="C106" s="1126">
        <f>0.8417/C101</f>
        <v>0.210425</v>
      </c>
      <c r="D106" s="1126">
        <f>0.8417/D101</f>
        <v>0.210425</v>
      </c>
      <c r="E106" s="1126">
        <f>0.7371/E101</f>
        <v>0.18427499999999999</v>
      </c>
      <c r="F106" s="1126">
        <f>0.7371/F101</f>
        <v>0.18427499999999999</v>
      </c>
      <c r="G106" s="1126">
        <f>0.7371/G101</f>
        <v>0.18427499999999999</v>
      </c>
      <c r="H106" s="1126">
        <f>0.7371/H101</f>
        <v>0.18427499999999999</v>
      </c>
      <c r="I106" s="1126">
        <f>0.7371/I101</f>
        <v>0.18427499999999999</v>
      </c>
      <c r="J106" s="1126">
        <f>0.5659/J101</f>
        <v>0.14147499999999999</v>
      </c>
      <c r="K106" s="1126">
        <f>0.5659/K101</f>
        <v>0.14147499999999999</v>
      </c>
      <c r="L106" s="1126">
        <f>0.5659/L101</f>
        <v>0.14147499999999999</v>
      </c>
      <c r="M106" s="1126">
        <f>0.5659/M101</f>
        <v>0.14147499999999999</v>
      </c>
      <c r="N106" s="1126">
        <f>0.5659/N101</f>
        <v>0.14147499999999999</v>
      </c>
    </row>
    <row r="107" spans="1:14">
      <c r="A107" s="3595"/>
      <c r="B107" s="1125">
        <v>6</v>
      </c>
      <c r="C107" s="1126">
        <f>0.7608/C101</f>
        <v>0.19020000000000001</v>
      </c>
      <c r="D107" s="1126">
        <f>0.7608/D101</f>
        <v>0.19020000000000001</v>
      </c>
      <c r="E107" s="1126">
        <f>0.6482/E101</f>
        <v>0.16205</v>
      </c>
      <c r="F107" s="1126">
        <f>0.6482/F101</f>
        <v>0.16205</v>
      </c>
      <c r="G107" s="1126">
        <f>0.6482/G101</f>
        <v>0.16205</v>
      </c>
      <c r="H107" s="1126">
        <f>0.6482/H101</f>
        <v>0.16205</v>
      </c>
      <c r="I107" s="1126">
        <f>0.6482/I101</f>
        <v>0.16205</v>
      </c>
      <c r="J107" s="1126">
        <f>0.4525/J101</f>
        <v>0.113125</v>
      </c>
      <c r="K107" s="1126">
        <f>0.4525/K101</f>
        <v>0.113125</v>
      </c>
      <c r="L107" s="1126">
        <f>0.4525/L101</f>
        <v>0.113125</v>
      </c>
      <c r="M107" s="1126">
        <f>0.4525/M101</f>
        <v>0.113125</v>
      </c>
      <c r="N107" s="1126">
        <f>0.4525/N101</f>
        <v>0.113125</v>
      </c>
    </row>
    <row r="108" spans="1:14">
      <c r="A108" s="3595"/>
      <c r="B108" s="3597" t="s">
        <v>1628</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96"/>
      <c r="B109" s="3598"/>
      <c r="C109" s="1128">
        <f>(-0.163*(C108^2)-0.59*C108+7617)*(10^(-4))/C101</f>
        <v>0.1900462</v>
      </c>
      <c r="D109" s="1128">
        <f>(-0.163*(D108^2)-0.59*D108+7617)*(10^(-4))/D101</f>
        <v>0.1900462</v>
      </c>
      <c r="E109" s="1128">
        <f>(-0.161*(E108^2)-7.509*E108+6533)*(10^(-4))/E101</f>
        <v>0.1615656</v>
      </c>
      <c r="F109" s="1128">
        <f>(-0.161*(F108^2)-7.509*F108+6533)*(10^(-4))/F101</f>
        <v>0.1615656</v>
      </c>
      <c r="G109" s="1128">
        <f>(-0.161*(G108^2)-7.509*G108+6533)*(10^(-4))/G101</f>
        <v>0.1615656</v>
      </c>
      <c r="H109" s="1128">
        <f>(-0.161*(H108^2)-7.509*H108+6533)*(10^(-4))/H101</f>
        <v>0.1615656</v>
      </c>
      <c r="I109" s="1128">
        <f>(-0.161*(I108^2)-7.509*I108+6533)*(10^(-4))/I101</f>
        <v>0.1615656</v>
      </c>
      <c r="J109" s="1128">
        <f>(-0.214*(J108^2)-21.991*J108+4665)*(10^(-4))/J101</f>
        <v>0.11188440000000001</v>
      </c>
      <c r="K109" s="1128">
        <f>(-0.214*(K108^2)-21.991*K108+4665)*(10^(-4))/K101</f>
        <v>0.11188440000000001</v>
      </c>
      <c r="L109" s="1128">
        <f>(-0.214*(L108^2)-21.991*L108+4665)*(10^(-4))/L101</f>
        <v>0.11188440000000001</v>
      </c>
      <c r="M109" s="1128">
        <f>(-0.214*(M108^2)-21.991*M108+4665)*(10^(-4))/M101</f>
        <v>0.11188440000000001</v>
      </c>
      <c r="N109" s="1128">
        <f>(-0.214*(N108^2)-21.991*N108+4665)*(10^(-4))/N101</f>
        <v>0.11188440000000001</v>
      </c>
    </row>
    <row r="110" spans="1:14">
      <c r="A110" s="3580" t="s">
        <v>1629</v>
      </c>
      <c r="B110" s="3580"/>
      <c r="C110" s="3580"/>
      <c r="D110" s="3580"/>
      <c r="E110" s="3580"/>
      <c r="F110" s="3580"/>
      <c r="G110" s="3580"/>
      <c r="H110" s="3580"/>
      <c r="I110" s="3580"/>
      <c r="J110" s="3580"/>
      <c r="K110" s="2303"/>
      <c r="L110" s="2303"/>
      <c r="M110" s="2303"/>
      <c r="N110" s="2303"/>
    </row>
    <row r="112" spans="1:14" ht="12.75" thickBot="1"/>
    <row r="113" spans="1:13" ht="25.5" thickBot="1">
      <c r="A113" s="1002" t="s">
        <v>886</v>
      </c>
      <c r="B113" s="2306">
        <f>G3</f>
        <v>4</v>
      </c>
      <c r="C113" s="1003" t="s">
        <v>887</v>
      </c>
      <c r="D113" s="1004">
        <f>SUMPRODUCT((A115:A118=F113)*(B114:M114=H113)*B115:M118)</f>
        <v>0</v>
      </c>
      <c r="E113" s="1005" t="s">
        <v>888</v>
      </c>
      <c r="F113" s="1006">
        <f>E2</f>
        <v>0</v>
      </c>
      <c r="G113" s="1005" t="s">
        <v>889</v>
      </c>
      <c r="H113" s="1006">
        <f>G2</f>
        <v>0</v>
      </c>
      <c r="I113" s="1005"/>
      <c r="J113" s="997"/>
      <c r="K113" s="997"/>
      <c r="L113" s="997"/>
      <c r="M113" s="997"/>
    </row>
    <row r="114" spans="1:13" ht="12.75">
      <c r="A114" s="1009"/>
      <c r="B114" s="1010" t="s">
        <v>874</v>
      </c>
      <c r="C114" s="1010" t="s">
        <v>875</v>
      </c>
      <c r="D114" s="1010" t="s">
        <v>876</v>
      </c>
      <c r="E114" s="1011" t="s">
        <v>877</v>
      </c>
      <c r="F114" s="1011" t="s">
        <v>878</v>
      </c>
      <c r="G114" s="1011" t="s">
        <v>879</v>
      </c>
      <c r="H114" s="1012" t="s">
        <v>880</v>
      </c>
      <c r="I114" s="1012" t="s">
        <v>881</v>
      </c>
      <c r="J114" s="1013" t="s">
        <v>882</v>
      </c>
      <c r="K114" s="1013" t="s">
        <v>883</v>
      </c>
      <c r="L114" s="1013" t="s">
        <v>884</v>
      </c>
      <c r="M114" s="1014" t="s">
        <v>885</v>
      </c>
    </row>
    <row r="115" spans="1:13" ht="12.75">
      <c r="A115" s="1015" t="s">
        <v>890</v>
      </c>
      <c r="B115" s="1016">
        <f>ROUND(0.9335-0.0094*B113,4)</f>
        <v>0.89590000000000003</v>
      </c>
      <c r="C115" s="1016">
        <f>B115</f>
        <v>0.89590000000000003</v>
      </c>
      <c r="D115" s="1016">
        <f>ROUND(0.8331-0.0109*B113,4)</f>
        <v>0.78949999999999998</v>
      </c>
      <c r="E115" s="1016">
        <f>D115</f>
        <v>0.78949999999999998</v>
      </c>
      <c r="F115" s="1016">
        <f>E115</f>
        <v>0.78949999999999998</v>
      </c>
      <c r="G115" s="1016">
        <f>F115</f>
        <v>0.78949999999999998</v>
      </c>
      <c r="H115" s="1016">
        <f>G115</f>
        <v>0.78949999999999998</v>
      </c>
      <c r="I115" s="1016">
        <f>ROUND(0.689-0.0155*B113,4)</f>
        <v>0.627</v>
      </c>
      <c r="J115" s="1016">
        <f t="shared" ref="J115:M118" si="33">I115</f>
        <v>0.627</v>
      </c>
      <c r="K115" s="1016">
        <f t="shared" si="33"/>
        <v>0.627</v>
      </c>
      <c r="L115" s="1016">
        <f t="shared" si="33"/>
        <v>0.627</v>
      </c>
      <c r="M115" s="1017">
        <f t="shared" si="33"/>
        <v>0.627</v>
      </c>
    </row>
    <row r="116" spans="1:13" ht="12.75">
      <c r="A116" s="1015" t="s">
        <v>891</v>
      </c>
      <c r="B116" s="1016">
        <f>ROUND(0.949-0.012*B113,4)</f>
        <v>0.90100000000000002</v>
      </c>
      <c r="C116" s="1016">
        <f>B116</f>
        <v>0.90100000000000002</v>
      </c>
      <c r="D116" s="1016">
        <f>ROUND(0.8567-0.013*B113,4)</f>
        <v>0.80469999999999997</v>
      </c>
      <c r="E116" s="1016">
        <f t="shared" ref="E116:H117" si="34">D116</f>
        <v>0.80469999999999997</v>
      </c>
      <c r="F116" s="1016">
        <f t="shared" si="34"/>
        <v>0.80469999999999997</v>
      </c>
      <c r="G116" s="1016">
        <f t="shared" si="34"/>
        <v>0.80469999999999997</v>
      </c>
      <c r="H116" s="1016">
        <f t="shared" si="34"/>
        <v>0.80469999999999997</v>
      </c>
      <c r="I116" s="1016">
        <f>ROUND(0.7694-0.014*B113,4)</f>
        <v>0.71340000000000003</v>
      </c>
      <c r="J116" s="1016">
        <f t="shared" si="33"/>
        <v>0.71340000000000003</v>
      </c>
      <c r="K116" s="1016">
        <f t="shared" si="33"/>
        <v>0.71340000000000003</v>
      </c>
      <c r="L116" s="1016">
        <f t="shared" si="33"/>
        <v>0.71340000000000003</v>
      </c>
      <c r="M116" s="1017">
        <f t="shared" si="33"/>
        <v>0.71340000000000003</v>
      </c>
    </row>
    <row r="117" spans="1:13" ht="12.75">
      <c r="A117" s="1018" t="s">
        <v>892</v>
      </c>
      <c r="B117" s="1016">
        <f>ROUND(0.8808-0.006*B113,4)</f>
        <v>0.85680000000000001</v>
      </c>
      <c r="C117" s="1016">
        <f>B117</f>
        <v>0.85680000000000001</v>
      </c>
      <c r="D117" s="1016">
        <f>ROUND(0.8748-0.008*B113,4)</f>
        <v>0.84279999999999999</v>
      </c>
      <c r="E117" s="1016">
        <f t="shared" si="34"/>
        <v>0.84279999999999999</v>
      </c>
      <c r="F117" s="1016">
        <f t="shared" si="34"/>
        <v>0.84279999999999999</v>
      </c>
      <c r="G117" s="1016">
        <f t="shared" si="34"/>
        <v>0.84279999999999999</v>
      </c>
      <c r="H117" s="1016">
        <f t="shared" si="34"/>
        <v>0.84279999999999999</v>
      </c>
      <c r="I117" s="1016">
        <f>ROUND(0.7412-0.0095*B113,4)</f>
        <v>0.70320000000000005</v>
      </c>
      <c r="J117" s="1016">
        <f t="shared" si="33"/>
        <v>0.70320000000000005</v>
      </c>
      <c r="K117" s="1016">
        <f t="shared" si="33"/>
        <v>0.70320000000000005</v>
      </c>
      <c r="L117" s="1016">
        <f t="shared" si="33"/>
        <v>0.70320000000000005</v>
      </c>
      <c r="M117" s="1017">
        <f t="shared" si="33"/>
        <v>0.70320000000000005</v>
      </c>
    </row>
    <row r="118" spans="1:13" ht="13.5" thickBot="1">
      <c r="A118" s="1019" t="s">
        <v>893</v>
      </c>
      <c r="B118" s="1020">
        <f>ROUND(0.7275-0.01*B113,4)</f>
        <v>0.6875</v>
      </c>
      <c r="C118" s="1020">
        <f>B118</f>
        <v>0.6875</v>
      </c>
      <c r="D118" s="1020">
        <f>ROUND(0.7043-0.012*B113,4)</f>
        <v>0.65629999999999999</v>
      </c>
      <c r="E118" s="1020">
        <f>D118</f>
        <v>0.65629999999999999</v>
      </c>
      <c r="F118" s="1020">
        <f>E118</f>
        <v>0.65629999999999999</v>
      </c>
      <c r="G118" s="1020">
        <f>ROUND(0.6299-0.0122*B113,4)</f>
        <v>0.58109999999999995</v>
      </c>
      <c r="H118" s="1020">
        <f>G118</f>
        <v>0.58109999999999995</v>
      </c>
      <c r="I118" s="1020">
        <f>ROUND(0.5667-0.0136*B113,4)</f>
        <v>0.51229999999999998</v>
      </c>
      <c r="J118" s="1020">
        <f t="shared" si="33"/>
        <v>0.51229999999999998</v>
      </c>
      <c r="K118" s="1020">
        <f t="shared" si="33"/>
        <v>0.51229999999999998</v>
      </c>
      <c r="L118" s="1020">
        <f t="shared" si="33"/>
        <v>0.51229999999999998</v>
      </c>
      <c r="M118" s="1021">
        <f t="shared" si="33"/>
        <v>0.51229999999999998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1421</v>
      </c>
      <c r="B1" s="1054" t="s">
        <v>897</v>
      </c>
      <c r="C1" s="1054" t="s">
        <v>898</v>
      </c>
      <c r="D1" s="1054" t="s">
        <v>899</v>
      </c>
      <c r="E1" s="1054" t="s">
        <v>900</v>
      </c>
      <c r="F1" s="1054" t="s">
        <v>901</v>
      </c>
      <c r="G1" s="1054" t="s">
        <v>902</v>
      </c>
      <c r="H1" s="1054" t="s">
        <v>903</v>
      </c>
      <c r="I1" s="1054" t="s">
        <v>904</v>
      </c>
      <c r="J1" s="1054" t="s">
        <v>905</v>
      </c>
      <c r="K1" s="1054" t="s">
        <v>906</v>
      </c>
      <c r="L1" s="1054" t="s">
        <v>907</v>
      </c>
      <c r="M1" s="1055" t="s">
        <v>908</v>
      </c>
    </row>
    <row r="2" spans="1:13" ht="19.5" customHeight="1">
      <c r="A2" s="1089" t="s">
        <v>997</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1019</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1021</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1422</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1423</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1424</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1425</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1426</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1427</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1428</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1429</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1430</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1431</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5" t="s">
        <v>2946</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8" t="s">
        <v>1432</v>
      </c>
      <c r="B16" s="1108"/>
      <c r="C16" s="1109"/>
      <c r="D16" s="1109"/>
      <c r="E16" s="1108"/>
      <c r="F16" s="1109"/>
      <c r="G16" s="1109"/>
    </row>
    <row r="17" spans="1:9" ht="19.5" customHeight="1">
      <c r="A17" s="1050" t="s">
        <v>1433</v>
      </c>
      <c r="B17" s="1110" t="s">
        <v>1434</v>
      </c>
      <c r="C17" s="1110" t="s">
        <v>1633</v>
      </c>
      <c r="D17" s="1111"/>
      <c r="E17" s="1050" t="s">
        <v>1435</v>
      </c>
      <c r="F17" s="1112"/>
      <c r="G17" s="1112"/>
    </row>
    <row r="18" spans="1:9" s="1529" customFormat="1" ht="19.5" customHeight="1">
      <c r="A18" s="3587" t="s">
        <v>997</v>
      </c>
      <c r="B18" s="1136" t="s">
        <v>1436</v>
      </c>
      <c r="C18" s="1113" t="s">
        <v>1437</v>
      </c>
      <c r="D18" s="1114"/>
      <c r="E18" s="1136">
        <v>1</v>
      </c>
      <c r="F18" s="1115" t="s">
        <v>1438</v>
      </c>
      <c r="G18" s="1116"/>
      <c r="H18" s="1087"/>
      <c r="I18" s="1087"/>
    </row>
    <row r="19" spans="1:9" s="1529" customFormat="1" ht="19.5" customHeight="1">
      <c r="A19" s="3587"/>
      <c r="B19" s="3587" t="s">
        <v>1439</v>
      </c>
      <c r="C19" s="1113" t="s">
        <v>1440</v>
      </c>
      <c r="D19" s="1114"/>
      <c r="E19" s="1136">
        <v>0.9</v>
      </c>
      <c r="F19" s="1115" t="s">
        <v>1441</v>
      </c>
      <c r="G19" s="1116"/>
      <c r="H19" s="1087"/>
      <c r="I19" s="1087"/>
    </row>
    <row r="20" spans="1:9" s="1529" customFormat="1" ht="19.5" customHeight="1">
      <c r="A20" s="3587"/>
      <c r="B20" s="3587"/>
      <c r="C20" s="1113" t="s">
        <v>1442</v>
      </c>
      <c r="D20" s="1114"/>
      <c r="E20" s="1136">
        <v>1.1000000000000001</v>
      </c>
      <c r="F20" s="1115" t="s">
        <v>1443</v>
      </c>
      <c r="G20" s="1116"/>
      <c r="H20" s="1087"/>
      <c r="I20" s="1087"/>
    </row>
    <row r="21" spans="1:9" s="1529" customFormat="1" ht="19.5" customHeight="1">
      <c r="A21" s="3587"/>
      <c r="B21" s="3587"/>
      <c r="C21" s="1113" t="s">
        <v>1444</v>
      </c>
      <c r="D21" s="1114"/>
      <c r="E21" s="1136">
        <v>0.8</v>
      </c>
      <c r="F21" s="1115" t="s">
        <v>1445</v>
      </c>
      <c r="G21" s="1116"/>
      <c r="H21" s="1087"/>
      <c r="I21" s="1087"/>
    </row>
    <row r="22" spans="1:9" s="1529" customFormat="1" ht="19.5" customHeight="1">
      <c r="A22" s="3587"/>
      <c r="B22" s="3587"/>
      <c r="C22" s="1113" t="s">
        <v>1446</v>
      </c>
      <c r="D22" s="1114"/>
      <c r="E22" s="1136">
        <v>0.5</v>
      </c>
      <c r="F22" s="1115"/>
      <c r="G22" s="1116"/>
      <c r="H22" s="1087"/>
      <c r="I22" s="1087"/>
    </row>
    <row r="23" spans="1:9" s="1529" customFormat="1" ht="19.5" customHeight="1">
      <c r="A23" s="3587" t="s">
        <v>1019</v>
      </c>
      <c r="B23" s="1136" t="s">
        <v>1436</v>
      </c>
      <c r="C23" s="1113" t="s">
        <v>1447</v>
      </c>
      <c r="D23" s="1114"/>
      <c r="E23" s="1136">
        <v>1</v>
      </c>
      <c r="F23" s="1115" t="s">
        <v>1448</v>
      </c>
      <c r="G23" s="1116"/>
      <c r="H23" s="1087"/>
      <c r="I23" s="1087"/>
    </row>
    <row r="24" spans="1:9" s="1529" customFormat="1" ht="19.5" customHeight="1">
      <c r="A24" s="3587"/>
      <c r="B24" s="3587" t="s">
        <v>1439</v>
      </c>
      <c r="C24" s="1113" t="s">
        <v>1449</v>
      </c>
      <c r="D24" s="1114"/>
      <c r="E24" s="1136">
        <v>0.5</v>
      </c>
      <c r="F24" s="1115"/>
      <c r="G24" s="1116"/>
      <c r="H24" s="1087"/>
      <c r="I24" s="1087"/>
    </row>
    <row r="25" spans="1:9" s="1529" customFormat="1" ht="19.5" customHeight="1">
      <c r="A25" s="3587"/>
      <c r="B25" s="3587"/>
      <c r="C25" s="1113" t="s">
        <v>1450</v>
      </c>
      <c r="D25" s="1114"/>
      <c r="E25" s="1136">
        <v>1.1000000000000001</v>
      </c>
      <c r="F25" s="1115"/>
      <c r="G25" s="1116"/>
      <c r="H25" s="1087"/>
      <c r="I25" s="1087"/>
    </row>
    <row r="26" spans="1:9" s="1529" customFormat="1" ht="19.5" customHeight="1">
      <c r="A26" s="3587"/>
      <c r="B26" s="3587"/>
      <c r="C26" s="1113" t="s">
        <v>1451</v>
      </c>
      <c r="D26" s="1114"/>
      <c r="E26" s="1136">
        <v>1.1000000000000001</v>
      </c>
      <c r="F26" s="1115"/>
      <c r="G26" s="1116"/>
      <c r="H26" s="1087"/>
      <c r="I26" s="1087"/>
    </row>
    <row r="27" spans="1:9" s="1529" customFormat="1" ht="19.5" customHeight="1">
      <c r="A27" s="3587"/>
      <c r="B27" s="3587"/>
      <c r="C27" s="1113" t="s">
        <v>1452</v>
      </c>
      <c r="D27" s="1114"/>
      <c r="E27" s="1136">
        <v>0.9</v>
      </c>
      <c r="F27" s="1115" t="s">
        <v>1453</v>
      </c>
      <c r="G27" s="1116"/>
      <c r="H27" s="1087"/>
      <c r="I27" s="1087"/>
    </row>
    <row r="28" spans="1:9" s="1529" customFormat="1" ht="19.5" customHeight="1">
      <c r="A28" s="3587"/>
      <c r="B28" s="3587"/>
      <c r="C28" s="1113" t="s">
        <v>1454</v>
      </c>
      <c r="D28" s="1114"/>
      <c r="E28" s="1136">
        <v>0.9</v>
      </c>
      <c r="F28" s="1115" t="s">
        <v>1455</v>
      </c>
      <c r="G28" s="1116"/>
      <c r="H28" s="1087"/>
      <c r="I28" s="1087"/>
    </row>
    <row r="29" spans="1:9" s="1529" customFormat="1" ht="19.5" customHeight="1">
      <c r="A29" s="3587"/>
      <c r="B29" s="3587"/>
      <c r="C29" s="1113" t="s">
        <v>1456</v>
      </c>
      <c r="D29" s="1114"/>
      <c r="E29" s="1136">
        <v>0.9</v>
      </c>
      <c r="F29" s="1115" t="s">
        <v>1457</v>
      </c>
      <c r="G29" s="1116"/>
      <c r="H29" s="1087"/>
      <c r="I29" s="1087"/>
    </row>
    <row r="30" spans="1:9" s="1529" customFormat="1" ht="19.5" customHeight="1">
      <c r="A30" s="3587"/>
      <c r="B30" s="3587"/>
      <c r="C30" s="1113" t="s">
        <v>1458</v>
      </c>
      <c r="D30" s="1114"/>
      <c r="E30" s="1136">
        <v>0.9</v>
      </c>
      <c r="F30" s="1115" t="s">
        <v>1459</v>
      </c>
      <c r="G30" s="1116"/>
      <c r="H30" s="1087"/>
      <c r="I30" s="1087"/>
    </row>
    <row r="31" spans="1:9" s="1529" customFormat="1" ht="19.5" customHeight="1">
      <c r="A31" s="3587"/>
      <c r="B31" s="3587"/>
      <c r="C31" s="1113" t="s">
        <v>1460</v>
      </c>
      <c r="D31" s="1114"/>
      <c r="E31" s="1136">
        <v>0.8</v>
      </c>
      <c r="F31" s="1115" t="s">
        <v>1461</v>
      </c>
      <c r="G31" s="1116"/>
      <c r="H31" s="1087"/>
      <c r="I31" s="1087"/>
    </row>
    <row r="32" spans="1:9" s="1529" customFormat="1" ht="19.5" customHeight="1">
      <c r="A32" s="3587"/>
      <c r="B32" s="3587"/>
      <c r="C32" s="1113" t="s">
        <v>1462</v>
      </c>
      <c r="D32" s="1114"/>
      <c r="E32" s="1136">
        <v>0.8</v>
      </c>
      <c r="F32" s="1115" t="s">
        <v>1463</v>
      </c>
      <c r="G32" s="1116"/>
      <c r="H32" s="1087"/>
      <c r="I32" s="1087"/>
    </row>
    <row r="33" spans="1:9" s="1529" customFormat="1" ht="19.5" customHeight="1">
      <c r="A33" s="3587" t="s">
        <v>1464</v>
      </c>
      <c r="B33" s="1136" t="s">
        <v>1436</v>
      </c>
      <c r="C33" s="1113" t="s">
        <v>1465</v>
      </c>
      <c r="D33" s="1114"/>
      <c r="E33" s="1136">
        <v>1</v>
      </c>
      <c r="F33" s="1115" t="s">
        <v>1466</v>
      </c>
      <c r="G33" s="1116"/>
      <c r="H33" s="1087"/>
      <c r="I33" s="1087"/>
    </row>
    <row r="34" spans="1:9" s="1529" customFormat="1" ht="19.5" customHeight="1">
      <c r="A34" s="3587"/>
      <c r="B34" s="1136" t="s">
        <v>1439</v>
      </c>
      <c r="C34" s="1113" t="s">
        <v>1467</v>
      </c>
      <c r="D34" s="1114"/>
      <c r="E34" s="1136">
        <v>1.5</v>
      </c>
      <c r="F34" s="1115" t="s">
        <v>1468</v>
      </c>
      <c r="G34" s="1116"/>
      <c r="H34" s="1087"/>
      <c r="I34" s="1087"/>
    </row>
    <row r="35" spans="1:9" s="1529" customFormat="1" ht="19.5" customHeight="1">
      <c r="A35" s="3587" t="s">
        <v>1422</v>
      </c>
      <c r="B35" s="1136" t="s">
        <v>1436</v>
      </c>
      <c r="C35" s="1113" t="s">
        <v>1469</v>
      </c>
      <c r="D35" s="1114"/>
      <c r="E35" s="1136">
        <v>1</v>
      </c>
      <c r="F35" s="1115" t="s">
        <v>1470</v>
      </c>
      <c r="G35" s="1116"/>
      <c r="H35" s="1087"/>
      <c r="I35" s="1087"/>
    </row>
    <row r="36" spans="1:9" s="1529" customFormat="1" ht="19.5" customHeight="1">
      <c r="A36" s="3587"/>
      <c r="B36" s="3587" t="s">
        <v>1439</v>
      </c>
      <c r="C36" s="1113" t="s">
        <v>1471</v>
      </c>
      <c r="D36" s="1114"/>
      <c r="E36" s="1136">
        <v>1</v>
      </c>
      <c r="F36" s="1115" t="s">
        <v>1472</v>
      </c>
      <c r="G36" s="1116"/>
      <c r="H36" s="1087"/>
      <c r="I36" s="1087"/>
    </row>
    <row r="37" spans="1:9" s="1529" customFormat="1" ht="19.5" customHeight="1">
      <c r="A37" s="3587"/>
      <c r="B37" s="3587"/>
      <c r="C37" s="1113" t="s">
        <v>1473</v>
      </c>
      <c r="D37" s="1114"/>
      <c r="E37" s="1136">
        <v>1.5</v>
      </c>
      <c r="F37" s="1115" t="s">
        <v>1474</v>
      </c>
      <c r="G37" s="1116"/>
      <c r="H37" s="1087"/>
      <c r="I37" s="1087"/>
    </row>
    <row r="38" spans="1:9" s="1529" customFormat="1" ht="19.5" customHeight="1">
      <c r="A38" s="3587"/>
      <c r="B38" s="3587"/>
      <c r="C38" s="1113" t="s">
        <v>1475</v>
      </c>
      <c r="D38" s="1114"/>
      <c r="E38" s="1136">
        <v>1</v>
      </c>
      <c r="F38" s="1115" t="s">
        <v>1476</v>
      </c>
      <c r="G38" s="1116"/>
      <c r="H38" s="1087"/>
      <c r="I38" s="1087"/>
    </row>
    <row r="39" spans="1:9" s="1529" customFormat="1" ht="19.5" customHeight="1">
      <c r="A39" s="3587"/>
      <c r="B39" s="3587"/>
      <c r="C39" s="1113" t="s">
        <v>1477</v>
      </c>
      <c r="D39" s="1114"/>
      <c r="E39" s="1136">
        <v>1</v>
      </c>
      <c r="F39" s="1115" t="s">
        <v>1478</v>
      </c>
      <c r="G39" s="1116"/>
      <c r="H39" s="1087"/>
      <c r="I39" s="1087"/>
    </row>
    <row r="40" spans="1:9" s="1529" customFormat="1" ht="19.5" customHeight="1">
      <c r="A40" s="1530" t="s">
        <v>1479</v>
      </c>
      <c r="B40" s="1530"/>
      <c r="C40" s="1530"/>
      <c r="D40" s="1530"/>
      <c r="E40" s="1530"/>
      <c r="F40" s="1115"/>
      <c r="G40" s="1115"/>
      <c r="H40" s="1087"/>
      <c r="I40" s="1087"/>
    </row>
    <row r="42" spans="1:9" ht="19.5" customHeight="1">
      <c r="A42" s="1117"/>
      <c r="B42" s="1050" t="s">
        <v>1480</v>
      </c>
      <c r="C42" s="1050" t="s">
        <v>1480</v>
      </c>
      <c r="D42" s="1050" t="s">
        <v>1480</v>
      </c>
      <c r="E42" s="1135" t="s">
        <v>1480</v>
      </c>
      <c r="F42" s="1135" t="s">
        <v>1480</v>
      </c>
      <c r="G42" s="1135" t="s">
        <v>1481</v>
      </c>
      <c r="H42" s="1135" t="s">
        <v>1480</v>
      </c>
    </row>
    <row r="43" spans="1:9" ht="19.5" customHeight="1">
      <c r="A43" s="1118"/>
      <c r="B43" s="1135" t="s">
        <v>997</v>
      </c>
      <c r="C43" s="1135" t="s">
        <v>997</v>
      </c>
      <c r="D43" s="1135" t="s">
        <v>997</v>
      </c>
      <c r="E43" s="1135" t="s">
        <v>997</v>
      </c>
      <c r="F43" s="1050" t="s">
        <v>1019</v>
      </c>
      <c r="G43" s="1050" t="s">
        <v>1422</v>
      </c>
      <c r="H43" s="1050" t="s">
        <v>1482</v>
      </c>
    </row>
    <row r="44" spans="1:9" ht="19.5" customHeight="1">
      <c r="A44" s="1119"/>
      <c r="B44" s="1050">
        <v>1</v>
      </c>
      <c r="C44" s="1050">
        <v>2</v>
      </c>
      <c r="D44" s="1050">
        <v>3</v>
      </c>
      <c r="E44" s="1135">
        <v>4</v>
      </c>
      <c r="F44" s="1111" t="s">
        <v>1483</v>
      </c>
      <c r="G44" s="1111" t="s">
        <v>1483</v>
      </c>
      <c r="H44" s="1111" t="s">
        <v>1483</v>
      </c>
    </row>
    <row r="45" spans="1:9" ht="19.5" customHeight="1">
      <c r="A45" s="1134" t="s">
        <v>897</v>
      </c>
      <c r="B45" s="1050">
        <v>0.8</v>
      </c>
      <c r="C45" s="1050">
        <v>0.5</v>
      </c>
      <c r="D45" s="1050">
        <v>0.36</v>
      </c>
      <c r="E45" s="1050">
        <v>0.3</v>
      </c>
      <c r="F45" s="1111">
        <v>0.3</v>
      </c>
      <c r="G45" s="1050">
        <v>0.3</v>
      </c>
      <c r="H45" s="1050">
        <v>0.25</v>
      </c>
    </row>
    <row r="46" spans="1:9" ht="19.5" customHeight="1">
      <c r="A46" s="1134" t="s">
        <v>898</v>
      </c>
      <c r="B46" s="1050">
        <v>0.8</v>
      </c>
      <c r="C46" s="1050">
        <v>0.5</v>
      </c>
      <c r="D46" s="1050">
        <v>0.36</v>
      </c>
      <c r="E46" s="1050">
        <v>0.3</v>
      </c>
      <c r="F46" s="1050">
        <v>0.3</v>
      </c>
      <c r="G46" s="1050">
        <v>0.3</v>
      </c>
      <c r="H46" s="1050">
        <v>0.25</v>
      </c>
    </row>
    <row r="47" spans="1:9" ht="19.5" customHeight="1">
      <c r="A47" s="1134" t="s">
        <v>899</v>
      </c>
      <c r="B47" s="1050">
        <v>0.7</v>
      </c>
      <c r="C47" s="1050">
        <v>0.4</v>
      </c>
      <c r="D47" s="1050">
        <v>0.28000000000000003</v>
      </c>
      <c r="E47" s="1050">
        <v>0.25</v>
      </c>
      <c r="F47" s="1050">
        <v>0.25</v>
      </c>
      <c r="G47" s="1050">
        <v>0.25</v>
      </c>
      <c r="H47" s="1050">
        <v>0.2</v>
      </c>
    </row>
    <row r="48" spans="1:9" ht="19.5" customHeight="1">
      <c r="A48" s="1134" t="s">
        <v>900</v>
      </c>
      <c r="B48" s="1050">
        <v>0.7</v>
      </c>
      <c r="C48" s="1050">
        <v>0.4</v>
      </c>
      <c r="D48" s="1050">
        <v>0.28000000000000003</v>
      </c>
      <c r="E48" s="1050">
        <v>0.25</v>
      </c>
      <c r="F48" s="1050">
        <v>0.25</v>
      </c>
      <c r="G48" s="1050">
        <v>0.25</v>
      </c>
      <c r="H48" s="1050">
        <v>0.2</v>
      </c>
    </row>
    <row r="49" spans="1:8" s="1087" customFormat="1" ht="19.5" customHeight="1">
      <c r="A49" s="1134" t="s">
        <v>901</v>
      </c>
      <c r="B49" s="1050">
        <v>0.7</v>
      </c>
      <c r="C49" s="1050">
        <v>0.4</v>
      </c>
      <c r="D49" s="1050">
        <v>0.28000000000000003</v>
      </c>
      <c r="E49" s="1050">
        <v>0.25</v>
      </c>
      <c r="F49" s="1050">
        <v>0.25</v>
      </c>
      <c r="G49" s="1050">
        <v>0.25</v>
      </c>
      <c r="H49" s="1050">
        <v>0.2</v>
      </c>
    </row>
    <row r="50" spans="1:8" s="1087" customFormat="1" ht="19.5" customHeight="1">
      <c r="A50" s="1134" t="s">
        <v>902</v>
      </c>
      <c r="B50" s="1050">
        <v>0.7</v>
      </c>
      <c r="C50" s="1050">
        <v>0.4</v>
      </c>
      <c r="D50" s="1050">
        <v>0.28000000000000003</v>
      </c>
      <c r="E50" s="1050">
        <v>0.25</v>
      </c>
      <c r="F50" s="1050">
        <v>0.25</v>
      </c>
      <c r="G50" s="1050">
        <v>0.25</v>
      </c>
      <c r="H50" s="1050">
        <v>0.2</v>
      </c>
    </row>
    <row r="51" spans="1:8" s="1087" customFormat="1" ht="19.5" customHeight="1">
      <c r="A51" s="1134" t="s">
        <v>903</v>
      </c>
      <c r="B51" s="1050">
        <v>0.7</v>
      </c>
      <c r="C51" s="1050">
        <v>0.4</v>
      </c>
      <c r="D51" s="1050">
        <v>0.28000000000000003</v>
      </c>
      <c r="E51" s="1050">
        <v>0.25</v>
      </c>
      <c r="F51" s="1050">
        <v>0.25</v>
      </c>
      <c r="G51" s="1050">
        <v>0.25</v>
      </c>
      <c r="H51" s="1050">
        <v>0.2</v>
      </c>
    </row>
    <row r="52" spans="1:8" s="1087" customFormat="1" ht="19.5" customHeight="1">
      <c r="A52" s="1134" t="s">
        <v>904</v>
      </c>
      <c r="B52" s="1050">
        <v>0.6</v>
      </c>
      <c r="C52" s="1050">
        <v>0.3</v>
      </c>
      <c r="D52" s="1050">
        <v>0.2</v>
      </c>
      <c r="E52" s="1050">
        <v>0.2</v>
      </c>
      <c r="F52" s="1050">
        <v>0.2</v>
      </c>
      <c r="G52" s="1050">
        <v>0.2</v>
      </c>
      <c r="H52" s="1050">
        <v>0.15</v>
      </c>
    </row>
    <row r="53" spans="1:8" s="1087" customFormat="1" ht="19.5" customHeight="1">
      <c r="A53" s="1134" t="s">
        <v>905</v>
      </c>
      <c r="B53" s="1050">
        <v>0.6</v>
      </c>
      <c r="C53" s="1050">
        <v>0.3</v>
      </c>
      <c r="D53" s="1050">
        <v>0.2</v>
      </c>
      <c r="E53" s="1050">
        <v>0.2</v>
      </c>
      <c r="F53" s="1050">
        <v>0.2</v>
      </c>
      <c r="G53" s="1050">
        <v>0.2</v>
      </c>
      <c r="H53" s="1050">
        <v>0.15</v>
      </c>
    </row>
    <row r="54" spans="1:8" s="1087" customFormat="1" ht="19.5" customHeight="1">
      <c r="A54" s="1134" t="s">
        <v>906</v>
      </c>
      <c r="B54" s="1050">
        <v>0.6</v>
      </c>
      <c r="C54" s="1050">
        <v>0.3</v>
      </c>
      <c r="D54" s="1050">
        <v>0.2</v>
      </c>
      <c r="E54" s="1050">
        <v>0.2</v>
      </c>
      <c r="F54" s="1050">
        <v>0.2</v>
      </c>
      <c r="G54" s="1050">
        <v>0.2</v>
      </c>
      <c r="H54" s="1050">
        <v>0.15</v>
      </c>
    </row>
    <row r="55" spans="1:8" s="1087" customFormat="1" ht="19.5" customHeight="1">
      <c r="A55" s="1134" t="s">
        <v>907</v>
      </c>
      <c r="B55" s="1050">
        <v>0.6</v>
      </c>
      <c r="C55" s="1050">
        <v>0.3</v>
      </c>
      <c r="D55" s="1050">
        <v>0.2</v>
      </c>
      <c r="E55" s="1050">
        <v>0.2</v>
      </c>
      <c r="F55" s="1050">
        <v>0.2</v>
      </c>
      <c r="G55" s="1050">
        <v>0.2</v>
      </c>
      <c r="H55" s="1050">
        <v>0.15</v>
      </c>
    </row>
    <row r="56" spans="1:8" s="1087" customFormat="1" ht="19.5" customHeight="1">
      <c r="A56" s="1134" t="s">
        <v>908</v>
      </c>
      <c r="B56" s="1050">
        <v>0.6</v>
      </c>
      <c r="C56" s="1050">
        <v>0.3</v>
      </c>
      <c r="D56" s="1050">
        <v>0.2</v>
      </c>
      <c r="E56" s="1050">
        <v>0.2</v>
      </c>
      <c r="F56" s="1050">
        <v>0.2</v>
      </c>
      <c r="G56" s="1050">
        <v>0.2</v>
      </c>
      <c r="H56" s="1050">
        <v>0.15</v>
      </c>
    </row>
    <row r="58" spans="1:8" s="1087" customFormat="1" ht="19.5" customHeight="1">
      <c r="A58" s="1120"/>
      <c r="B58" s="1108"/>
      <c r="C58" s="1108"/>
      <c r="D58" s="1108" t="s">
        <v>1484</v>
      </c>
      <c r="E58" s="1108"/>
      <c r="F58" s="1108"/>
    </row>
    <row r="59" spans="1:8" s="1087" customFormat="1" ht="19.5" customHeight="1">
      <c r="A59" s="1136" t="s">
        <v>1485</v>
      </c>
      <c r="B59" s="1136" t="s">
        <v>1486</v>
      </c>
      <c r="C59" s="1136" t="s">
        <v>1487</v>
      </c>
      <c r="D59" s="1136" t="s">
        <v>1488</v>
      </c>
      <c r="E59" s="1136" t="s">
        <v>1489</v>
      </c>
      <c r="F59" s="1136" t="s">
        <v>1490</v>
      </c>
    </row>
    <row r="60" spans="1:8" s="1087" customFormat="1" ht="19.5" customHeight="1">
      <c r="A60" s="1136"/>
      <c r="B60" s="1136"/>
      <c r="C60" s="1136" t="s">
        <v>1622</v>
      </c>
      <c r="D60" s="1136"/>
      <c r="E60" s="1121" t="s">
        <v>1431</v>
      </c>
      <c r="F60" s="1136" t="s">
        <v>1431</v>
      </c>
    </row>
    <row r="61" spans="1:8" s="1087" customFormat="1" ht="24">
      <c r="A61" s="1136">
        <v>1</v>
      </c>
      <c r="B61" s="3587" t="s">
        <v>1491</v>
      </c>
      <c r="C61" s="1050" t="s">
        <v>1492</v>
      </c>
      <c r="D61" s="1050" t="s">
        <v>1493</v>
      </c>
      <c r="E61" s="1121">
        <v>0.5</v>
      </c>
      <c r="F61" s="1136">
        <v>80</v>
      </c>
      <c r="H61" s="1087">
        <f>SUMIF(C59:C119,基准地价!C8,E59:E119)</f>
        <v>0</v>
      </c>
    </row>
    <row r="62" spans="1:8" s="1087" customFormat="1" ht="24">
      <c r="A62" s="1136">
        <v>2</v>
      </c>
      <c r="B62" s="3587"/>
      <c r="C62" s="1050" t="s">
        <v>1494</v>
      </c>
      <c r="D62" s="1050" t="s">
        <v>1495</v>
      </c>
      <c r="E62" s="1121">
        <v>0.5</v>
      </c>
      <c r="F62" s="1136">
        <v>80</v>
      </c>
    </row>
    <row r="63" spans="1:8" s="1087" customFormat="1" ht="36">
      <c r="A63" s="1136">
        <v>3</v>
      </c>
      <c r="B63" s="3587"/>
      <c r="C63" s="1050" t="s">
        <v>1496</v>
      </c>
      <c r="D63" s="1050" t="s">
        <v>1497</v>
      </c>
      <c r="E63" s="1121">
        <v>0.5</v>
      </c>
      <c r="F63" s="1136">
        <v>80</v>
      </c>
    </row>
    <row r="64" spans="1:8" s="1087" customFormat="1" ht="36">
      <c r="A64" s="1136">
        <v>4</v>
      </c>
      <c r="B64" s="3587"/>
      <c r="C64" s="1050" t="s">
        <v>1498</v>
      </c>
      <c r="D64" s="1050" t="s">
        <v>1499</v>
      </c>
      <c r="E64" s="1121">
        <v>0.4</v>
      </c>
      <c r="F64" s="1136">
        <v>60</v>
      </c>
    </row>
    <row r="65" spans="1:6" s="1087" customFormat="1" ht="36">
      <c r="A65" s="1136">
        <v>5</v>
      </c>
      <c r="B65" s="3587"/>
      <c r="C65" s="1050" t="s">
        <v>1500</v>
      </c>
      <c r="D65" s="1050" t="s">
        <v>1501</v>
      </c>
      <c r="E65" s="1121">
        <v>0.2</v>
      </c>
      <c r="F65" s="1136">
        <v>30</v>
      </c>
    </row>
    <row r="66" spans="1:6" s="1087" customFormat="1" ht="36">
      <c r="A66" s="1136">
        <v>6</v>
      </c>
      <c r="B66" s="3587"/>
      <c r="C66" s="1050" t="s">
        <v>1502</v>
      </c>
      <c r="D66" s="1050" t="s">
        <v>1503</v>
      </c>
      <c r="E66" s="1121">
        <v>0.3</v>
      </c>
      <c r="F66" s="1136">
        <v>50</v>
      </c>
    </row>
    <row r="67" spans="1:6" s="1087" customFormat="1" ht="36">
      <c r="A67" s="1136">
        <v>7</v>
      </c>
      <c r="B67" s="3587"/>
      <c r="C67" s="1050" t="s">
        <v>1504</v>
      </c>
      <c r="D67" s="1050" t="s">
        <v>1505</v>
      </c>
      <c r="E67" s="1121">
        <v>0.2</v>
      </c>
      <c r="F67" s="1136">
        <v>30</v>
      </c>
    </row>
    <row r="68" spans="1:6" s="1087" customFormat="1" ht="36">
      <c r="A68" s="1136">
        <v>8</v>
      </c>
      <c r="B68" s="3587"/>
      <c r="C68" s="1050" t="s">
        <v>1506</v>
      </c>
      <c r="D68" s="1050" t="s">
        <v>1507</v>
      </c>
      <c r="E68" s="1121">
        <v>0.2</v>
      </c>
      <c r="F68" s="1136">
        <v>30</v>
      </c>
    </row>
    <row r="69" spans="1:6" s="1087" customFormat="1" ht="36">
      <c r="A69" s="1136">
        <v>9</v>
      </c>
      <c r="B69" s="3587"/>
      <c r="C69" s="1050" t="s">
        <v>1508</v>
      </c>
      <c r="D69" s="1050" t="s">
        <v>1509</v>
      </c>
      <c r="E69" s="1121">
        <v>0.2</v>
      </c>
      <c r="F69" s="1136">
        <v>30</v>
      </c>
    </row>
    <row r="70" spans="1:6" s="1087" customFormat="1" ht="48">
      <c r="A70" s="1136">
        <v>10</v>
      </c>
      <c r="B70" s="3587"/>
      <c r="C70" s="1050" t="s">
        <v>1510</v>
      </c>
      <c r="D70" s="1050" t="s">
        <v>1511</v>
      </c>
      <c r="E70" s="1121">
        <v>0.2</v>
      </c>
      <c r="F70" s="1136">
        <v>30</v>
      </c>
    </row>
    <row r="71" spans="1:6" s="1087" customFormat="1" ht="48">
      <c r="A71" s="1136">
        <v>11</v>
      </c>
      <c r="B71" s="3587"/>
      <c r="C71" s="1050" t="s">
        <v>1512</v>
      </c>
      <c r="D71" s="1050" t="s">
        <v>1513</v>
      </c>
      <c r="E71" s="1121">
        <v>0.2</v>
      </c>
      <c r="F71" s="1136">
        <v>30</v>
      </c>
    </row>
    <row r="72" spans="1:6" s="1087" customFormat="1" ht="36">
      <c r="A72" s="1136">
        <v>12</v>
      </c>
      <c r="B72" s="3587"/>
      <c r="C72" s="1050" t="s">
        <v>1514</v>
      </c>
      <c r="D72" s="1050" t="s">
        <v>1515</v>
      </c>
      <c r="E72" s="1121">
        <v>0.5</v>
      </c>
      <c r="F72" s="1136">
        <v>80</v>
      </c>
    </row>
    <row r="73" spans="1:6" s="1087" customFormat="1" ht="24">
      <c r="A73" s="1136">
        <v>13</v>
      </c>
      <c r="B73" s="3587"/>
      <c r="C73" s="1050" t="s">
        <v>1516</v>
      </c>
      <c r="D73" s="1050" t="s">
        <v>1517</v>
      </c>
      <c r="E73" s="1121">
        <v>0.4</v>
      </c>
      <c r="F73" s="1136">
        <v>60</v>
      </c>
    </row>
    <row r="74" spans="1:6" s="1087" customFormat="1" ht="24">
      <c r="A74" s="1136">
        <v>14</v>
      </c>
      <c r="B74" s="3587"/>
      <c r="C74" s="1050" t="s">
        <v>1518</v>
      </c>
      <c r="D74" s="1050" t="s">
        <v>1519</v>
      </c>
      <c r="E74" s="1121">
        <v>0.2</v>
      </c>
      <c r="F74" s="1136">
        <v>30</v>
      </c>
    </row>
    <row r="75" spans="1:6" s="1087" customFormat="1" ht="24">
      <c r="A75" s="1136">
        <v>15</v>
      </c>
      <c r="B75" s="3587"/>
      <c r="C75" s="1050" t="s">
        <v>1520</v>
      </c>
      <c r="D75" s="1050" t="s">
        <v>1521</v>
      </c>
      <c r="E75" s="1121">
        <v>0.2</v>
      </c>
      <c r="F75" s="1136">
        <v>30</v>
      </c>
    </row>
    <row r="76" spans="1:6" s="1087" customFormat="1" ht="24">
      <c r="A76" s="1136">
        <v>16</v>
      </c>
      <c r="B76" s="3587" t="s">
        <v>1522</v>
      </c>
      <c r="C76" s="1050" t="s">
        <v>1523</v>
      </c>
      <c r="D76" s="1050" t="s">
        <v>1524</v>
      </c>
      <c r="E76" s="1121">
        <v>0.5</v>
      </c>
      <c r="F76" s="1136">
        <v>80</v>
      </c>
    </row>
    <row r="77" spans="1:6" s="1087" customFormat="1" ht="24">
      <c r="A77" s="1136">
        <v>17</v>
      </c>
      <c r="B77" s="3587"/>
      <c r="C77" s="1050" t="s">
        <v>1525</v>
      </c>
      <c r="D77" s="1050" t="s">
        <v>1526</v>
      </c>
      <c r="E77" s="1121">
        <v>0.5</v>
      </c>
      <c r="F77" s="1136">
        <v>80</v>
      </c>
    </row>
    <row r="78" spans="1:6" s="1087" customFormat="1" ht="24">
      <c r="A78" s="1136">
        <v>18</v>
      </c>
      <c r="B78" s="3587"/>
      <c r="C78" s="1050" t="s">
        <v>1527</v>
      </c>
      <c r="D78" s="1050" t="s">
        <v>1528</v>
      </c>
      <c r="E78" s="1121">
        <v>0.2</v>
      </c>
      <c r="F78" s="1136">
        <v>30</v>
      </c>
    </row>
    <row r="79" spans="1:6" s="1087" customFormat="1" ht="24">
      <c r="A79" s="1136">
        <v>19</v>
      </c>
      <c r="B79" s="3587"/>
      <c r="C79" s="1050" t="s">
        <v>1529</v>
      </c>
      <c r="D79" s="1050" t="s">
        <v>1530</v>
      </c>
      <c r="E79" s="1121">
        <v>0.5</v>
      </c>
      <c r="F79" s="1136">
        <v>80</v>
      </c>
    </row>
    <row r="80" spans="1:6" s="1087" customFormat="1" ht="36">
      <c r="A80" s="1136">
        <v>20</v>
      </c>
      <c r="B80" s="3587"/>
      <c r="C80" s="1050" t="s">
        <v>1531</v>
      </c>
      <c r="D80" s="1050" t="s">
        <v>1532</v>
      </c>
      <c r="E80" s="1121">
        <v>0.2</v>
      </c>
      <c r="F80" s="1136">
        <v>30</v>
      </c>
    </row>
    <row r="81" spans="1:6" s="1087" customFormat="1" ht="36">
      <c r="A81" s="1136">
        <v>21</v>
      </c>
      <c r="B81" s="3587"/>
      <c r="C81" s="1050" t="s">
        <v>1533</v>
      </c>
      <c r="D81" s="1050" t="s">
        <v>1534</v>
      </c>
      <c r="E81" s="1121">
        <v>0.2</v>
      </c>
      <c r="F81" s="1136">
        <v>30</v>
      </c>
    </row>
    <row r="82" spans="1:6" s="1087" customFormat="1" ht="48">
      <c r="A82" s="1136">
        <v>22</v>
      </c>
      <c r="B82" s="3587"/>
      <c r="C82" s="1050" t="s">
        <v>1535</v>
      </c>
      <c r="D82" s="1050" t="s">
        <v>1536</v>
      </c>
      <c r="E82" s="1121">
        <v>0.2</v>
      </c>
      <c r="F82" s="1136">
        <v>30</v>
      </c>
    </row>
    <row r="83" spans="1:6" s="1087" customFormat="1" ht="48">
      <c r="A83" s="1136">
        <v>23</v>
      </c>
      <c r="B83" s="3587"/>
      <c r="C83" s="1050" t="s">
        <v>1537</v>
      </c>
      <c r="D83" s="1050" t="s">
        <v>1538</v>
      </c>
      <c r="E83" s="1121">
        <v>0.2</v>
      </c>
      <c r="F83" s="1136">
        <v>30</v>
      </c>
    </row>
    <row r="84" spans="1:6" s="1087" customFormat="1" ht="36">
      <c r="A84" s="1136">
        <v>24</v>
      </c>
      <c r="B84" s="3587"/>
      <c r="C84" s="1050" t="s">
        <v>1539</v>
      </c>
      <c r="D84" s="1050" t="s">
        <v>1540</v>
      </c>
      <c r="E84" s="1121">
        <v>0.2</v>
      </c>
      <c r="F84" s="1136">
        <v>30</v>
      </c>
    </row>
    <row r="85" spans="1:6" s="1087" customFormat="1" ht="36">
      <c r="A85" s="1136">
        <v>25</v>
      </c>
      <c r="B85" s="3587"/>
      <c r="C85" s="1050" t="s">
        <v>1541</v>
      </c>
      <c r="D85" s="1050" t="s">
        <v>1542</v>
      </c>
      <c r="E85" s="1121">
        <v>0.5</v>
      </c>
      <c r="F85" s="1136">
        <v>80</v>
      </c>
    </row>
    <row r="86" spans="1:6" s="1087" customFormat="1" ht="36">
      <c r="A86" s="1136">
        <v>26</v>
      </c>
      <c r="B86" s="3587"/>
      <c r="C86" s="1050" t="s">
        <v>1543</v>
      </c>
      <c r="D86" s="1050" t="s">
        <v>1544</v>
      </c>
      <c r="E86" s="1121">
        <v>0.2</v>
      </c>
      <c r="F86" s="1136">
        <v>30</v>
      </c>
    </row>
    <row r="87" spans="1:6" s="1087" customFormat="1" ht="36">
      <c r="A87" s="1136">
        <v>27</v>
      </c>
      <c r="B87" s="3587"/>
      <c r="C87" s="1050" t="s">
        <v>1545</v>
      </c>
      <c r="D87" s="1050" t="s">
        <v>1546</v>
      </c>
      <c r="E87" s="1121">
        <v>0.2</v>
      </c>
      <c r="F87" s="1136">
        <v>30</v>
      </c>
    </row>
    <row r="88" spans="1:6" s="1087" customFormat="1" ht="36">
      <c r="A88" s="1136">
        <v>28</v>
      </c>
      <c r="B88" s="3587"/>
      <c r="C88" s="1050" t="s">
        <v>1547</v>
      </c>
      <c r="D88" s="1050" t="s">
        <v>1548</v>
      </c>
      <c r="E88" s="1121">
        <v>0.2</v>
      </c>
      <c r="F88" s="1136">
        <v>30</v>
      </c>
    </row>
    <row r="89" spans="1:6" s="1087" customFormat="1" ht="24">
      <c r="A89" s="1136">
        <v>29</v>
      </c>
      <c r="B89" s="3587"/>
      <c r="C89" s="1050" t="s">
        <v>1549</v>
      </c>
      <c r="D89" s="1050" t="s">
        <v>1550</v>
      </c>
      <c r="E89" s="1121">
        <v>0.2</v>
      </c>
      <c r="F89" s="1136">
        <v>30</v>
      </c>
    </row>
    <row r="90" spans="1:6" s="1087" customFormat="1" ht="24">
      <c r="A90" s="1136">
        <v>30</v>
      </c>
      <c r="B90" s="3587"/>
      <c r="C90" s="1050" t="s">
        <v>1551</v>
      </c>
      <c r="D90" s="1050" t="s">
        <v>1552</v>
      </c>
      <c r="E90" s="1121">
        <v>0.2</v>
      </c>
      <c r="F90" s="1136">
        <v>30</v>
      </c>
    </row>
    <row r="91" spans="1:6" s="1087" customFormat="1" ht="36">
      <c r="A91" s="1136">
        <v>31</v>
      </c>
      <c r="B91" s="3587"/>
      <c r="C91" s="1050" t="s">
        <v>1553</v>
      </c>
      <c r="D91" s="1050" t="s">
        <v>1554</v>
      </c>
      <c r="E91" s="1121">
        <v>0.2</v>
      </c>
      <c r="F91" s="1136">
        <v>30</v>
      </c>
    </row>
    <row r="92" spans="1:6" s="1087" customFormat="1" ht="24">
      <c r="A92" s="1136">
        <v>32</v>
      </c>
      <c r="B92" s="3587" t="s">
        <v>1555</v>
      </c>
      <c r="C92" s="1136" t="s">
        <v>1556</v>
      </c>
      <c r="D92" s="1050" t="s">
        <v>1557</v>
      </c>
      <c r="E92" s="1121">
        <v>0.2</v>
      </c>
      <c r="F92" s="1136">
        <v>30</v>
      </c>
    </row>
    <row r="93" spans="1:6" s="1087" customFormat="1" ht="36">
      <c r="A93" s="1136">
        <v>33</v>
      </c>
      <c r="B93" s="3587"/>
      <c r="C93" s="1136" t="s">
        <v>1558</v>
      </c>
      <c r="D93" s="1050" t="s">
        <v>1559</v>
      </c>
      <c r="E93" s="1121">
        <v>0.2</v>
      </c>
      <c r="F93" s="1136">
        <v>30</v>
      </c>
    </row>
    <row r="94" spans="1:6" s="1087" customFormat="1" ht="48">
      <c r="A94" s="1136">
        <v>34</v>
      </c>
      <c r="B94" s="3587"/>
      <c r="C94" s="1136" t="s">
        <v>1560</v>
      </c>
      <c r="D94" s="1050" t="s">
        <v>1561</v>
      </c>
      <c r="E94" s="1121">
        <v>0.2</v>
      </c>
      <c r="F94" s="1136">
        <v>30</v>
      </c>
    </row>
    <row r="95" spans="1:6" s="1087" customFormat="1" ht="36">
      <c r="A95" s="1136">
        <v>35</v>
      </c>
      <c r="B95" s="3587"/>
      <c r="C95" s="1136" t="s">
        <v>1562</v>
      </c>
      <c r="D95" s="1050" t="s">
        <v>1563</v>
      </c>
      <c r="E95" s="1121">
        <v>0.2</v>
      </c>
      <c r="F95" s="1136">
        <v>30</v>
      </c>
    </row>
    <row r="96" spans="1:6" s="1087" customFormat="1" ht="48">
      <c r="A96" s="1136">
        <v>36</v>
      </c>
      <c r="B96" s="3587"/>
      <c r="C96" s="1050" t="s">
        <v>1564</v>
      </c>
      <c r="D96" s="1050" t="s">
        <v>1565</v>
      </c>
      <c r="E96" s="1121">
        <v>0.2</v>
      </c>
      <c r="F96" s="1136">
        <v>30</v>
      </c>
    </row>
    <row r="97" spans="1:6" s="1087" customFormat="1" ht="36">
      <c r="A97" s="1136">
        <v>37</v>
      </c>
      <c r="B97" s="3587"/>
      <c r="C97" s="1136" t="s">
        <v>1566</v>
      </c>
      <c r="D97" s="1050" t="s">
        <v>1567</v>
      </c>
      <c r="E97" s="1121">
        <v>0.2</v>
      </c>
      <c r="F97" s="1136">
        <v>30</v>
      </c>
    </row>
    <row r="98" spans="1:6" s="1087" customFormat="1" ht="36">
      <c r="A98" s="1136">
        <v>38</v>
      </c>
      <c r="B98" s="3587"/>
      <c r="C98" s="1136" t="s">
        <v>1568</v>
      </c>
      <c r="D98" s="1050" t="s">
        <v>1569</v>
      </c>
      <c r="E98" s="1121">
        <v>0.2</v>
      </c>
      <c r="F98" s="1136">
        <v>30</v>
      </c>
    </row>
    <row r="99" spans="1:6" s="1087" customFormat="1" ht="36">
      <c r="A99" s="1136">
        <v>39</v>
      </c>
      <c r="B99" s="3587" t="s">
        <v>1570</v>
      </c>
      <c r="C99" s="1136" t="s">
        <v>1571</v>
      </c>
      <c r="D99" s="1050" t="s">
        <v>1572</v>
      </c>
      <c r="E99" s="1121">
        <v>0.3</v>
      </c>
      <c r="F99" s="1136">
        <v>50</v>
      </c>
    </row>
    <row r="100" spans="1:6" s="1087" customFormat="1" ht="24">
      <c r="A100" s="1136">
        <v>40</v>
      </c>
      <c r="B100" s="3587"/>
      <c r="C100" s="1136" t="s">
        <v>1573</v>
      </c>
      <c r="D100" s="1050" t="s">
        <v>1574</v>
      </c>
      <c r="E100" s="1121">
        <v>0.2</v>
      </c>
      <c r="F100" s="1136">
        <v>30</v>
      </c>
    </row>
    <row r="101" spans="1:6" s="1087" customFormat="1" ht="36">
      <c r="A101" s="1136">
        <v>41</v>
      </c>
      <c r="B101" s="3587"/>
      <c r="C101" s="1136" t="s">
        <v>1575</v>
      </c>
      <c r="D101" s="1050" t="s">
        <v>1572</v>
      </c>
      <c r="E101" s="1121">
        <v>0.2</v>
      </c>
      <c r="F101" s="1136">
        <v>30</v>
      </c>
    </row>
    <row r="102" spans="1:6" s="1087" customFormat="1" ht="48">
      <c r="A102" s="1136">
        <v>42</v>
      </c>
      <c r="B102" s="1136" t="s">
        <v>1576</v>
      </c>
      <c r="C102" s="1050" t="s">
        <v>1577</v>
      </c>
      <c r="D102" s="1050" t="s">
        <v>1578</v>
      </c>
      <c r="E102" s="1121">
        <v>0.2</v>
      </c>
      <c r="F102" s="1136">
        <v>30</v>
      </c>
    </row>
    <row r="103" spans="1:6" s="1087" customFormat="1" ht="24">
      <c r="A103" s="1136">
        <v>43</v>
      </c>
      <c r="B103" s="1136" t="s">
        <v>1579</v>
      </c>
      <c r="C103" s="1136" t="s">
        <v>1580</v>
      </c>
      <c r="D103" s="1050" t="s">
        <v>1581</v>
      </c>
      <c r="E103" s="1121">
        <v>0.2</v>
      </c>
      <c r="F103" s="1136">
        <v>30</v>
      </c>
    </row>
    <row r="104" spans="1:6" s="1087" customFormat="1" ht="36">
      <c r="A104" s="1136">
        <v>44</v>
      </c>
      <c r="B104" s="1136" t="s">
        <v>1582</v>
      </c>
      <c r="C104" s="1136" t="s">
        <v>1583</v>
      </c>
      <c r="D104" s="1050" t="s">
        <v>1584</v>
      </c>
      <c r="E104" s="1121">
        <v>0.2</v>
      </c>
      <c r="F104" s="1136">
        <v>30</v>
      </c>
    </row>
    <row r="105" spans="1:6" s="1087" customFormat="1" ht="36">
      <c r="A105" s="1136">
        <v>45</v>
      </c>
      <c r="B105" s="3587" t="s">
        <v>1585</v>
      </c>
      <c r="C105" s="1136" t="s">
        <v>1586</v>
      </c>
      <c r="D105" s="1050" t="s">
        <v>1587</v>
      </c>
      <c r="E105" s="1121">
        <v>0.2</v>
      </c>
      <c r="F105" s="1136">
        <v>30</v>
      </c>
    </row>
    <row r="106" spans="1:6" s="1087" customFormat="1" ht="36">
      <c r="A106" s="1136">
        <v>46</v>
      </c>
      <c r="B106" s="3587"/>
      <c r="C106" s="1136" t="s">
        <v>1588</v>
      </c>
      <c r="D106" s="1050" t="s">
        <v>1589</v>
      </c>
      <c r="E106" s="1121">
        <v>0.2</v>
      </c>
      <c r="F106" s="1136">
        <v>30</v>
      </c>
    </row>
    <row r="107" spans="1:6" s="1087" customFormat="1" ht="36">
      <c r="A107" s="1136">
        <v>47</v>
      </c>
      <c r="B107" s="3587" t="s">
        <v>1590</v>
      </c>
      <c r="C107" s="1136" t="s">
        <v>1591</v>
      </c>
      <c r="D107" s="1050" t="s">
        <v>1592</v>
      </c>
      <c r="E107" s="1121">
        <v>0.3</v>
      </c>
      <c r="F107" s="1136">
        <v>50</v>
      </c>
    </row>
    <row r="108" spans="1:6" s="1087" customFormat="1" ht="36">
      <c r="A108" s="1136">
        <v>48</v>
      </c>
      <c r="B108" s="3587"/>
      <c r="C108" s="1136" t="s">
        <v>1593</v>
      </c>
      <c r="D108" s="1050" t="s">
        <v>1594</v>
      </c>
      <c r="E108" s="1121">
        <v>0.2</v>
      </c>
      <c r="F108" s="1136">
        <v>30</v>
      </c>
    </row>
    <row r="109" spans="1:6" s="1087" customFormat="1" ht="36">
      <c r="A109" s="1136">
        <v>49</v>
      </c>
      <c r="B109" s="1136" t="s">
        <v>1595</v>
      </c>
      <c r="C109" s="1136" t="s">
        <v>1596</v>
      </c>
      <c r="D109" s="1050" t="s">
        <v>1597</v>
      </c>
      <c r="E109" s="1121">
        <v>0.2</v>
      </c>
      <c r="F109" s="1136">
        <v>30</v>
      </c>
    </row>
    <row r="110" spans="1:6" s="1087" customFormat="1" ht="36">
      <c r="A110" s="1136">
        <v>50</v>
      </c>
      <c r="B110" s="1136" t="s">
        <v>1598</v>
      </c>
      <c r="C110" s="1136" t="s">
        <v>1599</v>
      </c>
      <c r="D110" s="1050" t="s">
        <v>1600</v>
      </c>
      <c r="E110" s="1121">
        <v>0.2</v>
      </c>
      <c r="F110" s="1136">
        <v>30</v>
      </c>
    </row>
    <row r="111" spans="1:6" s="1087" customFormat="1" ht="36">
      <c r="A111" s="1136">
        <v>51</v>
      </c>
      <c r="B111" s="3587" t="s">
        <v>1601</v>
      </c>
      <c r="C111" s="1136" t="s">
        <v>1602</v>
      </c>
      <c r="D111" s="1050" t="s">
        <v>1603</v>
      </c>
      <c r="E111" s="1121">
        <v>0.2</v>
      </c>
      <c r="F111" s="1136">
        <v>30</v>
      </c>
    </row>
    <row r="112" spans="1:6" s="1087" customFormat="1" ht="24">
      <c r="A112" s="1136">
        <v>52</v>
      </c>
      <c r="B112" s="3587"/>
      <c r="C112" s="1136" t="s">
        <v>1604</v>
      </c>
      <c r="D112" s="1050" t="s">
        <v>1605</v>
      </c>
      <c r="E112" s="1121">
        <v>0.2</v>
      </c>
      <c r="F112" s="1136">
        <v>30</v>
      </c>
    </row>
    <row r="113" spans="1:14" s="1087" customFormat="1" ht="24">
      <c r="A113" s="1136">
        <v>53</v>
      </c>
      <c r="B113" s="3587"/>
      <c r="C113" s="1136" t="s">
        <v>1606</v>
      </c>
      <c r="D113" s="1050" t="s">
        <v>1607</v>
      </c>
      <c r="E113" s="1121">
        <v>0.2</v>
      </c>
      <c r="F113" s="1136">
        <v>30</v>
      </c>
    </row>
    <row r="114" spans="1:14" ht="36">
      <c r="A114" s="1136">
        <v>54</v>
      </c>
      <c r="B114" s="1136" t="s">
        <v>1608</v>
      </c>
      <c r="C114" s="1136" t="s">
        <v>1609</v>
      </c>
      <c r="D114" s="1050" t="s">
        <v>1610</v>
      </c>
      <c r="E114" s="1121">
        <v>0.2</v>
      </c>
      <c r="F114" s="1136">
        <v>30</v>
      </c>
    </row>
    <row r="115" spans="1:14" ht="24">
      <c r="A115" s="1136">
        <v>55</v>
      </c>
      <c r="B115" s="1136" t="s">
        <v>1611</v>
      </c>
      <c r="C115" s="1136" t="s">
        <v>1612</v>
      </c>
      <c r="D115" s="1050" t="s">
        <v>1613</v>
      </c>
      <c r="E115" s="1121">
        <v>0.2</v>
      </c>
      <c r="F115" s="1136">
        <v>30</v>
      </c>
    </row>
    <row r="116" spans="1:14" ht="24">
      <c r="A116" s="1136">
        <v>56</v>
      </c>
      <c r="B116" s="3587" t="s">
        <v>1614</v>
      </c>
      <c r="C116" s="1136" t="s">
        <v>1615</v>
      </c>
      <c r="D116" s="1050" t="s">
        <v>1616</v>
      </c>
      <c r="E116" s="1121">
        <v>0.2</v>
      </c>
      <c r="F116" s="1136">
        <v>30</v>
      </c>
    </row>
    <row r="117" spans="1:14" ht="36">
      <c r="A117" s="1136">
        <v>57</v>
      </c>
      <c r="B117" s="3587"/>
      <c r="C117" s="1136" t="s">
        <v>1617</v>
      </c>
      <c r="D117" s="1050" t="s">
        <v>1618</v>
      </c>
      <c r="E117" s="1121">
        <v>0.2</v>
      </c>
      <c r="F117" s="1136">
        <v>30</v>
      </c>
    </row>
    <row r="118" spans="1:14" ht="36">
      <c r="A118" s="1136">
        <v>58</v>
      </c>
      <c r="B118" s="1136" t="s">
        <v>1619</v>
      </c>
      <c r="C118" s="1136" t="s">
        <v>1620</v>
      </c>
      <c r="D118" s="1050" t="s">
        <v>1621</v>
      </c>
      <c r="E118" s="1121">
        <v>0.2</v>
      </c>
      <c r="F118" s="1136">
        <v>30</v>
      </c>
    </row>
    <row r="119" spans="1:14" ht="13.5">
      <c r="A119" s="1136"/>
      <c r="B119" s="1136"/>
      <c r="C119" s="1136"/>
      <c r="D119" s="1136"/>
      <c r="E119" s="1121"/>
      <c r="F119" s="1136"/>
    </row>
    <row r="121" spans="1:14" ht="19.5" customHeight="1">
      <c r="A121" s="3586" t="s">
        <v>1623</v>
      </c>
      <c r="B121" s="3586"/>
      <c r="C121" s="3586"/>
      <c r="D121" s="3586"/>
      <c r="E121" s="3586"/>
      <c r="F121" s="3586"/>
      <c r="G121" s="3586"/>
      <c r="H121" s="3586"/>
      <c r="I121" s="3586"/>
      <c r="J121" s="3586"/>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601" t="s">
        <v>1029</v>
      </c>
      <c r="B1" s="3601"/>
      <c r="C1" s="3601"/>
      <c r="D1" s="3601"/>
      <c r="E1" s="3601"/>
      <c r="F1" s="3601"/>
      <c r="H1" s="1052"/>
      <c r="I1" s="1053" t="s">
        <v>1030</v>
      </c>
      <c r="J1" s="1054" t="s">
        <v>1031</v>
      </c>
      <c r="K1" s="1054" t="s">
        <v>1032</v>
      </c>
      <c r="L1" s="1054" t="s">
        <v>1033</v>
      </c>
      <c r="M1" s="1054" t="s">
        <v>1034</v>
      </c>
      <c r="N1" s="1054" t="s">
        <v>1035</v>
      </c>
      <c r="O1" s="1054" t="s">
        <v>1036</v>
      </c>
      <c r="P1" s="1054" t="s">
        <v>1037</v>
      </c>
      <c r="Q1" s="1054" t="s">
        <v>1038</v>
      </c>
      <c r="R1" s="1054" t="s">
        <v>1039</v>
      </c>
      <c r="S1" s="1054" t="s">
        <v>1040</v>
      </c>
      <c r="T1" s="1055" t="s">
        <v>1041</v>
      </c>
    </row>
    <row r="2" spans="1:20" ht="14.25" thickBot="1">
      <c r="A2" s="3602" t="s">
        <v>1042</v>
      </c>
      <c r="B2" s="3602"/>
      <c r="C2" s="3602"/>
      <c r="D2" s="3602"/>
      <c r="E2" s="3602"/>
      <c r="F2" s="3602"/>
      <c r="I2" s="1056" t="s">
        <v>1043</v>
      </c>
      <c r="J2" s="1057" t="s">
        <v>1044</v>
      </c>
      <c r="K2" s="1057" t="s">
        <v>1045</v>
      </c>
      <c r="L2" s="1057" t="s">
        <v>1046</v>
      </c>
      <c r="M2" s="1057" t="s">
        <v>1047</v>
      </c>
      <c r="N2" s="1057" t="s">
        <v>1048</v>
      </c>
      <c r="O2" s="1057" t="s">
        <v>1049</v>
      </c>
      <c r="P2" s="1057" t="s">
        <v>1050</v>
      </c>
      <c r="Q2" s="1057" t="s">
        <v>1051</v>
      </c>
      <c r="R2" s="1057" t="s">
        <v>1052</v>
      </c>
      <c r="S2" s="1057" t="s">
        <v>1053</v>
      </c>
      <c r="T2" s="1057" t="s">
        <v>1054</v>
      </c>
    </row>
    <row r="3" spans="1:20" s="1052" customFormat="1" ht="19.5" customHeight="1">
      <c r="A3" s="3603" t="s">
        <v>1055</v>
      </c>
      <c r="B3" s="1058"/>
      <c r="C3" s="1059" t="s">
        <v>1056</v>
      </c>
      <c r="D3" s="1059" t="s">
        <v>1057</v>
      </c>
      <c r="E3" s="1059" t="s">
        <v>1058</v>
      </c>
      <c r="F3" s="1059" t="s">
        <v>1059</v>
      </c>
      <c r="G3" s="1060"/>
      <c r="I3" s="1056" t="s">
        <v>1060</v>
      </c>
      <c r="J3" s="1057" t="s">
        <v>1061</v>
      </c>
      <c r="K3" s="1057" t="s">
        <v>1062</v>
      </c>
      <c r="L3" s="1057" t="s">
        <v>1063</v>
      </c>
      <c r="M3" s="1057" t="s">
        <v>1064</v>
      </c>
      <c r="N3" s="1057" t="s">
        <v>1065</v>
      </c>
      <c r="O3" s="1057" t="s">
        <v>1066</v>
      </c>
      <c r="P3" s="1057" t="s">
        <v>1067</v>
      </c>
      <c r="Q3" s="1057" t="s">
        <v>1068</v>
      </c>
      <c r="R3" s="1057" t="s">
        <v>1069</v>
      </c>
      <c r="S3" s="1057" t="s">
        <v>1070</v>
      </c>
      <c r="T3" s="1057" t="s">
        <v>1071</v>
      </c>
    </row>
    <row r="4" spans="1:20" s="1052" customFormat="1" ht="19.5" customHeight="1" thickBot="1">
      <c r="A4" s="3604"/>
      <c r="B4" s="1061" t="s">
        <v>1072</v>
      </c>
      <c r="C4" s="1061" t="s">
        <v>1073</v>
      </c>
      <c r="D4" s="1061" t="s">
        <v>1073</v>
      </c>
      <c r="E4" s="1061" t="s">
        <v>1073</v>
      </c>
      <c r="F4" s="1062" t="s">
        <v>1073</v>
      </c>
      <c r="G4" s="1060"/>
      <c r="I4" s="1056" t="s">
        <v>1074</v>
      </c>
      <c r="J4" s="1057" t="s">
        <v>1075</v>
      </c>
      <c r="K4" s="1057" t="s">
        <v>1076</v>
      </c>
      <c r="L4" s="1057" t="s">
        <v>1077</v>
      </c>
      <c r="M4" s="1057" t="s">
        <v>1078</v>
      </c>
      <c r="N4" s="1057" t="s">
        <v>1079</v>
      </c>
      <c r="O4" s="1057" t="s">
        <v>1080</v>
      </c>
      <c r="P4" s="1057" t="s">
        <v>1081</v>
      </c>
      <c r="Q4" s="1057" t="s">
        <v>1082</v>
      </c>
      <c r="R4" s="1057" t="s">
        <v>1083</v>
      </c>
      <c r="S4" s="1057" t="s">
        <v>1084</v>
      </c>
      <c r="T4" s="1057" t="s">
        <v>1085</v>
      </c>
    </row>
    <row r="5" spans="1:20" ht="14.25" customHeight="1" thickBot="1">
      <c r="A5" s="1063" t="s">
        <v>1086</v>
      </c>
      <c r="B5" s="1064" t="s">
        <v>1043</v>
      </c>
      <c r="C5" s="1064">
        <v>29530</v>
      </c>
      <c r="D5" s="1064">
        <v>28130</v>
      </c>
      <c r="E5" s="1064">
        <v>27930</v>
      </c>
      <c r="F5" s="1065">
        <v>11300</v>
      </c>
      <c r="G5" s="1066" t="s">
        <v>1030</v>
      </c>
      <c r="H5" s="1067">
        <f>SUMPRODUCT((B5:B9=基准地价!I2)*(C3:F3=基准地价!E2)*(C5:F9))</f>
        <v>0</v>
      </c>
      <c r="I5" s="1056" t="s">
        <v>1087</v>
      </c>
      <c r="J5" s="1057" t="s">
        <v>1088</v>
      </c>
      <c r="K5" s="1057" t="s">
        <v>1089</v>
      </c>
      <c r="L5" s="1057" t="s">
        <v>1090</v>
      </c>
      <c r="M5" s="1057" t="s">
        <v>1091</v>
      </c>
      <c r="N5" s="1057" t="s">
        <v>1092</v>
      </c>
      <c r="O5" s="1057" t="s">
        <v>1093</v>
      </c>
      <c r="P5" s="1057" t="s">
        <v>1094</v>
      </c>
      <c r="Q5" s="1057" t="s">
        <v>1095</v>
      </c>
      <c r="R5" s="1057" t="s">
        <v>1096</v>
      </c>
      <c r="S5" s="1057" t="s">
        <v>1097</v>
      </c>
      <c r="T5" s="1057" t="s">
        <v>1098</v>
      </c>
    </row>
    <row r="6" spans="1:20" ht="14.25" customHeight="1" thickBot="1">
      <c r="A6" s="1063" t="s">
        <v>1086</v>
      </c>
      <c r="B6" s="1057" t="s">
        <v>1099</v>
      </c>
      <c r="C6" s="1057">
        <v>30290</v>
      </c>
      <c r="D6" s="1057">
        <v>29210</v>
      </c>
      <c r="E6" s="1057">
        <v>28860</v>
      </c>
      <c r="F6" s="1068">
        <v>12600</v>
      </c>
      <c r="G6" s="1069" t="s">
        <v>1100</v>
      </c>
      <c r="H6" s="1070">
        <f>SUMPRODUCT((B10:B28=基准地价!I2)*(C3:F3=基准地价!E2)*(C10:F28))</f>
        <v>0</v>
      </c>
      <c r="I6" s="1056" t="s">
        <v>1101</v>
      </c>
      <c r="J6" s="1057" t="s">
        <v>1102</v>
      </c>
      <c r="K6" s="1057" t="s">
        <v>1103</v>
      </c>
      <c r="L6" s="1057" t="s">
        <v>1104</v>
      </c>
      <c r="M6" s="1057" t="s">
        <v>1105</v>
      </c>
      <c r="N6" s="1057" t="s">
        <v>1106</v>
      </c>
      <c r="O6" s="1057" t="s">
        <v>1107</v>
      </c>
      <c r="P6" s="1057" t="s">
        <v>1108</v>
      </c>
      <c r="Q6" s="1057" t="s">
        <v>1109</v>
      </c>
      <c r="R6" s="1057" t="s">
        <v>1110</v>
      </c>
      <c r="S6" s="1057" t="s">
        <v>1111</v>
      </c>
      <c r="T6" s="1057" t="s">
        <v>1112</v>
      </c>
    </row>
    <row r="7" spans="1:20" ht="14.25" customHeight="1" thickBot="1">
      <c r="A7" s="1063" t="s">
        <v>1086</v>
      </c>
      <c r="B7" s="1071" t="s">
        <v>1074</v>
      </c>
      <c r="C7" s="1057">
        <v>29350</v>
      </c>
      <c r="D7" s="1057">
        <v>28410</v>
      </c>
      <c r="E7" s="1057">
        <v>27990</v>
      </c>
      <c r="F7" s="1068">
        <v>12300</v>
      </c>
      <c r="G7" s="1069" t="s">
        <v>899</v>
      </c>
      <c r="H7" s="1070">
        <f>SUMPRODUCT((B29:B48=基准地价!I2)*(C3:F3=基准地价!E2)*(C29:F48))</f>
        <v>0</v>
      </c>
      <c r="J7" s="1057" t="s">
        <v>1113</v>
      </c>
      <c r="K7" s="1057" t="s">
        <v>1114</v>
      </c>
      <c r="L7" s="1057" t="s">
        <v>1115</v>
      </c>
      <c r="M7" s="1057" t="s">
        <v>1116</v>
      </c>
      <c r="N7" s="1057" t="s">
        <v>1117</v>
      </c>
      <c r="O7" s="1057" t="s">
        <v>1118</v>
      </c>
      <c r="P7" s="1057" t="s">
        <v>1119</v>
      </c>
      <c r="Q7" s="1057" t="s">
        <v>1120</v>
      </c>
      <c r="R7" s="1057" t="s">
        <v>1121</v>
      </c>
      <c r="S7" s="1057" t="s">
        <v>1122</v>
      </c>
      <c r="T7" s="1071" t="s">
        <v>1123</v>
      </c>
    </row>
    <row r="8" spans="1:20" ht="14.25" customHeight="1" thickBot="1">
      <c r="A8" s="1063" t="s">
        <v>1086</v>
      </c>
      <c r="B8" s="1057" t="s">
        <v>1087</v>
      </c>
      <c r="C8" s="1057">
        <v>30890</v>
      </c>
      <c r="D8" s="1057">
        <v>29780</v>
      </c>
      <c r="E8" s="1057">
        <v>29270</v>
      </c>
      <c r="F8" s="1068">
        <v>11600</v>
      </c>
      <c r="G8" s="1069" t="s">
        <v>900</v>
      </c>
      <c r="H8" s="1070">
        <f>SUMPRODUCT((B49:B75=基准地价!I2)*(C3:F3=基准地价!E2)*(C49:F75))</f>
        <v>0</v>
      </c>
      <c r="J8" s="1057" t="s">
        <v>1124</v>
      </c>
      <c r="K8" s="1057" t="s">
        <v>1125</v>
      </c>
      <c r="L8" s="1057" t="s">
        <v>1126</v>
      </c>
      <c r="M8" s="1057" t="s">
        <v>1127</v>
      </c>
      <c r="N8" s="1057" t="s">
        <v>1128</v>
      </c>
      <c r="O8" s="1057" t="s">
        <v>1129</v>
      </c>
      <c r="P8" s="1057" t="s">
        <v>1130</v>
      </c>
      <c r="Q8" s="1057" t="s">
        <v>1131</v>
      </c>
      <c r="R8" s="1057" t="s">
        <v>1132</v>
      </c>
      <c r="S8" s="1057" t="s">
        <v>1133</v>
      </c>
      <c r="T8" s="1057" t="s">
        <v>1134</v>
      </c>
    </row>
    <row r="9" spans="1:20" ht="14.25" customHeight="1" thickBot="1">
      <c r="A9" s="1063" t="s">
        <v>1086</v>
      </c>
      <c r="B9" s="1072" t="s">
        <v>1101</v>
      </c>
      <c r="C9" s="1073">
        <v>28140</v>
      </c>
      <c r="D9" s="1073"/>
      <c r="E9" s="1073"/>
      <c r="F9" s="1074"/>
      <c r="G9" s="1069" t="s">
        <v>901</v>
      </c>
      <c r="H9" s="1070">
        <f>SUMPRODUCT((B76:B109=基准地价!I2)*(C3:F3=基准地价!E2)*(C76:F109))</f>
        <v>0</v>
      </c>
      <c r="J9" s="1057" t="s">
        <v>1135</v>
      </c>
      <c r="K9" s="1057" t="s">
        <v>1136</v>
      </c>
      <c r="L9" s="1057" t="s">
        <v>1137</v>
      </c>
      <c r="M9" s="1057" t="s">
        <v>1138</v>
      </c>
      <c r="N9" s="1057" t="s">
        <v>1139</v>
      </c>
      <c r="O9" s="1057" t="s">
        <v>1140</v>
      </c>
      <c r="P9" s="1057" t="s">
        <v>1141</v>
      </c>
      <c r="Q9" s="1057" t="s">
        <v>1142</v>
      </c>
      <c r="R9" s="1057" t="s">
        <v>1143</v>
      </c>
      <c r="S9" s="1057" t="s">
        <v>1144</v>
      </c>
    </row>
    <row r="10" spans="1:20" ht="14.25" customHeight="1" thickBot="1">
      <c r="A10" s="1063" t="s">
        <v>1145</v>
      </c>
      <c r="B10" s="1064" t="s">
        <v>1146</v>
      </c>
      <c r="C10" s="1064">
        <v>27450</v>
      </c>
      <c r="D10" s="1064">
        <v>26180</v>
      </c>
      <c r="E10" s="1064">
        <v>25980</v>
      </c>
      <c r="F10" s="1065">
        <v>8910</v>
      </c>
      <c r="G10" s="1069" t="s">
        <v>902</v>
      </c>
      <c r="H10" s="1070">
        <f>SUMPRODUCT((B110:B157=基准地价!I2)*(C3:F3=基准地价!E2)*(C110:F157))</f>
        <v>0</v>
      </c>
      <c r="J10" s="1057" t="s">
        <v>1147</v>
      </c>
      <c r="K10" s="1057" t="s">
        <v>1148</v>
      </c>
      <c r="L10" s="1057" t="s">
        <v>1149</v>
      </c>
      <c r="M10" s="1057" t="s">
        <v>1150</v>
      </c>
      <c r="N10" s="1057" t="s">
        <v>1151</v>
      </c>
      <c r="O10" s="1057" t="s">
        <v>1152</v>
      </c>
      <c r="P10" s="1057" t="s">
        <v>1153</v>
      </c>
      <c r="Q10" s="1057" t="s">
        <v>1154</v>
      </c>
      <c r="R10" s="1057" t="s">
        <v>1155</v>
      </c>
      <c r="S10" s="1057" t="s">
        <v>1156</v>
      </c>
    </row>
    <row r="11" spans="1:20" ht="14.25" customHeight="1" thickBot="1">
      <c r="A11" s="1063" t="s">
        <v>1145</v>
      </c>
      <c r="B11" s="1071" t="s">
        <v>1061</v>
      </c>
      <c r="C11" s="1057">
        <v>22950</v>
      </c>
      <c r="D11" s="1057">
        <v>22630</v>
      </c>
      <c r="E11" s="1057">
        <v>22030</v>
      </c>
      <c r="F11" s="1075">
        <v>8330</v>
      </c>
      <c r="G11" s="1069" t="s">
        <v>903</v>
      </c>
      <c r="H11" s="1070">
        <f>SUMPRODUCT((B158:B205=基准地价!I2)*(C3:F3=基准地价!E2)*(C158:F205))</f>
        <v>0</v>
      </c>
      <c r="J11" s="1057" t="s">
        <v>1157</v>
      </c>
      <c r="K11" s="1057" t="s">
        <v>1158</v>
      </c>
      <c r="L11" s="1057" t="s">
        <v>1159</v>
      </c>
      <c r="M11" s="1057" t="s">
        <v>1160</v>
      </c>
      <c r="N11" s="1057" t="s">
        <v>1161</v>
      </c>
      <c r="O11" s="1057" t="s">
        <v>1162</v>
      </c>
      <c r="P11" s="1057" t="s">
        <v>1163</v>
      </c>
      <c r="Q11" s="1057" t="s">
        <v>1164</v>
      </c>
      <c r="R11" s="1057" t="s">
        <v>1165</v>
      </c>
      <c r="S11" s="1057" t="s">
        <v>1166</v>
      </c>
    </row>
    <row r="12" spans="1:20" ht="14.25" customHeight="1" thickBot="1">
      <c r="A12" s="1063" t="s">
        <v>1145</v>
      </c>
      <c r="B12" s="1071" t="s">
        <v>1075</v>
      </c>
      <c r="C12" s="1057">
        <v>24940</v>
      </c>
      <c r="D12" s="1057">
        <v>23180</v>
      </c>
      <c r="E12" s="1057">
        <v>22910</v>
      </c>
      <c r="F12" s="1075">
        <v>7180</v>
      </c>
      <c r="G12" s="1069" t="s">
        <v>904</v>
      </c>
      <c r="H12" s="1070">
        <f>SUMPRODUCT((B206:B244=基准地价!I2)*(C3:F3=基准地价!E2)*(C206:F244))</f>
        <v>0</v>
      </c>
      <c r="J12" s="1057" t="s">
        <v>1167</v>
      </c>
      <c r="K12" s="1057" t="s">
        <v>1168</v>
      </c>
      <c r="L12" s="1057" t="s">
        <v>1169</v>
      </c>
      <c r="M12" s="1057" t="s">
        <v>1170</v>
      </c>
      <c r="N12" s="1057" t="s">
        <v>1171</v>
      </c>
      <c r="O12" s="1057" t="s">
        <v>1172</v>
      </c>
      <c r="P12" s="1057" t="s">
        <v>1173</v>
      </c>
      <c r="Q12" s="1057" t="s">
        <v>1174</v>
      </c>
      <c r="R12" s="1057" t="s">
        <v>1175</v>
      </c>
      <c r="S12" s="1057" t="s">
        <v>1176</v>
      </c>
    </row>
    <row r="13" spans="1:20" ht="14.25" customHeight="1" thickBot="1">
      <c r="A13" s="1063" t="s">
        <v>1145</v>
      </c>
      <c r="B13" s="1071" t="s">
        <v>1088</v>
      </c>
      <c r="C13" s="1057">
        <v>24140</v>
      </c>
      <c r="D13" s="1057">
        <v>22270</v>
      </c>
      <c r="E13" s="1057">
        <v>21950</v>
      </c>
      <c r="F13" s="1075">
        <v>7600</v>
      </c>
      <c r="G13" s="1069" t="s">
        <v>905</v>
      </c>
      <c r="H13" s="1070">
        <f>SUMPRODUCT((B245:B289=基准地价!I2)*(C3:F3=基准地价!E2)*(C245:F289))</f>
        <v>0</v>
      </c>
      <c r="J13" s="1057" t="s">
        <v>1177</v>
      </c>
      <c r="K13" s="1057" t="s">
        <v>1178</v>
      </c>
      <c r="L13" s="1057" t="s">
        <v>1179</v>
      </c>
      <c r="M13" s="1057" t="s">
        <v>1180</v>
      </c>
      <c r="N13" s="1057" t="s">
        <v>1181</v>
      </c>
      <c r="O13" s="1057" t="s">
        <v>1182</v>
      </c>
      <c r="P13" s="1057" t="s">
        <v>1183</v>
      </c>
      <c r="Q13" s="1057" t="s">
        <v>1184</v>
      </c>
      <c r="R13" s="1057" t="s">
        <v>1185</v>
      </c>
      <c r="S13" s="1057" t="s">
        <v>1186</v>
      </c>
    </row>
    <row r="14" spans="1:20" ht="14.25" customHeight="1" thickBot="1">
      <c r="A14" s="1063" t="s">
        <v>1145</v>
      </c>
      <c r="B14" s="1071" t="s">
        <v>1102</v>
      </c>
      <c r="C14" s="1057">
        <v>25600</v>
      </c>
      <c r="D14" s="1057">
        <v>22260</v>
      </c>
      <c r="E14" s="1057">
        <v>22110</v>
      </c>
      <c r="F14" s="1075">
        <v>7630</v>
      </c>
      <c r="G14" s="1069" t="s">
        <v>906</v>
      </c>
      <c r="H14" s="1070">
        <f>SUMPRODUCT((B290:B316=基准地价!I2)*(C3:F3=基准地价!E2)*(C290:F316))</f>
        <v>0</v>
      </c>
      <c r="J14" s="1057" t="s">
        <v>1187</v>
      </c>
      <c r="K14" s="1057" t="s">
        <v>1188</v>
      </c>
      <c r="L14" s="1057" t="s">
        <v>1189</v>
      </c>
      <c r="M14" s="1057" t="s">
        <v>1190</v>
      </c>
      <c r="N14" s="1057" t="s">
        <v>1191</v>
      </c>
      <c r="O14" s="1057" t="s">
        <v>1192</v>
      </c>
      <c r="P14" s="1057" t="s">
        <v>1193</v>
      </c>
      <c r="Q14" s="1057" t="s">
        <v>1194</v>
      </c>
      <c r="R14" s="1057" t="s">
        <v>1195</v>
      </c>
      <c r="S14" s="1057" t="s">
        <v>1196</v>
      </c>
    </row>
    <row r="15" spans="1:20" ht="14.25" customHeight="1" thickBot="1">
      <c r="A15" s="1063" t="s">
        <v>1145</v>
      </c>
      <c r="B15" s="1071" t="s">
        <v>1113</v>
      </c>
      <c r="C15" s="1057">
        <v>24760</v>
      </c>
      <c r="D15" s="1057">
        <v>24440</v>
      </c>
      <c r="E15" s="1057">
        <v>24130</v>
      </c>
      <c r="F15" s="1075">
        <v>9480</v>
      </c>
      <c r="G15" s="1069" t="s">
        <v>907</v>
      </c>
      <c r="H15" s="1070">
        <f>SUMPRODUCT((B317:B337=基准地价!I2)*(C3:F3=基准地价!E2)*(C317:F337))</f>
        <v>0</v>
      </c>
      <c r="J15" s="1057" t="s">
        <v>1197</v>
      </c>
      <c r="K15" s="1057" t="s">
        <v>1198</v>
      </c>
      <c r="L15" s="1057" t="s">
        <v>1199</v>
      </c>
      <c r="M15" s="1057" t="s">
        <v>1200</v>
      </c>
      <c r="N15" s="1057" t="s">
        <v>1201</v>
      </c>
      <c r="O15" s="1057" t="s">
        <v>1202</v>
      </c>
      <c r="P15" s="1057" t="s">
        <v>1203</v>
      </c>
      <c r="Q15" s="1057" t="s">
        <v>1204</v>
      </c>
      <c r="R15" s="1057" t="s">
        <v>1205</v>
      </c>
      <c r="S15" s="1057" t="s">
        <v>1206</v>
      </c>
    </row>
    <row r="16" spans="1:20" ht="14.25" customHeight="1" thickBot="1">
      <c r="A16" s="1063" t="s">
        <v>1145</v>
      </c>
      <c r="B16" s="1071" t="s">
        <v>1124</v>
      </c>
      <c r="C16" s="1057">
        <v>22220</v>
      </c>
      <c r="D16" s="1057">
        <v>22310</v>
      </c>
      <c r="E16" s="1057">
        <v>22000</v>
      </c>
      <c r="F16" s="1075">
        <v>8900</v>
      </c>
      <c r="G16" s="1076" t="s">
        <v>908</v>
      </c>
      <c r="H16" s="1077">
        <f>SUMPRODUCT((B338:B344=基准地价!I2)*(C3:F3=基准地价!E2)*(C338:F344))</f>
        <v>0</v>
      </c>
      <c r="J16" s="1057" t="s">
        <v>1207</v>
      </c>
      <c r="K16" s="1057" t="s">
        <v>1208</v>
      </c>
      <c r="L16" s="1057" t="s">
        <v>1209</v>
      </c>
      <c r="M16" s="1057" t="s">
        <v>1210</v>
      </c>
      <c r="N16" s="1057" t="s">
        <v>1211</v>
      </c>
      <c r="O16" s="1057" t="s">
        <v>1212</v>
      </c>
      <c r="P16" s="1057" t="s">
        <v>1213</v>
      </c>
      <c r="Q16" s="1057" t="s">
        <v>1214</v>
      </c>
      <c r="R16" s="1057" t="s">
        <v>1215</v>
      </c>
      <c r="S16" s="1057" t="s">
        <v>1216</v>
      </c>
    </row>
    <row r="17" spans="1:19" ht="14.25" customHeight="1" thickBot="1">
      <c r="A17" s="1063" t="s">
        <v>1145</v>
      </c>
      <c r="B17" s="1071" t="s">
        <v>1135</v>
      </c>
      <c r="C17" s="1057">
        <v>24700</v>
      </c>
      <c r="D17" s="1057">
        <v>25150</v>
      </c>
      <c r="E17" s="1057">
        <v>24700</v>
      </c>
      <c r="F17" s="1078"/>
      <c r="H17" s="1079"/>
      <c r="J17" s="1057" t="s">
        <v>1217</v>
      </c>
      <c r="K17" s="1057" t="s">
        <v>1218</v>
      </c>
      <c r="L17" s="1057" t="s">
        <v>1219</v>
      </c>
      <c r="M17" s="1057" t="s">
        <v>1220</v>
      </c>
      <c r="N17" s="1057" t="s">
        <v>1221</v>
      </c>
      <c r="O17" s="1057" t="s">
        <v>1222</v>
      </c>
      <c r="P17" s="1057" t="s">
        <v>1223</v>
      </c>
      <c r="Q17" s="1057" t="s">
        <v>1224</v>
      </c>
      <c r="R17" s="1057" t="s">
        <v>1225</v>
      </c>
      <c r="S17" s="1057" t="s">
        <v>1226</v>
      </c>
    </row>
    <row r="18" spans="1:19" ht="14.25" customHeight="1" thickBot="1">
      <c r="A18" s="1063" t="s">
        <v>1145</v>
      </c>
      <c r="B18" s="1071" t="s">
        <v>1147</v>
      </c>
      <c r="C18" s="1057">
        <v>22350</v>
      </c>
      <c r="D18" s="1057">
        <v>24340</v>
      </c>
      <c r="E18" s="1057">
        <v>24100</v>
      </c>
      <c r="F18" s="1078"/>
      <c r="H18" s="1079"/>
      <c r="J18" s="1057" t="s">
        <v>1227</v>
      </c>
      <c r="K18" s="1057" t="s">
        <v>1228</v>
      </c>
      <c r="L18" s="1057" t="s">
        <v>1229</v>
      </c>
      <c r="M18" s="1057" t="s">
        <v>1230</v>
      </c>
      <c r="N18" s="1057" t="s">
        <v>1231</v>
      </c>
      <c r="O18" s="1057" t="s">
        <v>1232</v>
      </c>
      <c r="P18" s="1057" t="s">
        <v>1233</v>
      </c>
      <c r="Q18" s="1057" t="s">
        <v>1234</v>
      </c>
      <c r="R18" s="1057" t="s">
        <v>1235</v>
      </c>
      <c r="S18" s="1057" t="s">
        <v>1236</v>
      </c>
    </row>
    <row r="19" spans="1:19" ht="14.25" customHeight="1" thickBot="1">
      <c r="A19" s="1063" t="s">
        <v>1145</v>
      </c>
      <c r="B19" s="1071" t="s">
        <v>1157</v>
      </c>
      <c r="C19" s="1057">
        <v>23430</v>
      </c>
      <c r="D19" s="1057">
        <v>21580</v>
      </c>
      <c r="E19" s="1057">
        <v>21350</v>
      </c>
      <c r="F19" s="1078"/>
      <c r="H19" s="1079"/>
      <c r="J19" s="1057" t="s">
        <v>1237</v>
      </c>
      <c r="K19" s="1057" t="s">
        <v>1238</v>
      </c>
      <c r="L19" s="1057" t="s">
        <v>1239</v>
      </c>
      <c r="M19" s="1057" t="s">
        <v>1240</v>
      </c>
      <c r="N19" s="1057" t="s">
        <v>1241</v>
      </c>
      <c r="O19" s="1057" t="s">
        <v>1242</v>
      </c>
      <c r="P19" s="1057" t="s">
        <v>1243</v>
      </c>
      <c r="Q19" s="1057" t="s">
        <v>1244</v>
      </c>
      <c r="R19" s="1057" t="s">
        <v>1245</v>
      </c>
      <c r="S19" s="1057" t="s">
        <v>1246</v>
      </c>
    </row>
    <row r="20" spans="1:19" ht="14.25" customHeight="1" thickBot="1">
      <c r="A20" s="1063" t="s">
        <v>1145</v>
      </c>
      <c r="B20" s="1071" t="s">
        <v>1167</v>
      </c>
      <c r="C20" s="1057">
        <v>27660</v>
      </c>
      <c r="D20" s="1057">
        <v>24240</v>
      </c>
      <c r="E20" s="1057">
        <v>24020</v>
      </c>
      <c r="F20" s="1078"/>
      <c r="J20" s="1057" t="s">
        <v>1247</v>
      </c>
      <c r="K20" s="1057" t="s">
        <v>1248</v>
      </c>
      <c r="L20" s="1057" t="s">
        <v>1249</v>
      </c>
      <c r="M20" s="1057" t="s">
        <v>1250</v>
      </c>
      <c r="N20" s="1057" t="s">
        <v>1251</v>
      </c>
      <c r="O20" s="1057" t="s">
        <v>1252</v>
      </c>
      <c r="P20" s="1057" t="s">
        <v>1253</v>
      </c>
      <c r="Q20" s="1057" t="s">
        <v>1254</v>
      </c>
      <c r="R20" s="1057" t="s">
        <v>1255</v>
      </c>
      <c r="S20" s="1057" t="s">
        <v>1256</v>
      </c>
    </row>
    <row r="21" spans="1:19" ht="14.25" customHeight="1" thickBot="1">
      <c r="A21" s="1063" t="s">
        <v>1145</v>
      </c>
      <c r="B21" s="1071" t="s">
        <v>1177</v>
      </c>
      <c r="C21" s="1057">
        <v>24720</v>
      </c>
      <c r="D21" s="1057">
        <v>21670</v>
      </c>
      <c r="E21" s="1057">
        <v>21510</v>
      </c>
      <c r="F21" s="1078"/>
      <c r="K21" s="1057" t="s">
        <v>1257</v>
      </c>
      <c r="L21" s="1057" t="s">
        <v>1258</v>
      </c>
      <c r="M21" s="1057" t="s">
        <v>1259</v>
      </c>
      <c r="N21" s="1057" t="s">
        <v>1260</v>
      </c>
      <c r="O21" s="1057" t="s">
        <v>1261</v>
      </c>
      <c r="P21" s="1057" t="s">
        <v>1262</v>
      </c>
      <c r="Q21" s="1057" t="s">
        <v>1263</v>
      </c>
      <c r="R21" s="1057" t="s">
        <v>1264</v>
      </c>
      <c r="S21" s="1057" t="s">
        <v>1265</v>
      </c>
    </row>
    <row r="22" spans="1:19" ht="14.25" customHeight="1" thickBot="1">
      <c r="A22" s="1063" t="s">
        <v>1145</v>
      </c>
      <c r="B22" s="1071" t="s">
        <v>1266</v>
      </c>
      <c r="C22" s="1057">
        <v>26530</v>
      </c>
      <c r="D22" s="1057">
        <v>22980</v>
      </c>
      <c r="E22" s="1057">
        <v>22650</v>
      </c>
      <c r="F22" s="1078"/>
      <c r="L22" s="1057" t="s">
        <v>1267</v>
      </c>
      <c r="M22" s="1057" t="s">
        <v>1268</v>
      </c>
      <c r="N22" s="1057" t="s">
        <v>1269</v>
      </c>
      <c r="O22" s="1057" t="s">
        <v>1270</v>
      </c>
      <c r="P22" s="1057" t="s">
        <v>1271</v>
      </c>
      <c r="Q22" s="1057" t="s">
        <v>1272</v>
      </c>
      <c r="R22" s="1057" t="s">
        <v>1273</v>
      </c>
      <c r="S22" s="1071" t="s">
        <v>1274</v>
      </c>
    </row>
    <row r="23" spans="1:19" ht="14.25" customHeight="1" thickBot="1">
      <c r="A23" s="1063" t="s">
        <v>1145</v>
      </c>
      <c r="B23" s="1071" t="s">
        <v>1197</v>
      </c>
      <c r="C23" s="1057">
        <v>24700</v>
      </c>
      <c r="D23" s="1057">
        <v>27290</v>
      </c>
      <c r="E23" s="1057">
        <v>26710</v>
      </c>
      <c r="F23" s="1078"/>
      <c r="L23" s="1057" t="s">
        <v>1275</v>
      </c>
      <c r="M23" s="1057" t="s">
        <v>1276</v>
      </c>
      <c r="N23" s="1057" t="s">
        <v>1277</v>
      </c>
      <c r="O23" s="1057" t="s">
        <v>1278</v>
      </c>
      <c r="P23" s="1057" t="s">
        <v>1279</v>
      </c>
      <c r="Q23" s="1057" t="s">
        <v>1280</v>
      </c>
      <c r="R23" s="1057" t="s">
        <v>1281</v>
      </c>
    </row>
    <row r="24" spans="1:19" ht="14.25" customHeight="1" thickBot="1">
      <c r="A24" s="1063" t="s">
        <v>1145</v>
      </c>
      <c r="B24" s="1071" t="s">
        <v>1207</v>
      </c>
      <c r="C24" s="1057">
        <v>23070</v>
      </c>
      <c r="D24" s="1057">
        <v>24130</v>
      </c>
      <c r="E24" s="1057">
        <v>23860</v>
      </c>
      <c r="F24" s="1078"/>
      <c r="L24" s="1057" t="s">
        <v>1282</v>
      </c>
      <c r="M24" s="1057" t="s">
        <v>1283</v>
      </c>
      <c r="N24" s="1057" t="s">
        <v>1284</v>
      </c>
      <c r="O24" s="1057" t="s">
        <v>1285</v>
      </c>
      <c r="P24" s="1057" t="s">
        <v>1286</v>
      </c>
      <c r="Q24" s="1057" t="s">
        <v>1287</v>
      </c>
      <c r="R24" s="1057" t="s">
        <v>1288</v>
      </c>
    </row>
    <row r="25" spans="1:19" ht="14.25" customHeight="1" thickBot="1">
      <c r="A25" s="1063" t="s">
        <v>1145</v>
      </c>
      <c r="B25" s="1071" t="s">
        <v>1217</v>
      </c>
      <c r="C25" s="1057">
        <v>27550</v>
      </c>
      <c r="D25" s="1057">
        <v>25850</v>
      </c>
      <c r="E25" s="1057">
        <v>25340</v>
      </c>
      <c r="F25" s="1078"/>
      <c r="L25" s="1057" t="s">
        <v>1289</v>
      </c>
      <c r="M25" s="1057" t="s">
        <v>1290</v>
      </c>
      <c r="N25" s="1057" t="s">
        <v>1291</v>
      </c>
      <c r="O25" s="1057" t="s">
        <v>1292</v>
      </c>
      <c r="P25" s="1057" t="s">
        <v>1293</v>
      </c>
      <c r="Q25" s="1057" t="s">
        <v>1294</v>
      </c>
      <c r="R25" s="1057" t="s">
        <v>1295</v>
      </c>
    </row>
    <row r="26" spans="1:19" ht="14.25" customHeight="1" thickBot="1">
      <c r="A26" s="1063" t="s">
        <v>1145</v>
      </c>
      <c r="B26" s="1071" t="s">
        <v>1227</v>
      </c>
      <c r="C26" s="1057"/>
      <c r="D26" s="1057">
        <v>23900</v>
      </c>
      <c r="E26" s="1057">
        <v>23590</v>
      </c>
      <c r="F26" s="1078"/>
      <c r="L26" s="1057" t="s">
        <v>1296</v>
      </c>
      <c r="M26" s="1057" t="s">
        <v>1297</v>
      </c>
      <c r="N26" s="1057" t="s">
        <v>1298</v>
      </c>
      <c r="O26" s="1057" t="s">
        <v>1299</v>
      </c>
      <c r="P26" s="1057" t="s">
        <v>1300</v>
      </c>
      <c r="Q26" s="1057" t="s">
        <v>1301</v>
      </c>
      <c r="R26" s="1057" t="s">
        <v>1302</v>
      </c>
    </row>
    <row r="27" spans="1:19" ht="14.25" customHeight="1" thickBot="1">
      <c r="A27" s="1063" t="s">
        <v>1145</v>
      </c>
      <c r="B27" s="1071" t="s">
        <v>1237</v>
      </c>
      <c r="C27" s="1057"/>
      <c r="D27" s="1057">
        <v>22850</v>
      </c>
      <c r="E27" s="1057">
        <v>21920</v>
      </c>
      <c r="F27" s="1078"/>
      <c r="L27" s="1057" t="s">
        <v>1303</v>
      </c>
      <c r="M27" s="1057" t="s">
        <v>1304</v>
      </c>
      <c r="N27" s="1057" t="s">
        <v>1305</v>
      </c>
      <c r="O27" s="1057" t="s">
        <v>1306</v>
      </c>
      <c r="P27" s="1057" t="s">
        <v>1307</v>
      </c>
      <c r="Q27" s="1057" t="s">
        <v>1308</v>
      </c>
      <c r="R27" s="1057" t="s">
        <v>1309</v>
      </c>
    </row>
    <row r="28" spans="1:19" ht="14.25" customHeight="1" thickBot="1">
      <c r="A28" s="1080" t="s">
        <v>1145</v>
      </c>
      <c r="B28" s="1072" t="s">
        <v>1247</v>
      </c>
      <c r="C28" s="1073"/>
      <c r="D28" s="1073">
        <v>26610</v>
      </c>
      <c r="E28" s="1073">
        <v>26370</v>
      </c>
      <c r="F28" s="1074"/>
      <c r="L28" s="1057" t="s">
        <v>1310</v>
      </c>
      <c r="M28" s="1057" t="s">
        <v>1311</v>
      </c>
      <c r="N28" s="1057" t="s">
        <v>1312</v>
      </c>
      <c r="O28" s="1057" t="s">
        <v>1313</v>
      </c>
      <c r="P28" s="1057" t="s">
        <v>1314</v>
      </c>
      <c r="Q28" s="1057" t="s">
        <v>1315</v>
      </c>
    </row>
    <row r="29" spans="1:19" ht="14.25" customHeight="1" thickBot="1">
      <c r="A29" s="1063" t="s">
        <v>1316</v>
      </c>
      <c r="B29" s="1064" t="s">
        <v>1317</v>
      </c>
      <c r="C29" s="1064">
        <v>22090</v>
      </c>
      <c r="D29" s="1064">
        <v>21860</v>
      </c>
      <c r="E29" s="1064">
        <v>19380</v>
      </c>
      <c r="F29" s="1065">
        <v>6610</v>
      </c>
      <c r="M29" s="1057" t="s">
        <v>1318</v>
      </c>
      <c r="N29" s="1057" t="s">
        <v>1319</v>
      </c>
      <c r="O29" s="1057" t="s">
        <v>1320</v>
      </c>
      <c r="P29" s="1057" t="s">
        <v>1321</v>
      </c>
      <c r="Q29" s="1057" t="s">
        <v>1322</v>
      </c>
    </row>
    <row r="30" spans="1:19" ht="14.25" customHeight="1" thickBot="1">
      <c r="A30" s="1063" t="s">
        <v>1316</v>
      </c>
      <c r="B30" s="1071" t="s">
        <v>1062</v>
      </c>
      <c r="C30" s="1057">
        <v>21380</v>
      </c>
      <c r="D30" s="1057">
        <v>19930</v>
      </c>
      <c r="E30" s="1057">
        <v>19860</v>
      </c>
      <c r="F30" s="1075">
        <v>6010</v>
      </c>
      <c r="H30" s="1079"/>
      <c r="M30" s="1057" t="s">
        <v>1323</v>
      </c>
      <c r="N30" s="1057" t="s">
        <v>1324</v>
      </c>
      <c r="O30" s="1057" t="s">
        <v>1325</v>
      </c>
      <c r="P30" s="1057" t="s">
        <v>2406</v>
      </c>
      <c r="Q30" s="1057" t="s">
        <v>1326</v>
      </c>
    </row>
    <row r="31" spans="1:19" ht="14.25" customHeight="1" thickBot="1">
      <c r="A31" s="1063" t="s">
        <v>1316</v>
      </c>
      <c r="B31" s="1071" t="s">
        <v>1076</v>
      </c>
      <c r="C31" s="1057">
        <v>21670</v>
      </c>
      <c r="D31" s="1057">
        <v>20660</v>
      </c>
      <c r="E31" s="1057">
        <v>20290</v>
      </c>
      <c r="F31" s="1075">
        <v>5840</v>
      </c>
      <c r="H31" s="1079"/>
      <c r="M31" s="1057" t="s">
        <v>1327</v>
      </c>
      <c r="N31" s="1057" t="s">
        <v>1328</v>
      </c>
      <c r="O31" s="1057" t="s">
        <v>1329</v>
      </c>
      <c r="P31" s="1057" t="s">
        <v>1330</v>
      </c>
      <c r="Q31" s="1057" t="s">
        <v>1331</v>
      </c>
    </row>
    <row r="32" spans="1:19" ht="14.25" customHeight="1" thickBot="1">
      <c r="A32" s="1063" t="s">
        <v>1316</v>
      </c>
      <c r="B32" s="1071" t="s">
        <v>1089</v>
      </c>
      <c r="C32" s="1057">
        <v>22280</v>
      </c>
      <c r="D32" s="1057">
        <v>21800</v>
      </c>
      <c r="E32" s="1057">
        <v>17650</v>
      </c>
      <c r="F32" s="1075">
        <v>4690</v>
      </c>
      <c r="H32" s="1079"/>
      <c r="M32" s="1057" t="s">
        <v>1332</v>
      </c>
      <c r="N32" s="1057" t="s">
        <v>1333</v>
      </c>
      <c r="O32" s="1057" t="s">
        <v>1334</v>
      </c>
      <c r="P32" s="1057" t="s">
        <v>1335</v>
      </c>
      <c r="Q32" s="1057" t="s">
        <v>1336</v>
      </c>
    </row>
    <row r="33" spans="1:17" ht="14.25" customHeight="1" thickBot="1">
      <c r="A33" s="1063" t="s">
        <v>1316</v>
      </c>
      <c r="B33" s="1071" t="s">
        <v>1103</v>
      </c>
      <c r="C33" s="1057">
        <v>22130</v>
      </c>
      <c r="D33" s="1057">
        <v>20460</v>
      </c>
      <c r="E33" s="1057">
        <v>18500</v>
      </c>
      <c r="F33" s="1075">
        <v>5340</v>
      </c>
      <c r="H33" s="1079"/>
      <c r="M33" s="1057" t="s">
        <v>1337</v>
      </c>
      <c r="N33" s="1057" t="s">
        <v>1338</v>
      </c>
      <c r="O33" s="1057" t="s">
        <v>1339</v>
      </c>
      <c r="P33" s="1057" t="s">
        <v>1340</v>
      </c>
      <c r="Q33" s="1057" t="s">
        <v>1341</v>
      </c>
    </row>
    <row r="34" spans="1:17" ht="14.25" customHeight="1" thickBot="1">
      <c r="A34" s="1063" t="s">
        <v>1316</v>
      </c>
      <c r="B34" s="1071" t="s">
        <v>1114</v>
      </c>
      <c r="C34" s="1057">
        <v>22070</v>
      </c>
      <c r="D34" s="1057">
        <v>20110</v>
      </c>
      <c r="E34" s="1057">
        <v>18830</v>
      </c>
      <c r="F34" s="1075">
        <v>5190</v>
      </c>
      <c r="H34" s="1079"/>
      <c r="M34" s="1057" t="s">
        <v>1342</v>
      </c>
      <c r="N34" s="1057" t="s">
        <v>1343</v>
      </c>
      <c r="O34" s="1057" t="s">
        <v>1344</v>
      </c>
      <c r="P34" s="1057" t="s">
        <v>1345</v>
      </c>
      <c r="Q34" s="1057" t="s">
        <v>1346</v>
      </c>
    </row>
    <row r="35" spans="1:17" ht="14.25" customHeight="1" thickBot="1">
      <c r="A35" s="1063" t="s">
        <v>1316</v>
      </c>
      <c r="B35" s="1071" t="s">
        <v>1125</v>
      </c>
      <c r="C35" s="1057">
        <v>22240</v>
      </c>
      <c r="D35" s="1057">
        <v>19550</v>
      </c>
      <c r="E35" s="1057">
        <v>19220</v>
      </c>
      <c r="F35" s="1075">
        <v>5800</v>
      </c>
      <c r="H35" s="1079"/>
      <c r="M35" s="1057" t="s">
        <v>1347</v>
      </c>
      <c r="N35" s="1057" t="s">
        <v>1348</v>
      </c>
      <c r="O35" s="1057" t="s">
        <v>1349</v>
      </c>
      <c r="P35" s="1057" t="s">
        <v>1350</v>
      </c>
      <c r="Q35" s="1057" t="s">
        <v>1351</v>
      </c>
    </row>
    <row r="36" spans="1:17" ht="14.25" customHeight="1" thickBot="1">
      <c r="A36" s="1063" t="s">
        <v>1316</v>
      </c>
      <c r="B36" s="1071" t="s">
        <v>1136</v>
      </c>
      <c r="C36" s="1057">
        <v>19750</v>
      </c>
      <c r="D36" s="1057">
        <v>19790</v>
      </c>
      <c r="E36" s="1057">
        <v>18510</v>
      </c>
      <c r="F36" s="1075">
        <v>6520</v>
      </c>
      <c r="H36" s="1079"/>
      <c r="N36" s="1057" t="s">
        <v>1352</v>
      </c>
      <c r="O36" s="1057" t="s">
        <v>1353</v>
      </c>
      <c r="P36" s="1057" t="s">
        <v>1354</v>
      </c>
      <c r="Q36" s="1057" t="s">
        <v>1355</v>
      </c>
    </row>
    <row r="37" spans="1:17" ht="14.25" customHeight="1" thickBot="1">
      <c r="A37" s="1063" t="s">
        <v>1316</v>
      </c>
      <c r="B37" s="1071" t="s">
        <v>1148</v>
      </c>
      <c r="C37" s="1057">
        <v>22380</v>
      </c>
      <c r="D37" s="1057">
        <v>18530</v>
      </c>
      <c r="E37" s="1057">
        <v>17930</v>
      </c>
      <c r="F37" s="1075">
        <v>6270</v>
      </c>
      <c r="H37" s="1081"/>
      <c r="N37" s="1057" t="s">
        <v>1356</v>
      </c>
      <c r="O37" s="1057" t="s">
        <v>1357</v>
      </c>
      <c r="P37" s="1057" t="s">
        <v>1358</v>
      </c>
      <c r="Q37" s="1057" t="s">
        <v>1359</v>
      </c>
    </row>
    <row r="38" spans="1:17" ht="14.25" customHeight="1" thickBot="1">
      <c r="A38" s="1063" t="s">
        <v>1316</v>
      </c>
      <c r="B38" s="1071" t="s">
        <v>1158</v>
      </c>
      <c r="C38" s="1057">
        <v>20200</v>
      </c>
      <c r="D38" s="1057">
        <v>20070</v>
      </c>
      <c r="E38" s="1057">
        <v>19950</v>
      </c>
      <c r="F38" s="1075"/>
      <c r="H38" s="1082"/>
      <c r="N38" s="1057" t="s">
        <v>1360</v>
      </c>
      <c r="O38" s="1057" t="s">
        <v>1361</v>
      </c>
      <c r="P38" s="1057" t="s">
        <v>1362</v>
      </c>
      <c r="Q38" s="1057" t="s">
        <v>1363</v>
      </c>
    </row>
    <row r="39" spans="1:17" ht="14.25" customHeight="1" thickBot="1">
      <c r="A39" s="1063" t="s">
        <v>1316</v>
      </c>
      <c r="B39" s="1071" t="s">
        <v>1168</v>
      </c>
      <c r="C39" s="1057">
        <v>19300</v>
      </c>
      <c r="D39" s="1057">
        <v>20360</v>
      </c>
      <c r="E39" s="1057">
        <v>20230</v>
      </c>
      <c r="F39" s="1075"/>
      <c r="H39" s="1082"/>
      <c r="N39" s="1057" t="s">
        <v>1364</v>
      </c>
      <c r="O39" s="1057" t="s">
        <v>1365</v>
      </c>
      <c r="P39" s="1057" t="s">
        <v>1366</v>
      </c>
      <c r="Q39" s="1057" t="s">
        <v>1367</v>
      </c>
    </row>
    <row r="40" spans="1:17" ht="14.25" customHeight="1" thickBot="1">
      <c r="A40" s="1063" t="s">
        <v>1316</v>
      </c>
      <c r="B40" s="1071" t="s">
        <v>1178</v>
      </c>
      <c r="C40" s="1057">
        <v>20210</v>
      </c>
      <c r="D40" s="1057">
        <v>19060</v>
      </c>
      <c r="E40" s="1057">
        <v>18890</v>
      </c>
      <c r="F40" s="1075"/>
      <c r="H40" s="1082"/>
      <c r="N40" s="1057" t="s">
        <v>1368</v>
      </c>
      <c r="O40" s="1057" t="s">
        <v>1369</v>
      </c>
      <c r="P40" s="1057" t="s">
        <v>1370</v>
      </c>
      <c r="Q40" s="1057" t="s">
        <v>1371</v>
      </c>
    </row>
    <row r="41" spans="1:17" ht="14.25" customHeight="1" thickBot="1">
      <c r="A41" s="1063" t="s">
        <v>1316</v>
      </c>
      <c r="B41" s="1071" t="s">
        <v>1188</v>
      </c>
      <c r="C41" s="1057">
        <v>20560</v>
      </c>
      <c r="D41" s="1057">
        <v>21040</v>
      </c>
      <c r="E41" s="1057">
        <v>20740</v>
      </c>
      <c r="F41" s="1075"/>
      <c r="H41" s="1082"/>
      <c r="N41" s="1071" t="s">
        <v>1372</v>
      </c>
      <c r="O41" s="1071" t="s">
        <v>1373</v>
      </c>
      <c r="Q41" s="1071" t="s">
        <v>1374</v>
      </c>
    </row>
    <row r="42" spans="1:17" ht="14.25" customHeight="1" thickBot="1">
      <c r="A42" s="1063" t="s">
        <v>1316</v>
      </c>
      <c r="B42" s="1071" t="s">
        <v>1198</v>
      </c>
      <c r="C42" s="1057">
        <v>19280</v>
      </c>
      <c r="D42" s="1057">
        <v>22940</v>
      </c>
      <c r="E42" s="1057">
        <v>22500</v>
      </c>
      <c r="F42" s="1075"/>
      <c r="H42" s="1082"/>
      <c r="N42" s="1057" t="s">
        <v>1375</v>
      </c>
      <c r="O42" s="1057" t="s">
        <v>1376</v>
      </c>
      <c r="Q42" s="1057" t="s">
        <v>1377</v>
      </c>
    </row>
    <row r="43" spans="1:17" ht="14.25" customHeight="1" thickBot="1">
      <c r="A43" s="1063" t="s">
        <v>1316</v>
      </c>
      <c r="B43" s="1071" t="s">
        <v>1208</v>
      </c>
      <c r="C43" s="1057">
        <v>21520</v>
      </c>
      <c r="D43" s="1057">
        <v>19230</v>
      </c>
      <c r="E43" s="1057">
        <v>18540</v>
      </c>
      <c r="F43" s="1075"/>
      <c r="H43" s="1082"/>
      <c r="N43" s="1057" t="s">
        <v>1378</v>
      </c>
      <c r="O43" s="1057" t="s">
        <v>1379</v>
      </c>
      <c r="Q43" s="1057" t="s">
        <v>1380</v>
      </c>
    </row>
    <row r="44" spans="1:17" ht="14.25" customHeight="1" thickBot="1">
      <c r="A44" s="1063" t="s">
        <v>1316</v>
      </c>
      <c r="B44" s="1071" t="s">
        <v>1218</v>
      </c>
      <c r="C44" s="1057">
        <v>23260</v>
      </c>
      <c r="D44" s="1057">
        <v>21180</v>
      </c>
      <c r="E44" s="1057">
        <v>20730</v>
      </c>
      <c r="F44" s="1075"/>
      <c r="H44" s="1082"/>
      <c r="N44" s="1057" t="s">
        <v>1381</v>
      </c>
      <c r="O44" s="1057" t="s">
        <v>1382</v>
      </c>
      <c r="Q44" s="1057" t="s">
        <v>1383</v>
      </c>
    </row>
    <row r="45" spans="1:17" ht="14.25" customHeight="1" thickBot="1">
      <c r="A45" s="1063" t="s">
        <v>1316</v>
      </c>
      <c r="B45" s="1071" t="s">
        <v>1228</v>
      </c>
      <c r="C45" s="1057">
        <v>19610</v>
      </c>
      <c r="D45" s="1057">
        <v>18090</v>
      </c>
      <c r="E45" s="1057">
        <v>17970</v>
      </c>
      <c r="F45" s="1075"/>
      <c r="H45" s="1079"/>
      <c r="N45" s="1057" t="s">
        <v>1384</v>
      </c>
      <c r="O45" s="1057" t="s">
        <v>1385</v>
      </c>
      <c r="Q45" s="1057" t="s">
        <v>1386</v>
      </c>
    </row>
    <row r="46" spans="1:17" ht="14.25" customHeight="1" thickBot="1">
      <c r="A46" s="1063" t="s">
        <v>1316</v>
      </c>
      <c r="B46" s="1071" t="s">
        <v>1238</v>
      </c>
      <c r="C46" s="1057">
        <v>21660</v>
      </c>
      <c r="D46" s="1057">
        <v>19190</v>
      </c>
      <c r="E46" s="1057">
        <v>19790</v>
      </c>
      <c r="F46" s="1075"/>
      <c r="H46" s="1082"/>
      <c r="N46" s="1057" t="s">
        <v>1387</v>
      </c>
      <c r="O46" s="1057" t="s">
        <v>1388</v>
      </c>
      <c r="Q46" s="1057" t="s">
        <v>1389</v>
      </c>
    </row>
    <row r="47" spans="1:17" ht="14.25" customHeight="1" thickBot="1">
      <c r="A47" s="1063" t="s">
        <v>1316</v>
      </c>
      <c r="B47" s="1071" t="s">
        <v>1248</v>
      </c>
      <c r="C47" s="1057">
        <v>18220</v>
      </c>
      <c r="D47" s="1057"/>
      <c r="E47" s="1057">
        <v>17220</v>
      </c>
      <c r="F47" s="1075"/>
      <c r="H47" s="1082"/>
      <c r="N47" s="1057" t="s">
        <v>1390</v>
      </c>
      <c r="O47" s="1057" t="s">
        <v>1391</v>
      </c>
    </row>
    <row r="48" spans="1:17" ht="14.25" customHeight="1" thickBot="1">
      <c r="A48" s="1063" t="s">
        <v>1316</v>
      </c>
      <c r="B48" s="1072" t="s">
        <v>1257</v>
      </c>
      <c r="C48" s="1073">
        <v>19430</v>
      </c>
      <c r="D48" s="1073"/>
      <c r="E48" s="1073">
        <v>17830</v>
      </c>
      <c r="F48" s="1083"/>
      <c r="H48" s="1079"/>
      <c r="N48" s="1057" t="s">
        <v>1392</v>
      </c>
      <c r="O48" s="1057" t="s">
        <v>1393</v>
      </c>
    </row>
    <row r="49" spans="1:15" ht="14.25" customHeight="1" thickBot="1">
      <c r="A49" s="1063" t="s">
        <v>915</v>
      </c>
      <c r="B49" s="1064" t="s">
        <v>1394</v>
      </c>
      <c r="C49" s="1064">
        <v>17090</v>
      </c>
      <c r="D49" s="1064">
        <v>16950</v>
      </c>
      <c r="E49" s="1064">
        <v>16310</v>
      </c>
      <c r="F49" s="1065">
        <v>4540</v>
      </c>
      <c r="H49" s="1082"/>
      <c r="N49" s="1057" t="s">
        <v>1395</v>
      </c>
      <c r="O49" s="1057" t="s">
        <v>1396</v>
      </c>
    </row>
    <row r="50" spans="1:15" ht="14.25" customHeight="1" thickBot="1">
      <c r="A50" s="1063" t="s">
        <v>915</v>
      </c>
      <c r="B50" s="1057" t="s">
        <v>1063</v>
      </c>
      <c r="C50" s="1057">
        <v>19040</v>
      </c>
      <c r="D50" s="1057">
        <v>16960</v>
      </c>
      <c r="E50" s="1057">
        <v>14800</v>
      </c>
      <c r="F50" s="1075">
        <v>3940</v>
      </c>
      <c r="H50" s="1082"/>
    </row>
    <row r="51" spans="1:15" ht="14.25" customHeight="1" thickBot="1">
      <c r="A51" s="1063" t="s">
        <v>915</v>
      </c>
      <c r="B51" s="1057" t="s">
        <v>1077</v>
      </c>
      <c r="C51" s="1057">
        <v>17040</v>
      </c>
      <c r="D51" s="1057">
        <v>16930</v>
      </c>
      <c r="E51" s="1057">
        <v>15030</v>
      </c>
      <c r="F51" s="1075">
        <v>4120</v>
      </c>
      <c r="H51" s="1082"/>
    </row>
    <row r="52" spans="1:15" ht="14.25" customHeight="1" thickBot="1">
      <c r="A52" s="1063" t="s">
        <v>915</v>
      </c>
      <c r="B52" s="1057" t="s">
        <v>1090</v>
      </c>
      <c r="C52" s="1057">
        <v>17110</v>
      </c>
      <c r="D52" s="1057">
        <v>17750</v>
      </c>
      <c r="E52" s="1057">
        <v>17310</v>
      </c>
      <c r="F52" s="1075">
        <v>3220</v>
      </c>
      <c r="H52" s="1082"/>
    </row>
    <row r="53" spans="1:15" ht="14.25" customHeight="1" thickBot="1">
      <c r="A53" s="1063" t="s">
        <v>915</v>
      </c>
      <c r="B53" s="1057" t="s">
        <v>1104</v>
      </c>
      <c r="C53" s="1057">
        <v>17810</v>
      </c>
      <c r="D53" s="1057">
        <v>17260</v>
      </c>
      <c r="E53" s="1057">
        <v>17090</v>
      </c>
      <c r="F53" s="1075">
        <v>3520</v>
      </c>
      <c r="H53" s="1082"/>
    </row>
    <row r="54" spans="1:15" ht="14.25" customHeight="1" thickBot="1">
      <c r="A54" s="1063" t="s">
        <v>915</v>
      </c>
      <c r="B54" s="1057" t="s">
        <v>1115</v>
      </c>
      <c r="C54" s="1057">
        <v>17410</v>
      </c>
      <c r="D54" s="1057">
        <v>16780</v>
      </c>
      <c r="E54" s="1057">
        <v>16370</v>
      </c>
      <c r="F54" s="1075">
        <v>3410</v>
      </c>
      <c r="H54" s="1082"/>
    </row>
    <row r="55" spans="1:15" ht="14.25" customHeight="1" thickBot="1">
      <c r="A55" s="1063" t="s">
        <v>915</v>
      </c>
      <c r="B55" s="1057" t="s">
        <v>1126</v>
      </c>
      <c r="C55" s="1057">
        <v>16930</v>
      </c>
      <c r="D55" s="1057">
        <v>14720</v>
      </c>
      <c r="E55" s="1057">
        <v>15000</v>
      </c>
      <c r="F55" s="1075">
        <v>3710</v>
      </c>
      <c r="H55" s="1082"/>
    </row>
    <row r="56" spans="1:15" ht="14.25" customHeight="1" thickBot="1">
      <c r="A56" s="1063" t="s">
        <v>915</v>
      </c>
      <c r="B56" s="1057" t="s">
        <v>1137</v>
      </c>
      <c r="C56" s="1057">
        <v>14930</v>
      </c>
      <c r="D56" s="1057">
        <v>15850</v>
      </c>
      <c r="E56" s="1057">
        <v>14320</v>
      </c>
      <c r="F56" s="1075">
        <v>3960</v>
      </c>
      <c r="H56" s="1082"/>
    </row>
    <row r="57" spans="1:15" ht="14.25" customHeight="1" thickBot="1">
      <c r="A57" s="1063" t="s">
        <v>915</v>
      </c>
      <c r="B57" s="1057" t="s">
        <v>1149</v>
      </c>
      <c r="C57" s="1057">
        <v>16160</v>
      </c>
      <c r="D57" s="1057">
        <v>16190</v>
      </c>
      <c r="E57" s="1057">
        <v>15650</v>
      </c>
      <c r="F57" s="1075">
        <v>4200</v>
      </c>
      <c r="H57" s="1082"/>
    </row>
    <row r="58" spans="1:15" ht="14.25" customHeight="1" thickBot="1">
      <c r="A58" s="1063" t="s">
        <v>915</v>
      </c>
      <c r="B58" s="1057" t="s">
        <v>1159</v>
      </c>
      <c r="C58" s="1057">
        <v>16360</v>
      </c>
      <c r="D58" s="1057">
        <v>14050</v>
      </c>
      <c r="E58" s="1057">
        <v>16070</v>
      </c>
      <c r="F58" s="1075">
        <v>3990</v>
      </c>
      <c r="H58" s="1082"/>
    </row>
    <row r="59" spans="1:15" ht="14.25" customHeight="1" thickBot="1">
      <c r="A59" s="1063" t="s">
        <v>915</v>
      </c>
      <c r="B59" s="1057" t="s">
        <v>1169</v>
      </c>
      <c r="C59" s="1057">
        <v>14160</v>
      </c>
      <c r="D59" s="1057">
        <v>16620</v>
      </c>
      <c r="E59" s="1057">
        <v>13940</v>
      </c>
      <c r="F59" s="1075">
        <v>4260</v>
      </c>
      <c r="H59" s="1082"/>
    </row>
    <row r="60" spans="1:15" ht="14.25" customHeight="1" thickBot="1">
      <c r="A60" s="1063" t="s">
        <v>915</v>
      </c>
      <c r="B60" s="1057" t="s">
        <v>1179</v>
      </c>
      <c r="C60" s="1057">
        <v>16750</v>
      </c>
      <c r="D60" s="1057">
        <v>13910</v>
      </c>
      <c r="E60" s="1057">
        <v>16550</v>
      </c>
      <c r="F60" s="1075">
        <v>4550</v>
      </c>
      <c r="H60" s="1082"/>
    </row>
    <row r="61" spans="1:15" ht="14.25" customHeight="1" thickBot="1">
      <c r="A61" s="1063" t="s">
        <v>915</v>
      </c>
      <c r="B61" s="1057" t="s">
        <v>1189</v>
      </c>
      <c r="C61" s="1057">
        <v>14000</v>
      </c>
      <c r="D61" s="1057">
        <v>14550</v>
      </c>
      <c r="E61" s="1057">
        <v>13860</v>
      </c>
      <c r="F61" s="1084"/>
      <c r="H61" s="1082"/>
    </row>
    <row r="62" spans="1:15" ht="14.25" customHeight="1" thickBot="1">
      <c r="A62" s="1063" t="s">
        <v>915</v>
      </c>
      <c r="B62" s="1057" t="s">
        <v>1199</v>
      </c>
      <c r="C62" s="1057">
        <v>14660</v>
      </c>
      <c r="D62" s="1057">
        <v>17450</v>
      </c>
      <c r="E62" s="1057">
        <v>14470</v>
      </c>
      <c r="F62" s="1084"/>
      <c r="H62" s="1082"/>
    </row>
    <row r="63" spans="1:15" ht="14.25" customHeight="1" thickBot="1">
      <c r="A63" s="1063" t="s">
        <v>915</v>
      </c>
      <c r="B63" s="1057" t="s">
        <v>1209</v>
      </c>
      <c r="C63" s="1057">
        <v>17610</v>
      </c>
      <c r="D63" s="1057">
        <v>16500</v>
      </c>
      <c r="E63" s="1057">
        <v>17330</v>
      </c>
      <c r="F63" s="1084"/>
      <c r="H63" s="1082"/>
    </row>
    <row r="64" spans="1:15" ht="14.25" customHeight="1" thickBot="1">
      <c r="A64" s="1063" t="s">
        <v>915</v>
      </c>
      <c r="B64" s="1057" t="s">
        <v>1219</v>
      </c>
      <c r="C64" s="1057">
        <v>16590</v>
      </c>
      <c r="D64" s="1057">
        <v>15130</v>
      </c>
      <c r="E64" s="1057">
        <v>16420</v>
      </c>
      <c r="F64" s="1084"/>
      <c r="H64" s="1082"/>
    </row>
    <row r="65" spans="1:8" s="1051" customFormat="1" ht="14.25" customHeight="1" thickBot="1">
      <c r="A65" s="1063" t="s">
        <v>915</v>
      </c>
      <c r="B65" s="1057" t="s">
        <v>1229</v>
      </c>
      <c r="C65" s="1057">
        <v>15220</v>
      </c>
      <c r="D65" s="1057">
        <v>14660</v>
      </c>
      <c r="E65" s="1057">
        <v>15060</v>
      </c>
      <c r="F65" s="1075"/>
      <c r="H65" s="1082"/>
    </row>
    <row r="66" spans="1:8" s="1051" customFormat="1" ht="14.25" customHeight="1" thickBot="1">
      <c r="A66" s="1063" t="s">
        <v>915</v>
      </c>
      <c r="B66" s="1057" t="s">
        <v>1239</v>
      </c>
      <c r="C66" s="1057">
        <v>14720</v>
      </c>
      <c r="D66" s="1057">
        <v>15970</v>
      </c>
      <c r="E66" s="1057">
        <v>14610</v>
      </c>
      <c r="F66" s="1075"/>
      <c r="H66" s="1082"/>
    </row>
    <row r="67" spans="1:8" s="1051" customFormat="1" ht="14.25" customHeight="1" thickBot="1">
      <c r="A67" s="1063" t="s">
        <v>915</v>
      </c>
      <c r="B67" s="1057" t="s">
        <v>1249</v>
      </c>
      <c r="C67" s="1057">
        <v>16080</v>
      </c>
      <c r="D67" s="1057">
        <v>14840</v>
      </c>
      <c r="E67" s="1057">
        <v>15630</v>
      </c>
      <c r="F67" s="1075"/>
      <c r="H67" s="1082"/>
    </row>
    <row r="68" spans="1:8" s="1051" customFormat="1" ht="14.25" customHeight="1" thickBot="1">
      <c r="A68" s="1063" t="s">
        <v>915</v>
      </c>
      <c r="B68" s="1057" t="s">
        <v>1258</v>
      </c>
      <c r="C68" s="1057">
        <v>14940</v>
      </c>
      <c r="D68" s="1057">
        <v>18000</v>
      </c>
      <c r="E68" s="1057">
        <v>14040</v>
      </c>
      <c r="F68" s="1075"/>
      <c r="H68" s="1082"/>
    </row>
    <row r="69" spans="1:8" s="1051" customFormat="1" ht="14.25" customHeight="1" thickBot="1">
      <c r="A69" s="1063" t="s">
        <v>915</v>
      </c>
      <c r="B69" s="1057" t="s">
        <v>1267</v>
      </c>
      <c r="C69" s="1057">
        <v>18810</v>
      </c>
      <c r="D69" s="1057">
        <v>15100</v>
      </c>
      <c r="E69" s="1057">
        <v>14710</v>
      </c>
      <c r="F69" s="1075"/>
      <c r="H69" s="1082"/>
    </row>
    <row r="70" spans="1:8" s="1051" customFormat="1" ht="14.25" customHeight="1" thickBot="1">
      <c r="A70" s="1063" t="s">
        <v>915</v>
      </c>
      <c r="B70" s="1057" t="s">
        <v>1275</v>
      </c>
      <c r="C70" s="1057">
        <v>18270</v>
      </c>
      <c r="D70" s="1057"/>
      <c r="E70" s="1057"/>
      <c r="F70" s="1075"/>
      <c r="H70" s="1082"/>
    </row>
    <row r="71" spans="1:8" s="1051" customFormat="1" ht="14.25" customHeight="1" thickBot="1">
      <c r="A71" s="1063" t="s">
        <v>915</v>
      </c>
      <c r="B71" s="1057" t="s">
        <v>1282</v>
      </c>
      <c r="C71" s="1057">
        <v>15230</v>
      </c>
      <c r="D71" s="1057"/>
      <c r="E71" s="1057"/>
      <c r="F71" s="1075"/>
      <c r="H71" s="1082"/>
    </row>
    <row r="72" spans="1:8" s="1051" customFormat="1" ht="14.25" customHeight="1" thickBot="1">
      <c r="A72" s="1063" t="s">
        <v>915</v>
      </c>
      <c r="B72" s="1057" t="s">
        <v>1289</v>
      </c>
      <c r="C72" s="1057"/>
      <c r="D72" s="1057"/>
      <c r="E72" s="1057"/>
      <c r="F72" s="1075">
        <v>4120</v>
      </c>
      <c r="H72" s="1082"/>
    </row>
    <row r="73" spans="1:8" s="1051" customFormat="1" ht="14.25" customHeight="1" thickBot="1">
      <c r="A73" s="1063" t="s">
        <v>915</v>
      </c>
      <c r="B73" s="1057" t="s">
        <v>1296</v>
      </c>
      <c r="C73" s="1057"/>
      <c r="D73" s="1057"/>
      <c r="E73" s="1057"/>
      <c r="F73" s="1075">
        <v>3930</v>
      </c>
      <c r="H73" s="1082"/>
    </row>
    <row r="74" spans="1:8" s="1051" customFormat="1" ht="14.25" customHeight="1" thickBot="1">
      <c r="A74" s="1063" t="s">
        <v>915</v>
      </c>
      <c r="B74" s="1057" t="s">
        <v>1303</v>
      </c>
      <c r="C74" s="1057"/>
      <c r="D74" s="1057"/>
      <c r="E74" s="1057"/>
      <c r="F74" s="1075">
        <v>4060</v>
      </c>
      <c r="H74" s="1082"/>
    </row>
    <row r="75" spans="1:8" s="1051" customFormat="1" ht="14.25" customHeight="1" thickBot="1">
      <c r="A75" s="1063" t="s">
        <v>915</v>
      </c>
      <c r="B75" s="1073" t="s">
        <v>1310</v>
      </c>
      <c r="C75" s="1073"/>
      <c r="D75" s="1073"/>
      <c r="E75" s="1073"/>
      <c r="F75" s="1083">
        <v>3750</v>
      </c>
      <c r="H75" s="1082"/>
    </row>
    <row r="76" spans="1:8" s="1051" customFormat="1" ht="14.25" customHeight="1" thickBot="1">
      <c r="A76" s="1063" t="s">
        <v>1397</v>
      </c>
      <c r="B76" s="1064" t="s">
        <v>1398</v>
      </c>
      <c r="C76" s="1064">
        <v>14690</v>
      </c>
      <c r="D76" s="1064">
        <v>14640</v>
      </c>
      <c r="E76" s="1064">
        <v>14590</v>
      </c>
      <c r="F76" s="1065">
        <v>3060</v>
      </c>
      <c r="H76" s="1082"/>
    </row>
    <row r="77" spans="1:8" s="1051" customFormat="1" ht="14.25" customHeight="1" thickBot="1">
      <c r="A77" s="1063" t="s">
        <v>1397</v>
      </c>
      <c r="B77" s="1057" t="s">
        <v>1064</v>
      </c>
      <c r="C77" s="1057">
        <v>12550</v>
      </c>
      <c r="D77" s="1057">
        <v>12480</v>
      </c>
      <c r="E77" s="1057">
        <v>12450</v>
      </c>
      <c r="F77" s="1075">
        <v>2590</v>
      </c>
      <c r="H77" s="1082"/>
    </row>
    <row r="78" spans="1:8" s="1051" customFormat="1" ht="14.25" customHeight="1" thickBot="1">
      <c r="A78" s="1063" t="s">
        <v>1397</v>
      </c>
      <c r="B78" s="1057" t="s">
        <v>1078</v>
      </c>
      <c r="C78" s="1057">
        <v>14360</v>
      </c>
      <c r="D78" s="1057">
        <v>14320</v>
      </c>
      <c r="E78" s="1057">
        <v>12510</v>
      </c>
      <c r="F78" s="1075">
        <v>2700</v>
      </c>
      <c r="H78" s="1082"/>
    </row>
    <row r="79" spans="1:8" s="1051" customFormat="1" ht="14.25" customHeight="1" thickBot="1">
      <c r="A79" s="1063" t="s">
        <v>1397</v>
      </c>
      <c r="B79" s="1057" t="s">
        <v>1091</v>
      </c>
      <c r="C79" s="1057">
        <v>12590</v>
      </c>
      <c r="D79" s="1057">
        <v>12540</v>
      </c>
      <c r="E79" s="1057">
        <v>12350</v>
      </c>
      <c r="F79" s="1075">
        <v>2740</v>
      </c>
      <c r="H79" s="1082"/>
    </row>
    <row r="80" spans="1:8" s="1051" customFormat="1" ht="14.25" customHeight="1" thickBot="1">
      <c r="A80" s="1063" t="s">
        <v>1397</v>
      </c>
      <c r="B80" s="1057" t="s">
        <v>1105</v>
      </c>
      <c r="C80" s="1057">
        <v>12450</v>
      </c>
      <c r="D80" s="1057">
        <v>12370</v>
      </c>
      <c r="E80" s="1057">
        <v>10790</v>
      </c>
      <c r="F80" s="1075">
        <v>2290</v>
      </c>
      <c r="H80" s="1082"/>
    </row>
    <row r="81" spans="1:8" s="1051" customFormat="1" ht="14.25" customHeight="1" thickBot="1">
      <c r="A81" s="1063" t="s">
        <v>1397</v>
      </c>
      <c r="B81" s="1057" t="s">
        <v>1116</v>
      </c>
      <c r="C81" s="1057">
        <v>14210</v>
      </c>
      <c r="D81" s="1057">
        <v>14150</v>
      </c>
      <c r="E81" s="1057">
        <v>12730</v>
      </c>
      <c r="F81" s="1075">
        <v>2240</v>
      </c>
      <c r="H81" s="1082"/>
    </row>
    <row r="82" spans="1:8" s="1051" customFormat="1" ht="14.25" customHeight="1" thickBot="1">
      <c r="A82" s="1063" t="s">
        <v>1397</v>
      </c>
      <c r="B82" s="1057" t="s">
        <v>1127</v>
      </c>
      <c r="C82" s="1057">
        <v>10860</v>
      </c>
      <c r="D82" s="1057">
        <v>10820</v>
      </c>
      <c r="E82" s="1057">
        <v>14720</v>
      </c>
      <c r="F82" s="1075">
        <v>2490</v>
      </c>
      <c r="H82" s="1082"/>
    </row>
    <row r="83" spans="1:8" s="1051" customFormat="1" ht="14.25" customHeight="1" thickBot="1">
      <c r="A83" s="1063" t="s">
        <v>1397</v>
      </c>
      <c r="B83" s="1057" t="s">
        <v>1138</v>
      </c>
      <c r="C83" s="1057">
        <v>12810</v>
      </c>
      <c r="D83" s="1057">
        <v>12760</v>
      </c>
      <c r="E83" s="1057">
        <v>14830</v>
      </c>
      <c r="F83" s="1075">
        <v>2450</v>
      </c>
      <c r="H83" s="1082"/>
    </row>
    <row r="84" spans="1:8" s="1051" customFormat="1" ht="14.25" customHeight="1" thickBot="1">
      <c r="A84" s="1063" t="s">
        <v>1397</v>
      </c>
      <c r="B84" s="1057" t="s">
        <v>1150</v>
      </c>
      <c r="C84" s="1057">
        <v>14950</v>
      </c>
      <c r="D84" s="1057">
        <v>14810</v>
      </c>
      <c r="E84" s="1057">
        <v>12590</v>
      </c>
      <c r="F84" s="1075">
        <v>2540</v>
      </c>
      <c r="H84" s="1082"/>
    </row>
    <row r="85" spans="1:8" s="1051" customFormat="1" ht="14.25" customHeight="1" thickBot="1">
      <c r="A85" s="1063" t="s">
        <v>1397</v>
      </c>
      <c r="B85" s="1057" t="s">
        <v>1160</v>
      </c>
      <c r="C85" s="1057">
        <v>14960</v>
      </c>
      <c r="D85" s="1057">
        <v>14890</v>
      </c>
      <c r="E85" s="1057">
        <v>12840</v>
      </c>
      <c r="F85" s="1075">
        <v>2840</v>
      </c>
      <c r="H85" s="1082"/>
    </row>
    <row r="86" spans="1:8" s="1051" customFormat="1" ht="14.25" customHeight="1" thickBot="1">
      <c r="A86" s="1063" t="s">
        <v>1397</v>
      </c>
      <c r="B86" s="1057" t="s">
        <v>1170</v>
      </c>
      <c r="C86" s="1057">
        <v>12730</v>
      </c>
      <c r="D86" s="1057">
        <v>12660</v>
      </c>
      <c r="E86" s="1057">
        <v>13310</v>
      </c>
      <c r="F86" s="1075">
        <v>3140</v>
      </c>
      <c r="H86" s="1082"/>
    </row>
    <row r="87" spans="1:8" s="1051" customFormat="1" ht="14.25" customHeight="1" thickBot="1">
      <c r="A87" s="1063" t="s">
        <v>1397</v>
      </c>
      <c r="B87" s="1057" t="s">
        <v>1180</v>
      </c>
      <c r="C87" s="1057">
        <v>12940</v>
      </c>
      <c r="D87" s="1057">
        <v>12890</v>
      </c>
      <c r="E87" s="1057">
        <v>11580</v>
      </c>
      <c r="F87" s="1084"/>
      <c r="H87" s="1082"/>
    </row>
    <row r="88" spans="1:8" s="1051" customFormat="1" ht="14.25" customHeight="1" thickBot="1">
      <c r="A88" s="1063" t="s">
        <v>1397</v>
      </c>
      <c r="B88" s="1057" t="s">
        <v>1190</v>
      </c>
      <c r="C88" s="1057">
        <v>13430</v>
      </c>
      <c r="D88" s="1057">
        <v>13360</v>
      </c>
      <c r="E88" s="1057">
        <v>12790</v>
      </c>
      <c r="F88" s="1084"/>
      <c r="H88" s="1082"/>
    </row>
    <row r="89" spans="1:8" s="1051" customFormat="1" ht="14.25" customHeight="1" thickBot="1">
      <c r="A89" s="1063" t="s">
        <v>1397</v>
      </c>
      <c r="B89" s="1057" t="s">
        <v>1200</v>
      </c>
      <c r="C89" s="1057">
        <v>11680</v>
      </c>
      <c r="D89" s="1057">
        <v>11630</v>
      </c>
      <c r="E89" s="1057">
        <v>11320</v>
      </c>
      <c r="F89" s="1084"/>
      <c r="H89" s="1082"/>
    </row>
    <row r="90" spans="1:8" s="1051" customFormat="1" ht="14.25" customHeight="1" thickBot="1">
      <c r="A90" s="1063" t="s">
        <v>1397</v>
      </c>
      <c r="B90" s="1057" t="s">
        <v>1210</v>
      </c>
      <c r="C90" s="1057">
        <v>12890</v>
      </c>
      <c r="D90" s="1057">
        <v>12820</v>
      </c>
      <c r="E90" s="1057">
        <v>12710</v>
      </c>
      <c r="F90" s="1084"/>
      <c r="H90" s="1082"/>
    </row>
    <row r="91" spans="1:8" s="1051" customFormat="1" ht="14.25" customHeight="1" thickBot="1">
      <c r="A91" s="1063" t="s">
        <v>1397</v>
      </c>
      <c r="B91" s="1057" t="s">
        <v>1220</v>
      </c>
      <c r="C91" s="1057">
        <v>11410</v>
      </c>
      <c r="D91" s="1057">
        <v>11360</v>
      </c>
      <c r="E91" s="1057">
        <v>12670</v>
      </c>
      <c r="F91" s="1084"/>
      <c r="H91" s="1082"/>
    </row>
    <row r="92" spans="1:8" s="1051" customFormat="1" ht="14.25" customHeight="1" thickBot="1">
      <c r="A92" s="1063" t="s">
        <v>1397</v>
      </c>
      <c r="B92" s="1057" t="s">
        <v>1230</v>
      </c>
      <c r="C92" s="1057">
        <v>12770</v>
      </c>
      <c r="D92" s="1057">
        <v>12740</v>
      </c>
      <c r="E92" s="1057">
        <v>11970</v>
      </c>
      <c r="F92" s="1084"/>
      <c r="H92" s="1082"/>
    </row>
    <row r="93" spans="1:8" s="1051" customFormat="1" ht="14.25" customHeight="1" thickBot="1">
      <c r="A93" s="1063" t="s">
        <v>1397</v>
      </c>
      <c r="B93" s="1057" t="s">
        <v>1240</v>
      </c>
      <c r="C93" s="1057">
        <v>12740</v>
      </c>
      <c r="D93" s="1057">
        <v>12700</v>
      </c>
      <c r="E93" s="1057">
        <v>12540</v>
      </c>
      <c r="F93" s="1084"/>
      <c r="H93" s="1082"/>
    </row>
    <row r="94" spans="1:8" s="1051" customFormat="1" ht="14.25" customHeight="1" thickBot="1">
      <c r="A94" s="1063" t="s">
        <v>1397</v>
      </c>
      <c r="B94" s="1057" t="s">
        <v>1250</v>
      </c>
      <c r="C94" s="1057">
        <v>12020</v>
      </c>
      <c r="D94" s="1057">
        <v>11990</v>
      </c>
      <c r="E94" s="1057">
        <v>13110</v>
      </c>
      <c r="F94" s="1084"/>
      <c r="H94" s="1082"/>
    </row>
    <row r="95" spans="1:8" s="1051" customFormat="1" ht="14.25" customHeight="1" thickBot="1">
      <c r="A95" s="1063" t="s">
        <v>1397</v>
      </c>
      <c r="B95" s="1057" t="s">
        <v>1259</v>
      </c>
      <c r="C95" s="1057">
        <v>12620</v>
      </c>
      <c r="D95" s="1057">
        <v>12580</v>
      </c>
      <c r="E95" s="1057">
        <v>13160</v>
      </c>
      <c r="F95" s="1075"/>
      <c r="H95" s="1082"/>
    </row>
    <row r="96" spans="1:8" s="1051" customFormat="1" ht="14.25" customHeight="1" thickBot="1">
      <c r="A96" s="1063" t="s">
        <v>1397</v>
      </c>
      <c r="B96" s="1057" t="s">
        <v>1268</v>
      </c>
      <c r="C96" s="1057">
        <v>13200</v>
      </c>
      <c r="D96" s="1057">
        <v>13150</v>
      </c>
      <c r="E96" s="1057">
        <v>12900</v>
      </c>
      <c r="F96" s="1075"/>
      <c r="H96" s="1082"/>
    </row>
    <row r="97" spans="1:8" s="1051" customFormat="1" ht="14.25" customHeight="1" thickBot="1">
      <c r="A97" s="1063" t="s">
        <v>1397</v>
      </c>
      <c r="B97" s="1057" t="s">
        <v>1276</v>
      </c>
      <c r="C97" s="1057">
        <v>13270</v>
      </c>
      <c r="D97" s="1057">
        <v>13210</v>
      </c>
      <c r="E97" s="1057">
        <v>11080</v>
      </c>
      <c r="F97" s="1075"/>
      <c r="H97" s="1082"/>
    </row>
    <row r="98" spans="1:8" s="1051" customFormat="1" ht="14.25" customHeight="1" thickBot="1">
      <c r="A98" s="1063" t="s">
        <v>1397</v>
      </c>
      <c r="B98" s="1057" t="s">
        <v>1283</v>
      </c>
      <c r="C98" s="1057">
        <v>13010</v>
      </c>
      <c r="D98" s="1057">
        <v>12930</v>
      </c>
      <c r="E98" s="1057">
        <v>12840</v>
      </c>
      <c r="F98" s="1075"/>
      <c r="H98" s="1082"/>
    </row>
    <row r="99" spans="1:8" s="1051" customFormat="1" ht="14.25" customHeight="1" thickBot="1">
      <c r="A99" s="1063" t="s">
        <v>1397</v>
      </c>
      <c r="B99" s="1057" t="s">
        <v>1290</v>
      </c>
      <c r="C99" s="1057">
        <v>11190</v>
      </c>
      <c r="D99" s="1057">
        <v>11130</v>
      </c>
      <c r="E99" s="1057"/>
      <c r="F99" s="1075"/>
      <c r="H99" s="1082"/>
    </row>
    <row r="100" spans="1:8" s="1051" customFormat="1" ht="14.25" customHeight="1" thickBot="1">
      <c r="A100" s="1063" t="s">
        <v>1397</v>
      </c>
      <c r="B100" s="1057" t="s">
        <v>1297</v>
      </c>
      <c r="C100" s="1057">
        <v>14280</v>
      </c>
      <c r="D100" s="1057">
        <v>14180</v>
      </c>
      <c r="E100" s="1057"/>
      <c r="F100" s="1075"/>
      <c r="H100" s="1082"/>
    </row>
    <row r="101" spans="1:8" s="1051" customFormat="1" ht="14.25" customHeight="1" thickBot="1">
      <c r="A101" s="1063" t="s">
        <v>1397</v>
      </c>
      <c r="B101" s="1057" t="s">
        <v>1304</v>
      </c>
      <c r="C101" s="1057">
        <v>12960</v>
      </c>
      <c r="D101" s="1057">
        <v>12890</v>
      </c>
      <c r="E101" s="1057"/>
      <c r="F101" s="1075"/>
      <c r="H101" s="1082"/>
    </row>
    <row r="102" spans="1:8" s="1051" customFormat="1" ht="14.25" customHeight="1" thickBot="1">
      <c r="A102" s="1063" t="s">
        <v>1397</v>
      </c>
      <c r="B102" s="1057" t="s">
        <v>1311</v>
      </c>
      <c r="C102" s="1057"/>
      <c r="D102" s="1057"/>
      <c r="E102" s="1057"/>
      <c r="F102" s="1075">
        <v>3100</v>
      </c>
      <c r="H102" s="1082"/>
    </row>
    <row r="103" spans="1:8" s="1051" customFormat="1" ht="14.25" customHeight="1" thickBot="1">
      <c r="A103" s="1063" t="s">
        <v>1397</v>
      </c>
      <c r="B103" s="1057" t="s">
        <v>1318</v>
      </c>
      <c r="C103" s="1057"/>
      <c r="D103" s="1057"/>
      <c r="E103" s="1057"/>
      <c r="F103" s="1075">
        <v>2320</v>
      </c>
      <c r="H103" s="1082"/>
    </row>
    <row r="104" spans="1:8" s="1051" customFormat="1" ht="14.25" customHeight="1" thickBot="1">
      <c r="A104" s="1063" t="s">
        <v>1397</v>
      </c>
      <c r="B104" s="1057" t="s">
        <v>1323</v>
      </c>
      <c r="C104" s="1057"/>
      <c r="D104" s="1057"/>
      <c r="E104" s="1057"/>
      <c r="F104" s="1075">
        <v>2320</v>
      </c>
      <c r="H104" s="1082"/>
    </row>
    <row r="105" spans="1:8" s="1051" customFormat="1" ht="14.25" customHeight="1" thickBot="1">
      <c r="A105" s="1063" t="s">
        <v>1397</v>
      </c>
      <c r="B105" s="1057" t="s">
        <v>1327</v>
      </c>
      <c r="C105" s="1057"/>
      <c r="D105" s="1057"/>
      <c r="E105" s="1057"/>
      <c r="F105" s="1075">
        <v>2320</v>
      </c>
      <c r="H105" s="1082"/>
    </row>
    <row r="106" spans="1:8" s="1051" customFormat="1" ht="14.25" customHeight="1" thickBot="1">
      <c r="A106" s="1063" t="s">
        <v>1397</v>
      </c>
      <c r="B106" s="1057" t="s">
        <v>1332</v>
      </c>
      <c r="C106" s="1057"/>
      <c r="D106" s="1057"/>
      <c r="E106" s="1057"/>
      <c r="F106" s="1075">
        <v>2320</v>
      </c>
      <c r="H106" s="1082"/>
    </row>
    <row r="107" spans="1:8" s="1051" customFormat="1" ht="14.25" customHeight="1" thickBot="1">
      <c r="A107" s="1063" t="s">
        <v>1397</v>
      </c>
      <c r="B107" s="1057" t="s">
        <v>1337</v>
      </c>
      <c r="C107" s="1057"/>
      <c r="D107" s="1057"/>
      <c r="E107" s="1057"/>
      <c r="F107" s="1075">
        <v>2280</v>
      </c>
      <c r="H107" s="1082"/>
    </row>
    <row r="108" spans="1:8" s="1051" customFormat="1" ht="14.25" customHeight="1" thickBot="1">
      <c r="A108" s="1063" t="s">
        <v>1397</v>
      </c>
      <c r="B108" s="1057" t="s">
        <v>1342</v>
      </c>
      <c r="C108" s="1057"/>
      <c r="D108" s="1057"/>
      <c r="E108" s="1057"/>
      <c r="F108" s="1075">
        <v>2280</v>
      </c>
      <c r="H108" s="1082"/>
    </row>
    <row r="109" spans="1:8" s="1051" customFormat="1" ht="14.25" customHeight="1" thickBot="1">
      <c r="A109" s="1063" t="s">
        <v>1397</v>
      </c>
      <c r="B109" s="1073" t="s">
        <v>1347</v>
      </c>
      <c r="C109" s="1073"/>
      <c r="D109" s="1073"/>
      <c r="E109" s="1073"/>
      <c r="F109" s="1083">
        <v>2280</v>
      </c>
      <c r="H109" s="1082"/>
    </row>
    <row r="110" spans="1:8" s="1051" customFormat="1" ht="14.25" customHeight="1" thickBot="1">
      <c r="A110" s="1063" t="s">
        <v>1399</v>
      </c>
      <c r="B110" s="1064" t="s">
        <v>1400</v>
      </c>
      <c r="C110" s="1064">
        <v>10520</v>
      </c>
      <c r="D110" s="1064">
        <v>10490</v>
      </c>
      <c r="E110" s="1064">
        <v>10760</v>
      </c>
      <c r="F110" s="1065">
        <v>2160</v>
      </c>
      <c r="H110" s="1082"/>
    </row>
    <row r="111" spans="1:8" s="1051" customFormat="1" ht="14.25" customHeight="1" thickBot="1">
      <c r="A111" s="1063" t="s">
        <v>1399</v>
      </c>
      <c r="B111" s="1057" t="s">
        <v>1065</v>
      </c>
      <c r="C111" s="1057">
        <v>10090</v>
      </c>
      <c r="D111" s="1057">
        <v>10060</v>
      </c>
      <c r="E111" s="1057">
        <v>10300</v>
      </c>
      <c r="F111" s="1075">
        <v>2010</v>
      </c>
      <c r="H111" s="1082"/>
    </row>
    <row r="112" spans="1:8" s="1051" customFormat="1" ht="14.25" customHeight="1" thickBot="1">
      <c r="A112" s="1063" t="s">
        <v>1399</v>
      </c>
      <c r="B112" s="1057" t="s">
        <v>1079</v>
      </c>
      <c r="C112" s="1057">
        <v>9910</v>
      </c>
      <c r="D112" s="1057">
        <v>9850</v>
      </c>
      <c r="E112" s="1057">
        <v>9960</v>
      </c>
      <c r="F112" s="1075">
        <v>2090</v>
      </c>
      <c r="H112" s="1082"/>
    </row>
    <row r="113" spans="1:8" s="1051" customFormat="1" ht="14.25" customHeight="1" thickBot="1">
      <c r="A113" s="1063" t="s">
        <v>1399</v>
      </c>
      <c r="B113" s="1057" t="s">
        <v>1092</v>
      </c>
      <c r="C113" s="1057">
        <v>11430</v>
      </c>
      <c r="D113" s="1057">
        <v>11400</v>
      </c>
      <c r="E113" s="1057">
        <v>11710</v>
      </c>
      <c r="F113" s="1075">
        <v>2050</v>
      </c>
      <c r="H113" s="1082"/>
    </row>
    <row r="114" spans="1:8" s="1051" customFormat="1" ht="14.25" customHeight="1" thickBot="1">
      <c r="A114" s="1063" t="s">
        <v>1399</v>
      </c>
      <c r="B114" s="1057" t="s">
        <v>1106</v>
      </c>
      <c r="C114" s="1057">
        <v>11390</v>
      </c>
      <c r="D114" s="1057">
        <v>11350</v>
      </c>
      <c r="E114" s="1057">
        <v>11640</v>
      </c>
      <c r="F114" s="1075">
        <v>1620</v>
      </c>
      <c r="H114" s="1082"/>
    </row>
    <row r="115" spans="1:8" s="1051" customFormat="1" ht="14.25" customHeight="1" thickBot="1">
      <c r="A115" s="1063" t="s">
        <v>1399</v>
      </c>
      <c r="B115" s="1057" t="s">
        <v>1117</v>
      </c>
      <c r="C115" s="1057">
        <v>9930</v>
      </c>
      <c r="D115" s="1057">
        <v>9900</v>
      </c>
      <c r="E115" s="1057">
        <v>10160</v>
      </c>
      <c r="F115" s="1075">
        <v>1580</v>
      </c>
      <c r="H115" s="1082"/>
    </row>
    <row r="116" spans="1:8" s="1051" customFormat="1" ht="14.25" customHeight="1" thickBot="1">
      <c r="A116" s="1063" t="s">
        <v>1399</v>
      </c>
      <c r="B116" s="1057" t="s">
        <v>1128</v>
      </c>
      <c r="C116" s="1057">
        <v>9150</v>
      </c>
      <c r="D116" s="1057">
        <v>9120</v>
      </c>
      <c r="E116" s="1057">
        <v>9380</v>
      </c>
      <c r="F116" s="1075">
        <v>1750</v>
      </c>
      <c r="H116" s="1082"/>
    </row>
    <row r="117" spans="1:8" s="1051" customFormat="1" ht="14.25" customHeight="1" thickBot="1">
      <c r="A117" s="1063" t="s">
        <v>1399</v>
      </c>
      <c r="B117" s="1057" t="s">
        <v>1139</v>
      </c>
      <c r="C117" s="1057">
        <v>10680</v>
      </c>
      <c r="D117" s="1057">
        <v>10650</v>
      </c>
      <c r="E117" s="1057">
        <v>10970</v>
      </c>
      <c r="F117" s="1075">
        <v>1730</v>
      </c>
      <c r="H117" s="1082"/>
    </row>
    <row r="118" spans="1:8" s="1051" customFormat="1" ht="14.25" customHeight="1" thickBot="1">
      <c r="A118" s="1063" t="s">
        <v>1399</v>
      </c>
      <c r="B118" s="1057" t="s">
        <v>1151</v>
      </c>
      <c r="C118" s="1057">
        <v>10080</v>
      </c>
      <c r="D118" s="1057">
        <v>10050</v>
      </c>
      <c r="E118" s="1057">
        <v>10350</v>
      </c>
      <c r="F118" s="1075">
        <v>1920</v>
      </c>
      <c r="H118" s="1082"/>
    </row>
    <row r="119" spans="1:8" s="1051" customFormat="1" ht="14.25" customHeight="1" thickBot="1">
      <c r="A119" s="1063" t="s">
        <v>1399</v>
      </c>
      <c r="B119" s="1057" t="s">
        <v>1161</v>
      </c>
      <c r="C119" s="1057">
        <v>9450</v>
      </c>
      <c r="D119" s="1057">
        <v>9410</v>
      </c>
      <c r="E119" s="1057">
        <v>9680</v>
      </c>
      <c r="F119" s="1075">
        <v>1880</v>
      </c>
      <c r="H119" s="1082"/>
    </row>
    <row r="120" spans="1:8" s="1051" customFormat="1" ht="14.25" customHeight="1" thickBot="1">
      <c r="A120" s="1063" t="s">
        <v>1399</v>
      </c>
      <c r="B120" s="1057" t="s">
        <v>1171</v>
      </c>
      <c r="C120" s="1057">
        <v>8730</v>
      </c>
      <c r="D120" s="1057">
        <v>8700</v>
      </c>
      <c r="E120" s="1057">
        <v>8950</v>
      </c>
      <c r="F120" s="1075">
        <v>1830</v>
      </c>
      <c r="H120" s="1082"/>
    </row>
    <row r="121" spans="1:8" s="1051" customFormat="1" ht="14.25" customHeight="1" thickBot="1">
      <c r="A121" s="1063" t="s">
        <v>1399</v>
      </c>
      <c r="B121" s="1057" t="s">
        <v>1181</v>
      </c>
      <c r="C121" s="1057">
        <v>10070</v>
      </c>
      <c r="D121" s="1057">
        <v>10040</v>
      </c>
      <c r="E121" s="1057">
        <v>10270</v>
      </c>
      <c r="F121" s="1075">
        <v>1960</v>
      </c>
      <c r="H121" s="1082"/>
    </row>
    <row r="122" spans="1:8" s="1051" customFormat="1" ht="14.25" customHeight="1" thickBot="1">
      <c r="A122" s="1063" t="s">
        <v>1399</v>
      </c>
      <c r="B122" s="1057" t="s">
        <v>1191</v>
      </c>
      <c r="C122" s="1057">
        <v>10500</v>
      </c>
      <c r="D122" s="1057">
        <v>10470</v>
      </c>
      <c r="E122" s="1057">
        <v>10780</v>
      </c>
      <c r="F122" s="1075">
        <v>2180</v>
      </c>
      <c r="H122" s="1082"/>
    </row>
    <row r="123" spans="1:8" s="1051" customFormat="1" ht="14.25" customHeight="1" thickBot="1">
      <c r="A123" s="1063" t="s">
        <v>1399</v>
      </c>
      <c r="B123" s="1057" t="s">
        <v>1201</v>
      </c>
      <c r="C123" s="1057">
        <v>10390</v>
      </c>
      <c r="D123" s="1057">
        <v>10360</v>
      </c>
      <c r="E123" s="1057">
        <v>10660</v>
      </c>
      <c r="F123" s="1075">
        <v>2040</v>
      </c>
      <c r="H123" s="1082"/>
    </row>
    <row r="124" spans="1:8" s="1051" customFormat="1" ht="14.25" customHeight="1" thickBot="1">
      <c r="A124" s="1063" t="s">
        <v>1399</v>
      </c>
      <c r="B124" s="1057" t="s">
        <v>1211</v>
      </c>
      <c r="C124" s="1057">
        <v>10390</v>
      </c>
      <c r="D124" s="1057">
        <v>10360</v>
      </c>
      <c r="E124" s="1057">
        <v>10680</v>
      </c>
      <c r="F124" s="1084"/>
      <c r="H124" s="1082"/>
    </row>
    <row r="125" spans="1:8" s="1051" customFormat="1" ht="14.25" customHeight="1" thickBot="1">
      <c r="A125" s="1063" t="s">
        <v>1399</v>
      </c>
      <c r="B125" s="1057" t="s">
        <v>1221</v>
      </c>
      <c r="C125" s="1057">
        <v>10440</v>
      </c>
      <c r="D125" s="1057">
        <v>10410</v>
      </c>
      <c r="E125" s="1057">
        <v>10710</v>
      </c>
      <c r="F125" s="1084"/>
      <c r="H125" s="1082"/>
    </row>
    <row r="126" spans="1:8" s="1051" customFormat="1" ht="14.25" customHeight="1" thickBot="1">
      <c r="A126" s="1063" t="s">
        <v>1399</v>
      </c>
      <c r="B126" s="1057" t="s">
        <v>1231</v>
      </c>
      <c r="C126" s="1057">
        <v>10780</v>
      </c>
      <c r="D126" s="1057">
        <v>10750</v>
      </c>
      <c r="E126" s="1057">
        <v>11080</v>
      </c>
      <c r="F126" s="1084"/>
      <c r="H126" s="1082"/>
    </row>
    <row r="127" spans="1:8" s="1051" customFormat="1" ht="14.25" customHeight="1" thickBot="1">
      <c r="A127" s="1063" t="s">
        <v>1399</v>
      </c>
      <c r="B127" s="1057" t="s">
        <v>1241</v>
      </c>
      <c r="C127" s="1057">
        <v>10100</v>
      </c>
      <c r="D127" s="1057">
        <v>10070</v>
      </c>
      <c r="E127" s="1057">
        <v>10350</v>
      </c>
      <c r="F127" s="1084"/>
      <c r="H127" s="1082"/>
    </row>
    <row r="128" spans="1:8" s="1051" customFormat="1" ht="14.25" customHeight="1" thickBot="1">
      <c r="A128" s="1063" t="s">
        <v>1399</v>
      </c>
      <c r="B128" s="1057" t="s">
        <v>1251</v>
      </c>
      <c r="C128" s="1057">
        <v>9200</v>
      </c>
      <c r="D128" s="1057">
        <v>9160</v>
      </c>
      <c r="E128" s="1057">
        <v>9660</v>
      </c>
      <c r="F128" s="1084"/>
      <c r="H128" s="1082"/>
    </row>
    <row r="129" spans="1:8" s="1051" customFormat="1" ht="14.25" customHeight="1" thickBot="1">
      <c r="A129" s="1063" t="s">
        <v>1399</v>
      </c>
      <c r="B129" s="1057" t="s">
        <v>1260</v>
      </c>
      <c r="C129" s="1057">
        <v>10340</v>
      </c>
      <c r="D129" s="1057">
        <v>10310</v>
      </c>
      <c r="E129" s="1057">
        <v>10580</v>
      </c>
      <c r="F129" s="1084"/>
      <c r="H129" s="1082"/>
    </row>
    <row r="130" spans="1:8" s="1051" customFormat="1" ht="14.25" customHeight="1" thickBot="1">
      <c r="A130" s="1063" t="s">
        <v>1399</v>
      </c>
      <c r="B130" s="1057" t="s">
        <v>1269</v>
      </c>
      <c r="C130" s="1057">
        <v>9680</v>
      </c>
      <c r="D130" s="1057">
        <v>9660</v>
      </c>
      <c r="E130" s="1057">
        <v>9950</v>
      </c>
      <c r="F130" s="1084"/>
      <c r="H130" s="1082"/>
    </row>
    <row r="131" spans="1:8" s="1051" customFormat="1" ht="14.25" customHeight="1" thickBot="1">
      <c r="A131" s="1063" t="s">
        <v>1399</v>
      </c>
      <c r="B131" s="1057" t="s">
        <v>1277</v>
      </c>
      <c r="C131" s="1057">
        <v>9540</v>
      </c>
      <c r="D131" s="1057">
        <v>9510</v>
      </c>
      <c r="E131" s="1057">
        <v>9790</v>
      </c>
      <c r="F131" s="1084"/>
      <c r="H131" s="1082"/>
    </row>
    <row r="132" spans="1:8" s="1051" customFormat="1" ht="14.25" customHeight="1" thickBot="1">
      <c r="A132" s="1063" t="s">
        <v>1399</v>
      </c>
      <c r="B132" s="1057" t="s">
        <v>1284</v>
      </c>
      <c r="C132" s="1057">
        <v>9320</v>
      </c>
      <c r="D132" s="1057">
        <v>9290</v>
      </c>
      <c r="E132" s="1057">
        <v>9570</v>
      </c>
      <c r="F132" s="1084"/>
      <c r="H132" s="1082"/>
    </row>
    <row r="133" spans="1:8" s="1051" customFormat="1" ht="14.25" customHeight="1" thickBot="1">
      <c r="A133" s="1063" t="s">
        <v>1399</v>
      </c>
      <c r="B133" s="1057" t="s">
        <v>1291</v>
      </c>
      <c r="C133" s="1057">
        <v>10310</v>
      </c>
      <c r="D133" s="1057">
        <v>10280</v>
      </c>
      <c r="E133" s="1057">
        <v>10530</v>
      </c>
      <c r="F133" s="1084"/>
      <c r="H133" s="1082"/>
    </row>
    <row r="134" spans="1:8" s="1051" customFormat="1" ht="14.25" customHeight="1" thickBot="1">
      <c r="A134" s="1063" t="s">
        <v>1399</v>
      </c>
      <c r="B134" s="1057" t="s">
        <v>1298</v>
      </c>
      <c r="C134" s="1057">
        <v>10370</v>
      </c>
      <c r="D134" s="1057">
        <v>10310</v>
      </c>
      <c r="E134" s="1057">
        <v>10240</v>
      </c>
      <c r="F134" s="1075">
        <v>2060</v>
      </c>
      <c r="H134" s="1082"/>
    </row>
    <row r="135" spans="1:8" s="1051" customFormat="1" ht="14.25" customHeight="1" thickBot="1">
      <c r="A135" s="1063" t="s">
        <v>1399</v>
      </c>
      <c r="B135" s="1057" t="s">
        <v>1305</v>
      </c>
      <c r="C135" s="1057">
        <v>9300</v>
      </c>
      <c r="D135" s="1057">
        <v>9270</v>
      </c>
      <c r="E135" s="1057">
        <v>9350</v>
      </c>
      <c r="F135" s="1084"/>
      <c r="H135" s="1082"/>
    </row>
    <row r="136" spans="1:8" s="1051" customFormat="1" ht="14.25" customHeight="1" thickBot="1">
      <c r="A136" s="1063" t="s">
        <v>1399</v>
      </c>
      <c r="B136" s="1057" t="s">
        <v>1312</v>
      </c>
      <c r="C136" s="1057">
        <v>10160</v>
      </c>
      <c r="D136" s="1057">
        <v>10110</v>
      </c>
      <c r="E136" s="1057">
        <v>10080</v>
      </c>
      <c r="F136" s="1084"/>
      <c r="H136" s="1082"/>
    </row>
    <row r="137" spans="1:8" s="1051" customFormat="1" ht="14.25" customHeight="1" thickBot="1">
      <c r="A137" s="1063" t="s">
        <v>1399</v>
      </c>
      <c r="B137" s="1057" t="s">
        <v>1319</v>
      </c>
      <c r="C137" s="1057">
        <v>9200</v>
      </c>
      <c r="D137" s="1057">
        <v>9170</v>
      </c>
      <c r="E137" s="1057">
        <v>9450</v>
      </c>
      <c r="F137" s="1084"/>
      <c r="H137" s="1082"/>
    </row>
    <row r="138" spans="1:8" s="1051" customFormat="1" ht="14.25" customHeight="1" thickBot="1">
      <c r="A138" s="1063" t="s">
        <v>1399</v>
      </c>
      <c r="B138" s="1057" t="s">
        <v>1324</v>
      </c>
      <c r="C138" s="1057">
        <v>9690</v>
      </c>
      <c r="D138" s="1057">
        <v>9660</v>
      </c>
      <c r="E138" s="1057">
        <v>9840</v>
      </c>
      <c r="F138" s="1084"/>
      <c r="H138" s="1082"/>
    </row>
    <row r="139" spans="1:8" s="1051" customFormat="1" ht="14.25" customHeight="1" thickBot="1">
      <c r="A139" s="1063" t="s">
        <v>1399</v>
      </c>
      <c r="B139" s="1057" t="s">
        <v>1328</v>
      </c>
      <c r="C139" s="1057">
        <v>10290</v>
      </c>
      <c r="D139" s="1057">
        <v>10260</v>
      </c>
      <c r="E139" s="1057">
        <v>10550</v>
      </c>
      <c r="F139" s="1075">
        <v>1700</v>
      </c>
      <c r="H139" s="1082"/>
    </row>
    <row r="140" spans="1:8" s="1051" customFormat="1" ht="14.25" customHeight="1" thickBot="1">
      <c r="A140" s="1063" t="s">
        <v>1399</v>
      </c>
      <c r="B140" s="1057" t="s">
        <v>1333</v>
      </c>
      <c r="C140" s="1057">
        <v>9740</v>
      </c>
      <c r="D140" s="1057">
        <v>9710</v>
      </c>
      <c r="E140" s="1057">
        <v>10000</v>
      </c>
      <c r="F140" s="1075">
        <v>2000</v>
      </c>
      <c r="H140" s="1082"/>
    </row>
    <row r="141" spans="1:8" s="1051" customFormat="1" ht="14.25" customHeight="1" thickBot="1">
      <c r="A141" s="1063" t="s">
        <v>1399</v>
      </c>
      <c r="B141" s="1057" t="s">
        <v>1338</v>
      </c>
      <c r="C141" s="1057">
        <v>9810</v>
      </c>
      <c r="D141" s="1057">
        <v>9770</v>
      </c>
      <c r="E141" s="1057">
        <v>10060</v>
      </c>
      <c r="F141" s="1084"/>
      <c r="H141" s="1082"/>
    </row>
    <row r="142" spans="1:8" s="1051" customFormat="1" ht="14.25" customHeight="1" thickBot="1">
      <c r="A142" s="1063" t="s">
        <v>1399</v>
      </c>
      <c r="B142" s="1057" t="s">
        <v>1343</v>
      </c>
      <c r="C142" s="1057">
        <v>9300</v>
      </c>
      <c r="D142" s="1057">
        <v>9270</v>
      </c>
      <c r="E142" s="1057">
        <v>9530</v>
      </c>
      <c r="F142" s="1084"/>
      <c r="H142" s="1082"/>
    </row>
    <row r="143" spans="1:8" s="1051" customFormat="1" ht="14.25" customHeight="1" thickBot="1">
      <c r="A143" s="1063" t="s">
        <v>1399</v>
      </c>
      <c r="B143" s="1057" t="s">
        <v>1348</v>
      </c>
      <c r="C143" s="1057">
        <v>10080</v>
      </c>
      <c r="D143" s="1057">
        <v>10050</v>
      </c>
      <c r="E143" s="1057">
        <v>10340</v>
      </c>
      <c r="F143" s="1084"/>
      <c r="H143" s="1082"/>
    </row>
    <row r="144" spans="1:8" s="1051" customFormat="1" ht="14.25" customHeight="1" thickBot="1">
      <c r="A144" s="1063" t="s">
        <v>1399</v>
      </c>
      <c r="B144" s="1057" t="s">
        <v>1352</v>
      </c>
      <c r="C144" s="1057">
        <v>9820</v>
      </c>
      <c r="D144" s="1057">
        <v>9750</v>
      </c>
      <c r="E144" s="1057">
        <v>9900</v>
      </c>
      <c r="F144" s="1084"/>
      <c r="H144" s="1082"/>
    </row>
    <row r="145" spans="1:8" s="1051" customFormat="1" ht="14.25" customHeight="1" thickBot="1">
      <c r="A145" s="1063" t="s">
        <v>1399</v>
      </c>
      <c r="B145" s="1057" t="s">
        <v>1356</v>
      </c>
      <c r="C145" s="1057"/>
      <c r="D145" s="1057"/>
      <c r="E145" s="1057"/>
      <c r="F145" s="1075">
        <v>1740</v>
      </c>
      <c r="H145" s="1082"/>
    </row>
    <row r="146" spans="1:8" s="1051" customFormat="1" ht="14.25" customHeight="1" thickBot="1">
      <c r="A146" s="1063" t="s">
        <v>1399</v>
      </c>
      <c r="B146" s="1057" t="s">
        <v>1360</v>
      </c>
      <c r="C146" s="1057"/>
      <c r="D146" s="1057"/>
      <c r="E146" s="1057"/>
      <c r="F146" s="1075">
        <v>1740</v>
      </c>
      <c r="H146" s="1082"/>
    </row>
    <row r="147" spans="1:8" s="1051" customFormat="1" ht="14.25" customHeight="1" thickBot="1">
      <c r="A147" s="1063" t="s">
        <v>1399</v>
      </c>
      <c r="B147" s="1057" t="s">
        <v>1364</v>
      </c>
      <c r="C147" s="1057"/>
      <c r="D147" s="1057"/>
      <c r="E147" s="1057"/>
      <c r="F147" s="1075">
        <v>1740</v>
      </c>
      <c r="H147" s="1082"/>
    </row>
    <row r="148" spans="1:8" s="1051" customFormat="1" ht="14.25" customHeight="1" thickBot="1">
      <c r="A148" s="1063" t="s">
        <v>1399</v>
      </c>
      <c r="B148" s="1057" t="s">
        <v>1368</v>
      </c>
      <c r="C148" s="1057"/>
      <c r="D148" s="1057"/>
      <c r="E148" s="1057"/>
      <c r="F148" s="1075">
        <v>1740</v>
      </c>
      <c r="H148" s="1082"/>
    </row>
    <row r="149" spans="1:8" s="1051" customFormat="1" ht="14.25" customHeight="1" thickBot="1">
      <c r="A149" s="1063" t="s">
        <v>1399</v>
      </c>
      <c r="B149" s="1057" t="s">
        <v>1372</v>
      </c>
      <c r="C149" s="1057"/>
      <c r="D149" s="1057"/>
      <c r="E149" s="1057"/>
      <c r="F149" s="1075">
        <v>1740</v>
      </c>
      <c r="H149" s="1082"/>
    </row>
    <row r="150" spans="1:8" s="1051" customFormat="1" ht="14.25" customHeight="1" thickBot="1">
      <c r="A150" s="1063" t="s">
        <v>1399</v>
      </c>
      <c r="B150" s="1057" t="s">
        <v>1375</v>
      </c>
      <c r="C150" s="1057"/>
      <c r="D150" s="1057"/>
      <c r="E150" s="1057"/>
      <c r="F150" s="1075">
        <v>1610</v>
      </c>
      <c r="H150" s="1082"/>
    </row>
    <row r="151" spans="1:8" s="1051" customFormat="1" ht="14.25" customHeight="1" thickBot="1">
      <c r="A151" s="1063" t="s">
        <v>1399</v>
      </c>
      <c r="B151" s="1057" t="s">
        <v>1378</v>
      </c>
      <c r="C151" s="1057"/>
      <c r="D151" s="1057"/>
      <c r="E151" s="1057"/>
      <c r="F151" s="1075">
        <v>1610</v>
      </c>
      <c r="H151" s="1082"/>
    </row>
    <row r="152" spans="1:8" s="1051" customFormat="1" ht="14.25" customHeight="1" thickBot="1">
      <c r="A152" s="1063" t="s">
        <v>1399</v>
      </c>
      <c r="B152" s="1057" t="s">
        <v>1381</v>
      </c>
      <c r="C152" s="1057"/>
      <c r="D152" s="1057"/>
      <c r="E152" s="1057"/>
      <c r="F152" s="1075">
        <v>1610</v>
      </c>
      <c r="H152" s="1082"/>
    </row>
    <row r="153" spans="1:8" s="1051" customFormat="1" ht="14.25" customHeight="1" thickBot="1">
      <c r="A153" s="1063" t="s">
        <v>1399</v>
      </c>
      <c r="B153" s="1057" t="s">
        <v>1384</v>
      </c>
      <c r="C153" s="1057"/>
      <c r="D153" s="1057"/>
      <c r="E153" s="1057"/>
      <c r="F153" s="1075">
        <v>1610</v>
      </c>
      <c r="H153" s="1082"/>
    </row>
    <row r="154" spans="1:8" s="1051" customFormat="1" ht="14.25" customHeight="1" thickBot="1">
      <c r="A154" s="1063" t="s">
        <v>1399</v>
      </c>
      <c r="B154" s="1057" t="s">
        <v>1387</v>
      </c>
      <c r="C154" s="1057"/>
      <c r="D154" s="1057"/>
      <c r="E154" s="1057"/>
      <c r="F154" s="1075">
        <v>1610</v>
      </c>
      <c r="H154" s="1082"/>
    </row>
    <row r="155" spans="1:8" s="1051" customFormat="1" ht="14.25" customHeight="1" thickBot="1">
      <c r="A155" s="1063" t="s">
        <v>1399</v>
      </c>
      <c r="B155" s="1057" t="s">
        <v>1390</v>
      </c>
      <c r="C155" s="1057"/>
      <c r="D155" s="1057"/>
      <c r="E155" s="1057"/>
      <c r="F155" s="1075">
        <v>1800</v>
      </c>
      <c r="H155" s="1082"/>
    </row>
    <row r="156" spans="1:8" s="1051" customFormat="1" ht="14.25" customHeight="1" thickBot="1">
      <c r="A156" s="1063" t="s">
        <v>1399</v>
      </c>
      <c r="B156" s="1057" t="s">
        <v>1392</v>
      </c>
      <c r="C156" s="1057"/>
      <c r="D156" s="1057"/>
      <c r="E156" s="1057"/>
      <c r="F156" s="1075">
        <v>1910</v>
      </c>
      <c r="H156" s="1082"/>
    </row>
    <row r="157" spans="1:8" s="1051" customFormat="1" ht="14.25" customHeight="1" thickBot="1">
      <c r="A157" s="1063" t="s">
        <v>1399</v>
      </c>
      <c r="B157" s="1073" t="s">
        <v>1395</v>
      </c>
      <c r="C157" s="1073"/>
      <c r="D157" s="1073"/>
      <c r="E157" s="1073"/>
      <c r="F157" s="1083">
        <v>1500</v>
      </c>
      <c r="H157" s="1082"/>
    </row>
    <row r="158" spans="1:8" s="1051" customFormat="1" ht="14.25" customHeight="1" thickBot="1">
      <c r="A158" s="1063" t="s">
        <v>1401</v>
      </c>
      <c r="B158" s="1064" t="s">
        <v>1402</v>
      </c>
      <c r="C158" s="1064">
        <v>8170</v>
      </c>
      <c r="D158" s="1064">
        <v>8140</v>
      </c>
      <c r="E158" s="1064">
        <v>8590</v>
      </c>
      <c r="F158" s="1065">
        <v>1450</v>
      </c>
      <c r="H158" s="1082"/>
    </row>
    <row r="159" spans="1:8" s="1051" customFormat="1" ht="14.25" customHeight="1" thickBot="1">
      <c r="A159" s="1063" t="s">
        <v>1401</v>
      </c>
      <c r="B159" s="1057" t="s">
        <v>1066</v>
      </c>
      <c r="C159" s="1057">
        <v>7410</v>
      </c>
      <c r="D159" s="1057">
        <v>7370</v>
      </c>
      <c r="E159" s="1057">
        <v>8030</v>
      </c>
      <c r="F159" s="1075">
        <v>1510</v>
      </c>
      <c r="H159" s="1082"/>
    </row>
    <row r="160" spans="1:8" s="1051" customFormat="1" ht="14.25" customHeight="1" thickBot="1">
      <c r="A160" s="1063" t="s">
        <v>1401</v>
      </c>
      <c r="B160" s="1057" t="s">
        <v>1080</v>
      </c>
      <c r="C160" s="1057">
        <v>7240</v>
      </c>
      <c r="D160" s="1057">
        <v>7210</v>
      </c>
      <c r="E160" s="1057">
        <v>7860</v>
      </c>
      <c r="F160" s="1075">
        <v>1370</v>
      </c>
      <c r="H160" s="1082"/>
    </row>
    <row r="161" spans="1:8" s="1051" customFormat="1" ht="14.25" customHeight="1" thickBot="1">
      <c r="A161" s="1063" t="s">
        <v>1401</v>
      </c>
      <c r="B161" s="1057" t="s">
        <v>1093</v>
      </c>
      <c r="C161" s="1057">
        <v>7720</v>
      </c>
      <c r="D161" s="1057">
        <v>7690</v>
      </c>
      <c r="E161" s="1057">
        <v>8200</v>
      </c>
      <c r="F161" s="1075">
        <v>1190</v>
      </c>
      <c r="H161" s="1082"/>
    </row>
    <row r="162" spans="1:8" s="1051" customFormat="1" ht="14.25" customHeight="1" thickBot="1">
      <c r="A162" s="1063" t="s">
        <v>1401</v>
      </c>
      <c r="B162" s="1057" t="s">
        <v>1107</v>
      </c>
      <c r="C162" s="1057">
        <v>6900</v>
      </c>
      <c r="D162" s="1057">
        <v>6870</v>
      </c>
      <c r="E162" s="1057">
        <v>7500</v>
      </c>
      <c r="F162" s="1075">
        <v>1390</v>
      </c>
      <c r="H162" s="1082"/>
    </row>
    <row r="163" spans="1:8" s="1051" customFormat="1" ht="14.25" customHeight="1" thickBot="1">
      <c r="A163" s="1063" t="s">
        <v>1401</v>
      </c>
      <c r="B163" s="1057" t="s">
        <v>1118</v>
      </c>
      <c r="C163" s="1057">
        <v>7120</v>
      </c>
      <c r="D163" s="1057">
        <v>7090</v>
      </c>
      <c r="E163" s="1057">
        <v>7690</v>
      </c>
      <c r="F163" s="1075">
        <v>1230</v>
      </c>
      <c r="H163" s="1082"/>
    </row>
    <row r="164" spans="1:8" s="1051" customFormat="1" ht="14.25" customHeight="1" thickBot="1">
      <c r="A164" s="1063" t="s">
        <v>1401</v>
      </c>
      <c r="B164" s="1057" t="s">
        <v>1129</v>
      </c>
      <c r="C164" s="1057">
        <v>6560</v>
      </c>
      <c r="D164" s="1057">
        <v>6530</v>
      </c>
      <c r="E164" s="1057">
        <v>7110</v>
      </c>
      <c r="F164" s="1075">
        <v>1340</v>
      </c>
      <c r="H164" s="1082"/>
    </row>
    <row r="165" spans="1:8" s="1051" customFormat="1" ht="14.25" customHeight="1" thickBot="1">
      <c r="A165" s="1063" t="s">
        <v>1401</v>
      </c>
      <c r="B165" s="1057" t="s">
        <v>1140</v>
      </c>
      <c r="C165" s="1057">
        <v>7450</v>
      </c>
      <c r="D165" s="1057">
        <v>7430</v>
      </c>
      <c r="E165" s="1057">
        <v>8110</v>
      </c>
      <c r="F165" s="1075">
        <v>1290</v>
      </c>
      <c r="H165" s="1082"/>
    </row>
    <row r="166" spans="1:8" s="1051" customFormat="1" ht="14.25" customHeight="1" thickBot="1">
      <c r="A166" s="1063" t="s">
        <v>1401</v>
      </c>
      <c r="B166" s="1057" t="s">
        <v>1152</v>
      </c>
      <c r="C166" s="1057">
        <v>7490</v>
      </c>
      <c r="D166" s="1057">
        <v>7460</v>
      </c>
      <c r="E166" s="1057">
        <v>8150</v>
      </c>
      <c r="F166" s="1075">
        <v>1350</v>
      </c>
      <c r="H166" s="1082"/>
    </row>
    <row r="167" spans="1:8" s="1051" customFormat="1" ht="14.25" customHeight="1" thickBot="1">
      <c r="A167" s="1063" t="s">
        <v>1401</v>
      </c>
      <c r="B167" s="1057" t="s">
        <v>1162</v>
      </c>
      <c r="C167" s="1057">
        <v>7540</v>
      </c>
      <c r="D167" s="1057">
        <v>7510</v>
      </c>
      <c r="E167" s="1057">
        <v>8030</v>
      </c>
      <c r="F167" s="1084"/>
      <c r="H167" s="1082"/>
    </row>
    <row r="168" spans="1:8" s="1051" customFormat="1" ht="14.25" customHeight="1" thickBot="1">
      <c r="A168" s="1063" t="s">
        <v>1401</v>
      </c>
      <c r="B168" s="1057" t="s">
        <v>1172</v>
      </c>
      <c r="C168" s="1057">
        <v>7210</v>
      </c>
      <c r="D168" s="1057">
        <v>7180</v>
      </c>
      <c r="E168" s="1057">
        <v>7830</v>
      </c>
      <c r="F168" s="1084"/>
      <c r="H168" s="1082"/>
    </row>
    <row r="169" spans="1:8" s="1051" customFormat="1" ht="14.25" customHeight="1" thickBot="1">
      <c r="A169" s="1063" t="s">
        <v>1401</v>
      </c>
      <c r="B169" s="1057" t="s">
        <v>1182</v>
      </c>
      <c r="C169" s="1057">
        <v>7040</v>
      </c>
      <c r="D169" s="1057">
        <v>7020</v>
      </c>
      <c r="E169" s="1057">
        <v>7670</v>
      </c>
      <c r="F169" s="1084"/>
      <c r="H169" s="1082"/>
    </row>
    <row r="170" spans="1:8" s="1051" customFormat="1" ht="14.25" customHeight="1" thickBot="1">
      <c r="A170" s="1063" t="s">
        <v>1401</v>
      </c>
      <c r="B170" s="1057" t="s">
        <v>1192</v>
      </c>
      <c r="C170" s="1057">
        <v>8040</v>
      </c>
      <c r="D170" s="1057">
        <v>7190</v>
      </c>
      <c r="E170" s="1057">
        <v>7850</v>
      </c>
      <c r="F170" s="1084"/>
      <c r="H170" s="1082"/>
    </row>
    <row r="171" spans="1:8" s="1051" customFormat="1" ht="14.25" customHeight="1" thickBot="1">
      <c r="A171" s="1063" t="s">
        <v>1401</v>
      </c>
      <c r="B171" s="1057" t="s">
        <v>1202</v>
      </c>
      <c r="C171" s="1057">
        <v>7860</v>
      </c>
      <c r="D171" s="1057">
        <v>7720</v>
      </c>
      <c r="E171" s="1057">
        <v>8150</v>
      </c>
      <c r="F171" s="1075">
        <v>1110</v>
      </c>
      <c r="H171" s="1082"/>
    </row>
    <row r="172" spans="1:8" s="1051" customFormat="1" ht="14.25" customHeight="1" thickBot="1">
      <c r="A172" s="1063" t="s">
        <v>1401</v>
      </c>
      <c r="B172" s="1057" t="s">
        <v>1212</v>
      </c>
      <c r="C172" s="1057">
        <v>7210</v>
      </c>
      <c r="D172" s="1057">
        <v>7170</v>
      </c>
      <c r="E172" s="1057">
        <v>7320</v>
      </c>
      <c r="F172" s="1084"/>
      <c r="H172" s="1082"/>
    </row>
    <row r="173" spans="1:8" s="1051" customFormat="1" ht="14.25" customHeight="1" thickBot="1">
      <c r="A173" s="1063" t="s">
        <v>1401</v>
      </c>
      <c r="B173" s="1057" t="s">
        <v>1222</v>
      </c>
      <c r="C173" s="1057">
        <v>6860</v>
      </c>
      <c r="D173" s="1057">
        <v>6810</v>
      </c>
      <c r="E173" s="1057">
        <v>7440</v>
      </c>
      <c r="F173" s="1084"/>
      <c r="H173" s="1082"/>
    </row>
    <row r="174" spans="1:8" s="1051" customFormat="1" ht="14.25" customHeight="1" thickBot="1">
      <c r="A174" s="1063" t="s">
        <v>1401</v>
      </c>
      <c r="B174" s="1057" t="s">
        <v>1232</v>
      </c>
      <c r="C174" s="1057">
        <v>7120</v>
      </c>
      <c r="D174" s="1057">
        <v>7090</v>
      </c>
      <c r="E174" s="1057">
        <v>7500</v>
      </c>
      <c r="F174" s="1075">
        <v>1490</v>
      </c>
      <c r="H174" s="1082"/>
    </row>
    <row r="175" spans="1:8" s="1051" customFormat="1" ht="14.25" customHeight="1" thickBot="1">
      <c r="A175" s="1063" t="s">
        <v>1401</v>
      </c>
      <c r="B175" s="1057" t="s">
        <v>1242</v>
      </c>
      <c r="C175" s="1057">
        <v>7850</v>
      </c>
      <c r="D175" s="1057">
        <v>7820</v>
      </c>
      <c r="E175" s="1057">
        <v>8120</v>
      </c>
      <c r="F175" s="1075">
        <v>1530</v>
      </c>
      <c r="H175" s="1082"/>
    </row>
    <row r="176" spans="1:8" s="1051" customFormat="1" ht="14.25" customHeight="1" thickBot="1">
      <c r="A176" s="1063" t="s">
        <v>1401</v>
      </c>
      <c r="B176" s="1057" t="s">
        <v>1252</v>
      </c>
      <c r="C176" s="1057">
        <v>7620</v>
      </c>
      <c r="D176" s="1057">
        <v>7570</v>
      </c>
      <c r="E176" s="1057">
        <v>7990</v>
      </c>
      <c r="F176" s="1075">
        <v>1480</v>
      </c>
      <c r="H176" s="1082"/>
    </row>
    <row r="177" spans="1:8" s="1051" customFormat="1" ht="14.25" customHeight="1" thickBot="1">
      <c r="A177" s="1063" t="s">
        <v>1401</v>
      </c>
      <c r="B177" s="1057" t="s">
        <v>1261</v>
      </c>
      <c r="C177" s="1057">
        <v>8590</v>
      </c>
      <c r="D177" s="1057">
        <v>8570</v>
      </c>
      <c r="E177" s="1057">
        <v>8740</v>
      </c>
      <c r="F177" s="1075">
        <v>1540</v>
      </c>
      <c r="H177" s="1082"/>
    </row>
    <row r="178" spans="1:8" s="1051" customFormat="1" ht="14.25" customHeight="1" thickBot="1">
      <c r="A178" s="1063" t="s">
        <v>1401</v>
      </c>
      <c r="B178" s="1057" t="s">
        <v>1270</v>
      </c>
      <c r="C178" s="1057">
        <v>7510</v>
      </c>
      <c r="D178" s="1057">
        <v>7470</v>
      </c>
      <c r="E178" s="1057">
        <v>8090</v>
      </c>
      <c r="F178" s="1075">
        <v>1320</v>
      </c>
      <c r="H178" s="1082"/>
    </row>
    <row r="179" spans="1:8" s="1051" customFormat="1" ht="14.25" customHeight="1" thickBot="1">
      <c r="A179" s="1063" t="s">
        <v>1401</v>
      </c>
      <c r="B179" s="1057" t="s">
        <v>1278</v>
      </c>
      <c r="C179" s="1057">
        <v>6380</v>
      </c>
      <c r="D179" s="1057">
        <v>6340</v>
      </c>
      <c r="E179" s="1057">
        <v>6810</v>
      </c>
      <c r="F179" s="1084"/>
      <c r="H179" s="1082"/>
    </row>
    <row r="180" spans="1:8" s="1051" customFormat="1" ht="14.25" customHeight="1" thickBot="1">
      <c r="A180" s="1063" t="s">
        <v>1401</v>
      </c>
      <c r="B180" s="1057" t="s">
        <v>1285</v>
      </c>
      <c r="C180" s="1057">
        <v>7830</v>
      </c>
      <c r="D180" s="1057">
        <v>7800</v>
      </c>
      <c r="E180" s="1057">
        <v>7780</v>
      </c>
      <c r="F180" s="1075">
        <v>1440</v>
      </c>
      <c r="H180" s="1082"/>
    </row>
    <row r="181" spans="1:8" s="1051" customFormat="1" ht="14.25" customHeight="1" thickBot="1">
      <c r="A181" s="1063" t="s">
        <v>1401</v>
      </c>
      <c r="B181" s="1057" t="s">
        <v>1292</v>
      </c>
      <c r="C181" s="1057">
        <v>7110</v>
      </c>
      <c r="D181" s="1057">
        <v>7080</v>
      </c>
      <c r="E181" s="1057">
        <v>7730</v>
      </c>
      <c r="F181" s="1075">
        <v>1350</v>
      </c>
      <c r="H181" s="1082"/>
    </row>
    <row r="182" spans="1:8" s="1051" customFormat="1" ht="14.25" customHeight="1" thickBot="1">
      <c r="A182" s="1063" t="s">
        <v>1401</v>
      </c>
      <c r="B182" s="1057" t="s">
        <v>1299</v>
      </c>
      <c r="C182" s="1057">
        <v>7310</v>
      </c>
      <c r="D182" s="1057">
        <v>7280</v>
      </c>
      <c r="E182" s="1057">
        <v>7950</v>
      </c>
      <c r="F182" s="1075">
        <v>1220</v>
      </c>
      <c r="H182" s="1082"/>
    </row>
    <row r="183" spans="1:8" s="1051" customFormat="1" ht="14.25" customHeight="1" thickBot="1">
      <c r="A183" s="1063" t="s">
        <v>1401</v>
      </c>
      <c r="B183" s="1057" t="s">
        <v>1306</v>
      </c>
      <c r="C183" s="1057">
        <v>7470</v>
      </c>
      <c r="D183" s="1057">
        <v>7440</v>
      </c>
      <c r="E183" s="1057">
        <v>7880</v>
      </c>
      <c r="F183" s="1084"/>
      <c r="H183" s="1082"/>
    </row>
    <row r="184" spans="1:8" s="1051" customFormat="1" ht="14.25" customHeight="1" thickBot="1">
      <c r="A184" s="1063" t="s">
        <v>1401</v>
      </c>
      <c r="B184" s="1057" t="s">
        <v>1313</v>
      </c>
      <c r="C184" s="1057">
        <v>6960</v>
      </c>
      <c r="D184" s="1057">
        <v>6930</v>
      </c>
      <c r="E184" s="1057">
        <v>7570</v>
      </c>
      <c r="F184" s="1084"/>
      <c r="H184" s="1082"/>
    </row>
    <row r="185" spans="1:8" s="1051" customFormat="1" ht="14.25" customHeight="1" thickBot="1">
      <c r="A185" s="1063" t="s">
        <v>1401</v>
      </c>
      <c r="B185" s="1057" t="s">
        <v>1320</v>
      </c>
      <c r="C185" s="1057">
        <v>7260</v>
      </c>
      <c r="D185" s="1057">
        <v>7230</v>
      </c>
      <c r="E185" s="1057">
        <v>7710</v>
      </c>
      <c r="F185" s="1075">
        <v>1360</v>
      </c>
      <c r="H185" s="1082"/>
    </row>
    <row r="186" spans="1:8" s="1051" customFormat="1" ht="14.25" customHeight="1" thickBot="1">
      <c r="A186" s="1063" t="s">
        <v>1401</v>
      </c>
      <c r="B186" s="1057" t="s">
        <v>1325</v>
      </c>
      <c r="C186" s="1057"/>
      <c r="D186" s="1057"/>
      <c r="E186" s="1057"/>
      <c r="F186" s="1075">
        <v>1560</v>
      </c>
      <c r="H186" s="1082"/>
    </row>
    <row r="187" spans="1:8" s="1051" customFormat="1" ht="14.25" customHeight="1" thickBot="1">
      <c r="A187" s="1063" t="s">
        <v>1401</v>
      </c>
      <c r="B187" s="1057" t="s">
        <v>1329</v>
      </c>
      <c r="C187" s="1057"/>
      <c r="D187" s="1057"/>
      <c r="E187" s="1057"/>
      <c r="F187" s="1075">
        <v>1560</v>
      </c>
      <c r="H187" s="1082"/>
    </row>
    <row r="188" spans="1:8" s="1051" customFormat="1" ht="14.25" customHeight="1" thickBot="1">
      <c r="A188" s="1063" t="s">
        <v>1401</v>
      </c>
      <c r="B188" s="1057" t="s">
        <v>1334</v>
      </c>
      <c r="C188" s="1057"/>
      <c r="D188" s="1057"/>
      <c r="E188" s="1057"/>
      <c r="F188" s="1075">
        <v>1560</v>
      </c>
      <c r="H188" s="1082"/>
    </row>
    <row r="189" spans="1:8" s="1051" customFormat="1" ht="14.25" customHeight="1" thickBot="1">
      <c r="A189" s="1063" t="s">
        <v>1401</v>
      </c>
      <c r="B189" s="1057" t="s">
        <v>1339</v>
      </c>
      <c r="C189" s="1057"/>
      <c r="D189" s="1057"/>
      <c r="E189" s="1057"/>
      <c r="F189" s="1075">
        <v>1320</v>
      </c>
      <c r="H189" s="1082"/>
    </row>
    <row r="190" spans="1:8" s="1051" customFormat="1" ht="14.25" customHeight="1" thickBot="1">
      <c r="A190" s="1063" t="s">
        <v>1401</v>
      </c>
      <c r="B190" s="1057" t="s">
        <v>1344</v>
      </c>
      <c r="C190" s="1057"/>
      <c r="D190" s="1057"/>
      <c r="E190" s="1057"/>
      <c r="F190" s="1075">
        <v>1320</v>
      </c>
      <c r="H190" s="1082"/>
    </row>
    <row r="191" spans="1:8" s="1051" customFormat="1" ht="14.25" customHeight="1" thickBot="1">
      <c r="A191" s="1063" t="s">
        <v>1401</v>
      </c>
      <c r="B191" s="1057" t="s">
        <v>1349</v>
      </c>
      <c r="C191" s="1057"/>
      <c r="D191" s="1057"/>
      <c r="E191" s="1057"/>
      <c r="F191" s="1075">
        <v>1320</v>
      </c>
      <c r="H191" s="1082"/>
    </row>
    <row r="192" spans="1:8" s="1051" customFormat="1" ht="14.25" customHeight="1" thickBot="1">
      <c r="A192" s="1063" t="s">
        <v>1401</v>
      </c>
      <c r="B192" s="1057" t="s">
        <v>1353</v>
      </c>
      <c r="C192" s="1057"/>
      <c r="D192" s="1057"/>
      <c r="E192" s="1057"/>
      <c r="F192" s="1075">
        <v>1100</v>
      </c>
      <c r="H192" s="1082"/>
    </row>
    <row r="193" spans="1:8" s="1051" customFormat="1" ht="14.25" customHeight="1" thickBot="1">
      <c r="A193" s="1063" t="s">
        <v>1401</v>
      </c>
      <c r="B193" s="1057" t="s">
        <v>1357</v>
      </c>
      <c r="C193" s="1057"/>
      <c r="D193" s="1057"/>
      <c r="E193" s="1057"/>
      <c r="F193" s="1075">
        <v>1100</v>
      </c>
      <c r="H193" s="1082"/>
    </row>
    <row r="194" spans="1:8" s="1051" customFormat="1" ht="14.25" customHeight="1" thickBot="1">
      <c r="A194" s="1063" t="s">
        <v>1401</v>
      </c>
      <c r="B194" s="1057" t="s">
        <v>1361</v>
      </c>
      <c r="C194" s="1057"/>
      <c r="D194" s="1057"/>
      <c r="E194" s="1057"/>
      <c r="F194" s="1075">
        <v>1080</v>
      </c>
      <c r="H194" s="1082"/>
    </row>
    <row r="195" spans="1:8" s="1051" customFormat="1" ht="14.25" customHeight="1" thickBot="1">
      <c r="A195" s="1063" t="s">
        <v>1401</v>
      </c>
      <c r="B195" s="1057" t="s">
        <v>1365</v>
      </c>
      <c r="C195" s="1057"/>
      <c r="D195" s="1057"/>
      <c r="E195" s="1057"/>
      <c r="F195" s="1075">
        <v>1270</v>
      </c>
      <c r="H195" s="1082"/>
    </row>
    <row r="196" spans="1:8" s="1051" customFormat="1" ht="14.25" customHeight="1" thickBot="1">
      <c r="A196" s="1063" t="s">
        <v>1401</v>
      </c>
      <c r="B196" s="1057" t="s">
        <v>1369</v>
      </c>
      <c r="C196" s="1057"/>
      <c r="D196" s="1057"/>
      <c r="E196" s="1057"/>
      <c r="F196" s="1075">
        <v>1150</v>
      </c>
      <c r="H196" s="1082"/>
    </row>
    <row r="197" spans="1:8" s="1051" customFormat="1" ht="14.25" customHeight="1" thickBot="1">
      <c r="A197" s="1063" t="s">
        <v>1401</v>
      </c>
      <c r="B197" s="1057" t="s">
        <v>1373</v>
      </c>
      <c r="C197" s="1057"/>
      <c r="D197" s="1057"/>
      <c r="E197" s="1057"/>
      <c r="F197" s="1075">
        <v>1330</v>
      </c>
      <c r="H197" s="1082"/>
    </row>
    <row r="198" spans="1:8" s="1051" customFormat="1" ht="14.25" customHeight="1" thickBot="1">
      <c r="A198" s="1063" t="s">
        <v>1401</v>
      </c>
      <c r="B198" s="1057" t="s">
        <v>1376</v>
      </c>
      <c r="C198" s="1057"/>
      <c r="D198" s="1057"/>
      <c r="E198" s="1057"/>
      <c r="F198" s="1075">
        <v>1170</v>
      </c>
      <c r="H198" s="1082"/>
    </row>
    <row r="199" spans="1:8" s="1051" customFormat="1" ht="14.25" customHeight="1" thickBot="1">
      <c r="A199" s="1063" t="s">
        <v>1401</v>
      </c>
      <c r="B199" s="1057" t="s">
        <v>1379</v>
      </c>
      <c r="C199" s="1057"/>
      <c r="D199" s="1057"/>
      <c r="E199" s="1057"/>
      <c r="F199" s="1075">
        <v>1120</v>
      </c>
      <c r="H199" s="1082"/>
    </row>
    <row r="200" spans="1:8" s="1051" customFormat="1" ht="14.25" customHeight="1" thickBot="1">
      <c r="A200" s="1063" t="s">
        <v>1401</v>
      </c>
      <c r="B200" s="1057" t="s">
        <v>1382</v>
      </c>
      <c r="C200" s="1057"/>
      <c r="D200" s="1057"/>
      <c r="E200" s="1057"/>
      <c r="F200" s="1075">
        <v>1120</v>
      </c>
      <c r="H200" s="1082"/>
    </row>
    <row r="201" spans="1:8" s="1051" customFormat="1" ht="14.25" customHeight="1" thickBot="1">
      <c r="A201" s="1063" t="s">
        <v>1401</v>
      </c>
      <c r="B201" s="1057" t="s">
        <v>1385</v>
      </c>
      <c r="C201" s="1057"/>
      <c r="D201" s="1057"/>
      <c r="E201" s="1057"/>
      <c r="F201" s="1075">
        <v>1540</v>
      </c>
      <c r="H201" s="1082"/>
    </row>
    <row r="202" spans="1:8" s="1051" customFormat="1" ht="14.25" customHeight="1" thickBot="1">
      <c r="A202" s="1063" t="s">
        <v>1401</v>
      </c>
      <c r="B202" s="1057" t="s">
        <v>1388</v>
      </c>
      <c r="C202" s="1057"/>
      <c r="D202" s="1057"/>
      <c r="E202" s="1057"/>
      <c r="F202" s="1075">
        <v>1310</v>
      </c>
      <c r="H202" s="1082"/>
    </row>
    <row r="203" spans="1:8" s="1051" customFormat="1" ht="14.25" customHeight="1" thickBot="1">
      <c r="A203" s="1063" t="s">
        <v>1401</v>
      </c>
      <c r="B203" s="1057" t="s">
        <v>1391</v>
      </c>
      <c r="C203" s="1057"/>
      <c r="D203" s="1057"/>
      <c r="E203" s="1057"/>
      <c r="F203" s="1075">
        <v>1310</v>
      </c>
      <c r="H203" s="1082"/>
    </row>
    <row r="204" spans="1:8" s="1051" customFormat="1" ht="14.25" customHeight="1" thickBot="1">
      <c r="A204" s="1063" t="s">
        <v>1401</v>
      </c>
      <c r="B204" s="1057" t="s">
        <v>1393</v>
      </c>
      <c r="C204" s="1057"/>
      <c r="D204" s="1057"/>
      <c r="E204" s="1057"/>
      <c r="F204" s="1075">
        <v>1080</v>
      </c>
      <c r="H204" s="1082"/>
    </row>
    <row r="205" spans="1:8" s="1051" customFormat="1" ht="14.25" customHeight="1" thickBot="1">
      <c r="A205" s="1063" t="s">
        <v>1401</v>
      </c>
      <c r="B205" s="1057" t="s">
        <v>1396</v>
      </c>
      <c r="C205" s="1057"/>
      <c r="D205" s="1057"/>
      <c r="E205" s="1057"/>
      <c r="F205" s="1075">
        <v>1080</v>
      </c>
      <c r="H205" s="1082"/>
    </row>
    <row r="206" spans="1:8" s="1051" customFormat="1" ht="14.25" customHeight="1" thickBot="1">
      <c r="A206" s="1063" t="s">
        <v>1403</v>
      </c>
      <c r="B206" s="1064" t="s">
        <v>1404</v>
      </c>
      <c r="C206" s="1064">
        <v>5450</v>
      </c>
      <c r="D206" s="1064">
        <v>5430</v>
      </c>
      <c r="E206" s="1064">
        <v>5700</v>
      </c>
      <c r="F206" s="1065">
        <v>1020</v>
      </c>
      <c r="H206" s="1082"/>
    </row>
    <row r="207" spans="1:8" s="1051" customFormat="1" ht="14.25" customHeight="1" thickBot="1">
      <c r="A207" s="1063" t="s">
        <v>1403</v>
      </c>
      <c r="B207" s="1057" t="s">
        <v>1067</v>
      </c>
      <c r="C207" s="1057">
        <v>5860</v>
      </c>
      <c r="D207" s="1057">
        <v>5820</v>
      </c>
      <c r="E207" s="1057">
        <v>6050</v>
      </c>
      <c r="F207" s="1075">
        <v>1080</v>
      </c>
      <c r="H207" s="1082"/>
    </row>
    <row r="208" spans="1:8" s="1051" customFormat="1" ht="14.25" customHeight="1" thickBot="1">
      <c r="A208" s="1063" t="s">
        <v>1403</v>
      </c>
      <c r="B208" s="1057" t="s">
        <v>1081</v>
      </c>
      <c r="C208" s="1057">
        <v>4630</v>
      </c>
      <c r="D208" s="1057">
        <v>4600</v>
      </c>
      <c r="E208" s="1057">
        <v>4840</v>
      </c>
      <c r="F208" s="1075">
        <v>900</v>
      </c>
      <c r="H208" s="1082"/>
    </row>
    <row r="209" spans="1:8" s="1051" customFormat="1" ht="14.25" customHeight="1" thickBot="1">
      <c r="A209" s="1063" t="s">
        <v>1403</v>
      </c>
      <c r="B209" s="1057" t="s">
        <v>1094</v>
      </c>
      <c r="C209" s="1057">
        <v>5320</v>
      </c>
      <c r="D209" s="1057">
        <v>5270</v>
      </c>
      <c r="E209" s="1057">
        <v>5540</v>
      </c>
      <c r="F209" s="1075">
        <v>980</v>
      </c>
      <c r="H209" s="1082"/>
    </row>
    <row r="210" spans="1:8" s="1051" customFormat="1" ht="14.25" customHeight="1" thickBot="1">
      <c r="A210" s="1063" t="s">
        <v>1403</v>
      </c>
      <c r="B210" s="1057" t="s">
        <v>1108</v>
      </c>
      <c r="C210" s="1057">
        <v>5760</v>
      </c>
      <c r="D210" s="1057">
        <v>5710</v>
      </c>
      <c r="E210" s="1057">
        <v>6010</v>
      </c>
      <c r="F210" s="1075">
        <v>870</v>
      </c>
      <c r="H210" s="1082"/>
    </row>
    <row r="211" spans="1:8" s="1051" customFormat="1" ht="14.25" customHeight="1" thickBot="1">
      <c r="A211" s="1063" t="s">
        <v>1403</v>
      </c>
      <c r="B211" s="1057" t="s">
        <v>1119</v>
      </c>
      <c r="C211" s="1057">
        <v>4160</v>
      </c>
      <c r="D211" s="1057">
        <v>4100</v>
      </c>
      <c r="E211" s="1057">
        <v>4270</v>
      </c>
      <c r="F211" s="1075">
        <v>790</v>
      </c>
      <c r="H211" s="1082"/>
    </row>
    <row r="212" spans="1:8" s="1051" customFormat="1" ht="14.25" customHeight="1" thickBot="1">
      <c r="A212" s="1063" t="s">
        <v>1403</v>
      </c>
      <c r="B212" s="1057" t="s">
        <v>1130</v>
      </c>
      <c r="C212" s="1057">
        <v>4880</v>
      </c>
      <c r="D212" s="1057">
        <v>4850</v>
      </c>
      <c r="E212" s="1057">
        <v>5110</v>
      </c>
      <c r="F212" s="1075">
        <v>940</v>
      </c>
      <c r="H212" s="1082"/>
    </row>
    <row r="213" spans="1:8" s="1051" customFormat="1" ht="14.25" customHeight="1" thickBot="1">
      <c r="A213" s="1063" t="s">
        <v>1403</v>
      </c>
      <c r="B213" s="1057" t="s">
        <v>1141</v>
      </c>
      <c r="C213" s="1057">
        <v>4640</v>
      </c>
      <c r="D213" s="1057">
        <v>4590</v>
      </c>
      <c r="E213" s="1057">
        <v>4700</v>
      </c>
      <c r="F213" s="1075">
        <v>1030</v>
      </c>
      <c r="H213" s="1082"/>
    </row>
    <row r="214" spans="1:8" s="1051" customFormat="1" ht="14.25" customHeight="1" thickBot="1">
      <c r="A214" s="1063" t="s">
        <v>1403</v>
      </c>
      <c r="B214" s="1057" t="s">
        <v>1153</v>
      </c>
      <c r="C214" s="1057">
        <v>4540</v>
      </c>
      <c r="D214" s="1057">
        <v>4490</v>
      </c>
      <c r="E214" s="1057">
        <v>4610</v>
      </c>
      <c r="F214" s="1084"/>
      <c r="H214" s="1082"/>
    </row>
    <row r="215" spans="1:8" s="1051" customFormat="1" ht="14.25" customHeight="1" thickBot="1">
      <c r="A215" s="1063" t="s">
        <v>1403</v>
      </c>
      <c r="B215" s="1057" t="s">
        <v>1163</v>
      </c>
      <c r="C215" s="1057">
        <v>5280</v>
      </c>
      <c r="D215" s="1057">
        <v>5250</v>
      </c>
      <c r="E215" s="1057">
        <v>5520</v>
      </c>
      <c r="F215" s="1075">
        <v>1000</v>
      </c>
      <c r="H215" s="1082"/>
    </row>
    <row r="216" spans="1:8" s="1051" customFormat="1" ht="14.25" customHeight="1" thickBot="1">
      <c r="A216" s="1063" t="s">
        <v>1403</v>
      </c>
      <c r="B216" s="1057" t="s">
        <v>1173</v>
      </c>
      <c r="C216" s="1057">
        <v>5100</v>
      </c>
      <c r="D216" s="1057">
        <v>5050</v>
      </c>
      <c r="E216" s="1057">
        <v>5300</v>
      </c>
      <c r="F216" s="1075">
        <v>950</v>
      </c>
      <c r="H216" s="1082"/>
    </row>
    <row r="217" spans="1:8" s="1051" customFormat="1" ht="14.25" customHeight="1" thickBot="1">
      <c r="A217" s="1063" t="s">
        <v>1403</v>
      </c>
      <c r="B217" s="1057" t="s">
        <v>1183</v>
      </c>
      <c r="C217" s="1057">
        <v>5370</v>
      </c>
      <c r="D217" s="1057">
        <v>5320</v>
      </c>
      <c r="E217" s="1057">
        <v>5410</v>
      </c>
      <c r="F217" s="1075">
        <v>950</v>
      </c>
      <c r="H217" s="1082"/>
    </row>
    <row r="218" spans="1:8" s="1051" customFormat="1" ht="14.25" customHeight="1" thickBot="1">
      <c r="A218" s="1063" t="s">
        <v>1403</v>
      </c>
      <c r="B218" s="1057" t="s">
        <v>1193</v>
      </c>
      <c r="C218" s="1057">
        <v>5540</v>
      </c>
      <c r="D218" s="1057">
        <v>5480</v>
      </c>
      <c r="E218" s="1057">
        <v>5740</v>
      </c>
      <c r="F218" s="1075">
        <v>1020</v>
      </c>
      <c r="H218" s="1082"/>
    </row>
    <row r="219" spans="1:8" s="1051" customFormat="1" ht="14.25" customHeight="1" thickBot="1">
      <c r="A219" s="1063" t="s">
        <v>1403</v>
      </c>
      <c r="B219" s="1057" t="s">
        <v>1203</v>
      </c>
      <c r="C219" s="1057">
        <v>5140</v>
      </c>
      <c r="D219" s="1057">
        <v>5100</v>
      </c>
      <c r="E219" s="1057">
        <v>5350</v>
      </c>
      <c r="F219" s="1075">
        <v>1120</v>
      </c>
      <c r="H219" s="1082"/>
    </row>
    <row r="220" spans="1:8" s="1051" customFormat="1" ht="14.25" customHeight="1" thickBot="1">
      <c r="A220" s="1063" t="s">
        <v>1403</v>
      </c>
      <c r="B220" s="1057" t="s">
        <v>1213</v>
      </c>
      <c r="C220" s="1057">
        <v>5040</v>
      </c>
      <c r="D220" s="1057">
        <v>5000</v>
      </c>
      <c r="E220" s="1057">
        <v>5240</v>
      </c>
      <c r="F220" s="1075">
        <v>980</v>
      </c>
      <c r="H220" s="1082"/>
    </row>
    <row r="221" spans="1:8" s="1051" customFormat="1" ht="14.25" customHeight="1" thickBot="1">
      <c r="A221" s="1063" t="s">
        <v>1403</v>
      </c>
      <c r="B221" s="1057" t="s">
        <v>1223</v>
      </c>
      <c r="C221" s="1085"/>
      <c r="D221" s="1085"/>
      <c r="E221" s="1085"/>
      <c r="F221" s="1075">
        <v>1070</v>
      </c>
      <c r="H221" s="1082"/>
    </row>
    <row r="222" spans="1:8" s="1051" customFormat="1" ht="14.25" customHeight="1" thickBot="1">
      <c r="A222" s="1063" t="s">
        <v>1403</v>
      </c>
      <c r="B222" s="1057" t="s">
        <v>1233</v>
      </c>
      <c r="C222" s="1085"/>
      <c r="D222" s="1085"/>
      <c r="E222" s="1085"/>
      <c r="F222" s="1075">
        <v>870</v>
      </c>
      <c r="H222" s="1082"/>
    </row>
    <row r="223" spans="1:8" s="1051" customFormat="1" ht="14.25" customHeight="1" thickBot="1">
      <c r="A223" s="1063" t="s">
        <v>1403</v>
      </c>
      <c r="B223" s="1057" t="s">
        <v>1243</v>
      </c>
      <c r="C223" s="1085"/>
      <c r="D223" s="1085"/>
      <c r="E223" s="1085"/>
      <c r="F223" s="1075">
        <v>940</v>
      </c>
      <c r="H223" s="1082"/>
    </row>
    <row r="224" spans="1:8" s="1051" customFormat="1" ht="14.25" customHeight="1" thickBot="1">
      <c r="A224" s="1063" t="s">
        <v>1403</v>
      </c>
      <c r="B224" s="1057" t="s">
        <v>1253</v>
      </c>
      <c r="C224" s="1085"/>
      <c r="D224" s="1085"/>
      <c r="E224" s="1085"/>
      <c r="F224" s="1075">
        <v>990</v>
      </c>
      <c r="H224" s="1082"/>
    </row>
    <row r="225" spans="1:8" s="1051" customFormat="1" ht="14.25" customHeight="1" thickBot="1">
      <c r="A225" s="1063" t="s">
        <v>1403</v>
      </c>
      <c r="B225" s="1057" t="s">
        <v>1262</v>
      </c>
      <c r="C225" s="1057">
        <v>5730</v>
      </c>
      <c r="D225" s="1057">
        <v>5680</v>
      </c>
      <c r="E225" s="1057">
        <v>6020</v>
      </c>
      <c r="F225" s="1075">
        <v>1000</v>
      </c>
      <c r="H225" s="1082"/>
    </row>
    <row r="226" spans="1:8" s="1051" customFormat="1" ht="14.25" customHeight="1" thickBot="1">
      <c r="A226" s="1063" t="s">
        <v>1403</v>
      </c>
      <c r="B226" s="1057" t="s">
        <v>1271</v>
      </c>
      <c r="C226" s="1057">
        <v>4970</v>
      </c>
      <c r="D226" s="1057">
        <v>4940</v>
      </c>
      <c r="E226" s="1057">
        <v>5180</v>
      </c>
      <c r="F226" s="1075">
        <v>960</v>
      </c>
      <c r="H226" s="1082"/>
    </row>
    <row r="227" spans="1:8" s="1051" customFormat="1" ht="14.25" customHeight="1" thickBot="1">
      <c r="A227" s="1063" t="s">
        <v>1403</v>
      </c>
      <c r="B227" s="1057" t="s">
        <v>1279</v>
      </c>
      <c r="C227" s="1057">
        <v>5550</v>
      </c>
      <c r="D227" s="1057">
        <v>5500</v>
      </c>
      <c r="E227" s="1057">
        <v>5780</v>
      </c>
      <c r="F227" s="1075">
        <v>940</v>
      </c>
      <c r="H227" s="1082"/>
    </row>
    <row r="228" spans="1:8" s="1051" customFormat="1" ht="14.25" customHeight="1" thickBot="1">
      <c r="A228" s="1063" t="s">
        <v>1403</v>
      </c>
      <c r="B228" s="1057" t="s">
        <v>1286</v>
      </c>
      <c r="C228" s="1057">
        <v>5460</v>
      </c>
      <c r="D228" s="1057">
        <v>5420</v>
      </c>
      <c r="E228" s="1057">
        <v>5690</v>
      </c>
      <c r="F228" s="1075">
        <v>910</v>
      </c>
      <c r="H228" s="1082"/>
    </row>
    <row r="229" spans="1:8" s="1051" customFormat="1" ht="14.25" customHeight="1" thickBot="1">
      <c r="A229" s="1063" t="s">
        <v>1403</v>
      </c>
      <c r="B229" s="1057" t="s">
        <v>1293</v>
      </c>
      <c r="C229" s="1057">
        <v>5310</v>
      </c>
      <c r="D229" s="1057">
        <v>5270</v>
      </c>
      <c r="E229" s="1057">
        <v>5510</v>
      </c>
      <c r="F229" s="1084"/>
      <c r="H229" s="1082"/>
    </row>
    <row r="230" spans="1:8" s="1051" customFormat="1" ht="14.25" customHeight="1" thickBot="1">
      <c r="A230" s="1063" t="s">
        <v>1403</v>
      </c>
      <c r="B230" s="1057" t="s">
        <v>1300</v>
      </c>
      <c r="C230" s="1057">
        <v>4540</v>
      </c>
      <c r="D230" s="1057">
        <v>4500</v>
      </c>
      <c r="E230" s="1057">
        <v>4730</v>
      </c>
      <c r="F230" s="1084"/>
      <c r="H230" s="1082"/>
    </row>
    <row r="231" spans="1:8" s="1051" customFormat="1" ht="14.25" customHeight="1" thickBot="1">
      <c r="A231" s="1063" t="s">
        <v>1403</v>
      </c>
      <c r="B231" s="1057" t="s">
        <v>1307</v>
      </c>
      <c r="C231" s="1057">
        <v>4480</v>
      </c>
      <c r="D231" s="1057">
        <v>4410</v>
      </c>
      <c r="E231" s="1057">
        <v>4640</v>
      </c>
      <c r="F231" s="1084"/>
      <c r="H231" s="1082"/>
    </row>
    <row r="232" spans="1:8" s="1051" customFormat="1" ht="14.25" customHeight="1" thickBot="1">
      <c r="A232" s="1063" t="s">
        <v>1403</v>
      </c>
      <c r="B232" s="1057" t="s">
        <v>1314</v>
      </c>
      <c r="C232" s="1057">
        <v>5670</v>
      </c>
      <c r="D232" s="1057">
        <v>5600</v>
      </c>
      <c r="E232" s="1057">
        <v>5890</v>
      </c>
      <c r="F232" s="1075">
        <v>1150</v>
      </c>
      <c r="H232" s="1082"/>
    </row>
    <row r="233" spans="1:8" s="1051" customFormat="1" ht="14.25" customHeight="1" thickBot="1">
      <c r="A233" s="1063" t="s">
        <v>1403</v>
      </c>
      <c r="B233" s="1057" t="s">
        <v>1321</v>
      </c>
      <c r="C233" s="1057">
        <v>4590</v>
      </c>
      <c r="D233" s="1057">
        <v>4500</v>
      </c>
      <c r="E233" s="1057">
        <v>4600</v>
      </c>
      <c r="F233" s="1084"/>
      <c r="H233" s="1082"/>
    </row>
    <row r="234" spans="1:8" s="1051" customFormat="1" ht="14.25" customHeight="1" thickBot="1">
      <c r="A234" s="1063" t="s">
        <v>1403</v>
      </c>
      <c r="B234" s="1057" t="s">
        <v>2407</v>
      </c>
      <c r="C234" s="1057">
        <v>3990</v>
      </c>
      <c r="D234" s="1057">
        <v>3950</v>
      </c>
      <c r="E234" s="1057">
        <v>4180</v>
      </c>
      <c r="F234" s="1084"/>
      <c r="H234" s="1082"/>
    </row>
    <row r="235" spans="1:8" s="1051" customFormat="1" ht="14.25" customHeight="1" thickBot="1">
      <c r="A235" s="1063" t="s">
        <v>1403</v>
      </c>
      <c r="B235" s="1057" t="s">
        <v>1330</v>
      </c>
      <c r="C235" s="1057">
        <v>5590</v>
      </c>
      <c r="D235" s="1057">
        <v>5540</v>
      </c>
      <c r="E235" s="1057">
        <v>5810</v>
      </c>
      <c r="F235" s="1075">
        <v>970</v>
      </c>
      <c r="H235" s="1082"/>
    </row>
    <row r="236" spans="1:8" s="1051" customFormat="1" ht="14.25" customHeight="1" thickBot="1">
      <c r="A236" s="1063" t="s">
        <v>1403</v>
      </c>
      <c r="B236" s="1057" t="s">
        <v>1335</v>
      </c>
      <c r="C236" s="1057"/>
      <c r="D236" s="1057"/>
      <c r="E236" s="1057"/>
      <c r="F236" s="1075">
        <v>1020</v>
      </c>
      <c r="H236" s="1082"/>
    </row>
    <row r="237" spans="1:8" s="1051" customFormat="1" ht="14.25" customHeight="1" thickBot="1">
      <c r="A237" s="1063" t="s">
        <v>1403</v>
      </c>
      <c r="B237" s="1057" t="s">
        <v>1340</v>
      </c>
      <c r="C237" s="1057"/>
      <c r="D237" s="1057"/>
      <c r="E237" s="1057"/>
      <c r="F237" s="1075">
        <v>960</v>
      </c>
      <c r="H237" s="1082"/>
    </row>
    <row r="238" spans="1:8" s="1051" customFormat="1" ht="14.25" customHeight="1" thickBot="1">
      <c r="A238" s="1063" t="s">
        <v>1403</v>
      </c>
      <c r="B238" s="1057" t="s">
        <v>1345</v>
      </c>
      <c r="C238" s="1057"/>
      <c r="D238" s="1057"/>
      <c r="E238" s="1057"/>
      <c r="F238" s="1075">
        <v>960</v>
      </c>
      <c r="H238" s="1082"/>
    </row>
    <row r="239" spans="1:8" s="1051" customFormat="1" ht="14.25" customHeight="1" thickBot="1">
      <c r="A239" s="1063" t="s">
        <v>1403</v>
      </c>
      <c r="B239" s="1057" t="s">
        <v>1350</v>
      </c>
      <c r="C239" s="1057"/>
      <c r="D239" s="1057"/>
      <c r="E239" s="1057"/>
      <c r="F239" s="1075">
        <v>960</v>
      </c>
      <c r="H239" s="1082"/>
    </row>
    <row r="240" spans="1:8" s="1051" customFormat="1" ht="14.25" customHeight="1" thickBot="1">
      <c r="A240" s="1063" t="s">
        <v>1403</v>
      </c>
      <c r="B240" s="1057" t="s">
        <v>1354</v>
      </c>
      <c r="C240" s="1057"/>
      <c r="D240" s="1057"/>
      <c r="E240" s="1057"/>
      <c r="F240" s="1075">
        <v>990</v>
      </c>
      <c r="H240" s="1082"/>
    </row>
    <row r="241" spans="1:8" s="1051" customFormat="1" ht="14.25" customHeight="1" thickBot="1">
      <c r="A241" s="1063" t="s">
        <v>1403</v>
      </c>
      <c r="B241" s="1057" t="s">
        <v>1358</v>
      </c>
      <c r="C241" s="1057"/>
      <c r="D241" s="1057"/>
      <c r="E241" s="1057"/>
      <c r="F241" s="1075">
        <v>1000</v>
      </c>
      <c r="H241" s="1082"/>
    </row>
    <row r="242" spans="1:8" s="1051" customFormat="1" ht="14.25" customHeight="1" thickBot="1">
      <c r="A242" s="1063" t="s">
        <v>1403</v>
      </c>
      <c r="B242" s="1057" t="s">
        <v>1362</v>
      </c>
      <c r="C242" s="1057"/>
      <c r="D242" s="1057"/>
      <c r="E242" s="1057"/>
      <c r="F242" s="1075">
        <v>980</v>
      </c>
      <c r="H242" s="1082"/>
    </row>
    <row r="243" spans="1:8" s="1051" customFormat="1" ht="14.25" customHeight="1" thickBot="1">
      <c r="A243" s="1063" t="s">
        <v>1403</v>
      </c>
      <c r="B243" s="1057" t="s">
        <v>1366</v>
      </c>
      <c r="C243" s="1057"/>
      <c r="D243" s="1057"/>
      <c r="E243" s="1057"/>
      <c r="F243" s="1075">
        <v>970</v>
      </c>
      <c r="H243" s="1082"/>
    </row>
    <row r="244" spans="1:8" s="1051" customFormat="1" ht="14.25" customHeight="1" thickBot="1">
      <c r="A244" s="1063" t="s">
        <v>1403</v>
      </c>
      <c r="B244" s="1073" t="s">
        <v>1370</v>
      </c>
      <c r="C244" s="1073"/>
      <c r="D244" s="1073"/>
      <c r="E244" s="1073"/>
      <c r="F244" s="1083">
        <v>970</v>
      </c>
      <c r="H244" s="1082"/>
    </row>
    <row r="245" spans="1:8" s="1051" customFormat="1" ht="14.25" customHeight="1" thickBot="1">
      <c r="A245" s="1063" t="s">
        <v>1405</v>
      </c>
      <c r="B245" s="1064" t="s">
        <v>1406</v>
      </c>
      <c r="C245" s="1064">
        <v>4050</v>
      </c>
      <c r="D245" s="1064">
        <v>4020</v>
      </c>
      <c r="E245" s="1064">
        <v>4160</v>
      </c>
      <c r="F245" s="1065">
        <v>840</v>
      </c>
      <c r="H245" s="1082"/>
    </row>
    <row r="246" spans="1:8" s="1051" customFormat="1" ht="14.25" customHeight="1" thickBot="1">
      <c r="A246" s="1063" t="s">
        <v>1405</v>
      </c>
      <c r="B246" s="1057" t="s">
        <v>1068</v>
      </c>
      <c r="C246" s="1057">
        <v>4010</v>
      </c>
      <c r="D246" s="1057">
        <v>3960</v>
      </c>
      <c r="E246" s="1057">
        <v>4130</v>
      </c>
      <c r="F246" s="1075">
        <v>840</v>
      </c>
      <c r="H246" s="1082"/>
    </row>
    <row r="247" spans="1:8" s="1051" customFormat="1" ht="14.25" customHeight="1" thickBot="1">
      <c r="A247" s="1063" t="s">
        <v>1405</v>
      </c>
      <c r="B247" s="1057" t="s">
        <v>1407</v>
      </c>
      <c r="C247" s="1057">
        <v>3170</v>
      </c>
      <c r="D247" s="1057">
        <v>3140</v>
      </c>
      <c r="E247" s="1057">
        <v>3270</v>
      </c>
      <c r="F247" s="1075">
        <v>640</v>
      </c>
      <c r="H247" s="1082"/>
    </row>
    <row r="248" spans="1:8" s="1051" customFormat="1" ht="14.25" customHeight="1" thickBot="1">
      <c r="A248" s="1063" t="s">
        <v>1405</v>
      </c>
      <c r="B248" s="1057" t="s">
        <v>1408</v>
      </c>
      <c r="C248" s="1057">
        <v>3140</v>
      </c>
      <c r="D248" s="1057">
        <v>3120</v>
      </c>
      <c r="E248" s="1057">
        <v>3240</v>
      </c>
      <c r="F248" s="1075">
        <v>620</v>
      </c>
      <c r="H248" s="1082"/>
    </row>
    <row r="249" spans="1:8" s="1051" customFormat="1" ht="14.25" customHeight="1" thickBot="1">
      <c r="A249" s="1063" t="s">
        <v>1405</v>
      </c>
      <c r="B249" s="1057" t="s">
        <v>1109</v>
      </c>
      <c r="C249" s="1057">
        <v>3200</v>
      </c>
      <c r="D249" s="1057">
        <v>3100</v>
      </c>
      <c r="E249" s="1057">
        <v>3230</v>
      </c>
      <c r="F249" s="1075">
        <v>750</v>
      </c>
      <c r="H249" s="1082"/>
    </row>
    <row r="250" spans="1:8" s="1051" customFormat="1" ht="14.25" customHeight="1" thickBot="1">
      <c r="A250" s="1063" t="s">
        <v>1405</v>
      </c>
      <c r="B250" s="1057" t="s">
        <v>1120</v>
      </c>
      <c r="C250" s="1057">
        <v>4060</v>
      </c>
      <c r="D250" s="1057">
        <v>4000</v>
      </c>
      <c r="E250" s="1057">
        <v>4140</v>
      </c>
      <c r="F250" s="1075">
        <v>790</v>
      </c>
      <c r="H250" s="1082"/>
    </row>
    <row r="251" spans="1:8" s="1051" customFormat="1" ht="14.25" customHeight="1" thickBot="1">
      <c r="A251" s="1063" t="s">
        <v>1405</v>
      </c>
      <c r="B251" s="1057" t="s">
        <v>1131</v>
      </c>
      <c r="C251" s="1057">
        <v>3990</v>
      </c>
      <c r="D251" s="1057">
        <v>3970</v>
      </c>
      <c r="E251" s="1057">
        <v>4110</v>
      </c>
      <c r="F251" s="1075">
        <v>730</v>
      </c>
      <c r="H251" s="1082"/>
    </row>
    <row r="252" spans="1:8" s="1051" customFormat="1" ht="14.25" customHeight="1" thickBot="1">
      <c r="A252" s="1063" t="s">
        <v>1405</v>
      </c>
      <c r="B252" s="1057" t="s">
        <v>1142</v>
      </c>
      <c r="C252" s="1057">
        <v>3560</v>
      </c>
      <c r="D252" s="1057">
        <v>3530</v>
      </c>
      <c r="E252" s="1057">
        <v>3650</v>
      </c>
      <c r="F252" s="1075">
        <v>750</v>
      </c>
      <c r="H252" s="1082"/>
    </row>
    <row r="253" spans="1:8" s="1051" customFormat="1" ht="14.25" customHeight="1" thickBot="1">
      <c r="A253" s="1063" t="s">
        <v>1405</v>
      </c>
      <c r="B253" s="1057" t="s">
        <v>1154</v>
      </c>
      <c r="C253" s="1057">
        <v>3780</v>
      </c>
      <c r="D253" s="1057">
        <v>3750</v>
      </c>
      <c r="E253" s="1057">
        <v>3870</v>
      </c>
      <c r="F253" s="1075">
        <v>770</v>
      </c>
      <c r="H253" s="1082"/>
    </row>
    <row r="254" spans="1:8" s="1051" customFormat="1" ht="14.25" customHeight="1" thickBot="1">
      <c r="A254" s="1063" t="s">
        <v>1405</v>
      </c>
      <c r="B254" s="1057" t="s">
        <v>1164</v>
      </c>
      <c r="C254" s="1085"/>
      <c r="D254" s="1085"/>
      <c r="E254" s="1085"/>
      <c r="F254" s="1075">
        <v>740</v>
      </c>
      <c r="H254" s="1082"/>
    </row>
    <row r="255" spans="1:8" s="1051" customFormat="1" ht="14.25" customHeight="1" thickBot="1">
      <c r="A255" s="1063" t="s">
        <v>1405</v>
      </c>
      <c r="B255" s="1057" t="s">
        <v>1174</v>
      </c>
      <c r="C255" s="1085"/>
      <c r="D255" s="1085"/>
      <c r="E255" s="1085"/>
      <c r="F255" s="1075">
        <v>760</v>
      </c>
      <c r="H255" s="1082"/>
    </row>
    <row r="256" spans="1:8" s="1051" customFormat="1" ht="14.25" customHeight="1" thickBot="1">
      <c r="A256" s="1063" t="s">
        <v>1405</v>
      </c>
      <c r="B256" s="1057" t="s">
        <v>1184</v>
      </c>
      <c r="C256" s="1057">
        <v>3760</v>
      </c>
      <c r="D256" s="1057">
        <v>3730</v>
      </c>
      <c r="E256" s="1057">
        <v>3870</v>
      </c>
      <c r="F256" s="1075">
        <v>830</v>
      </c>
      <c r="H256" s="1082"/>
    </row>
    <row r="257" spans="1:8" s="1051" customFormat="1" ht="14.25" customHeight="1" thickBot="1">
      <c r="A257" s="1063" t="s">
        <v>1405</v>
      </c>
      <c r="B257" s="1057" t="s">
        <v>1194</v>
      </c>
      <c r="C257" s="1057">
        <v>3570</v>
      </c>
      <c r="D257" s="1057">
        <v>3540</v>
      </c>
      <c r="E257" s="1057">
        <v>3650</v>
      </c>
      <c r="F257" s="1075">
        <v>790</v>
      </c>
      <c r="H257" s="1082"/>
    </row>
    <row r="258" spans="1:8" s="1051" customFormat="1" ht="14.25" customHeight="1" thickBot="1">
      <c r="A258" s="1063" t="s">
        <v>1405</v>
      </c>
      <c r="B258" s="1057" t="s">
        <v>1204</v>
      </c>
      <c r="C258" s="1057">
        <v>3410</v>
      </c>
      <c r="D258" s="1057">
        <v>3380</v>
      </c>
      <c r="E258" s="1057">
        <v>3500</v>
      </c>
      <c r="F258" s="1075">
        <v>830</v>
      </c>
      <c r="H258" s="1082"/>
    </row>
    <row r="259" spans="1:8" s="1051" customFormat="1" ht="14.25" customHeight="1" thickBot="1">
      <c r="A259" s="1063" t="s">
        <v>1405</v>
      </c>
      <c r="B259" s="1057" t="s">
        <v>1214</v>
      </c>
      <c r="C259" s="1057">
        <v>3870</v>
      </c>
      <c r="D259" s="1057">
        <v>3840</v>
      </c>
      <c r="E259" s="1057">
        <v>3970</v>
      </c>
      <c r="F259" s="1075">
        <v>830</v>
      </c>
      <c r="H259" s="1082"/>
    </row>
    <row r="260" spans="1:8" s="1051" customFormat="1" ht="14.25" customHeight="1" thickBot="1">
      <c r="A260" s="1063" t="s">
        <v>1405</v>
      </c>
      <c r="B260" s="1057" t="s">
        <v>1224</v>
      </c>
      <c r="C260" s="1057">
        <v>3700</v>
      </c>
      <c r="D260" s="1057">
        <v>3660</v>
      </c>
      <c r="E260" s="1057">
        <v>3810</v>
      </c>
      <c r="F260" s="1075">
        <v>790</v>
      </c>
      <c r="H260" s="1082"/>
    </row>
    <row r="261" spans="1:8" s="1051" customFormat="1" ht="14.25" customHeight="1" thickBot="1">
      <c r="A261" s="1063" t="s">
        <v>1405</v>
      </c>
      <c r="B261" s="1057" t="s">
        <v>1234</v>
      </c>
      <c r="C261" s="1057">
        <v>3470</v>
      </c>
      <c r="D261" s="1057">
        <v>3430</v>
      </c>
      <c r="E261" s="1057">
        <v>3640</v>
      </c>
      <c r="F261" s="1075">
        <v>760</v>
      </c>
      <c r="H261" s="1082"/>
    </row>
    <row r="262" spans="1:8" s="1051" customFormat="1" ht="14.25" customHeight="1" thickBot="1">
      <c r="A262" s="1063" t="s">
        <v>1405</v>
      </c>
      <c r="B262" s="1057" t="s">
        <v>1244</v>
      </c>
      <c r="C262" s="1057">
        <v>3510</v>
      </c>
      <c r="D262" s="1057">
        <v>3470</v>
      </c>
      <c r="E262" s="1057">
        <v>3680</v>
      </c>
      <c r="F262" s="1084"/>
      <c r="H262" s="1082"/>
    </row>
    <row r="263" spans="1:8" s="1051" customFormat="1" ht="14.25" customHeight="1" thickBot="1">
      <c r="A263" s="1063" t="s">
        <v>1405</v>
      </c>
      <c r="B263" s="1057" t="s">
        <v>1254</v>
      </c>
      <c r="C263" s="1057">
        <v>3960</v>
      </c>
      <c r="D263" s="1057">
        <v>3930</v>
      </c>
      <c r="E263" s="1057">
        <v>4070</v>
      </c>
      <c r="F263" s="1075">
        <v>830</v>
      </c>
      <c r="H263" s="1082"/>
    </row>
    <row r="264" spans="1:8" s="1051" customFormat="1" ht="14.25" customHeight="1" thickBot="1">
      <c r="A264" s="1063" t="s">
        <v>1405</v>
      </c>
      <c r="B264" s="1057" t="s">
        <v>1263</v>
      </c>
      <c r="C264" s="1057">
        <v>4010</v>
      </c>
      <c r="D264" s="1057">
        <v>3980</v>
      </c>
      <c r="E264" s="1057">
        <v>4150</v>
      </c>
      <c r="F264" s="1075">
        <v>760</v>
      </c>
      <c r="H264" s="1082"/>
    </row>
    <row r="265" spans="1:8" s="1051" customFormat="1" ht="14.25" customHeight="1" thickBot="1">
      <c r="A265" s="1063" t="s">
        <v>1405</v>
      </c>
      <c r="B265" s="1057" t="s">
        <v>1272</v>
      </c>
      <c r="C265" s="1057">
        <v>3910</v>
      </c>
      <c r="D265" s="1057">
        <v>3890</v>
      </c>
      <c r="E265" s="1057">
        <v>4040</v>
      </c>
      <c r="F265" s="1075">
        <v>780</v>
      </c>
      <c r="H265" s="1082"/>
    </row>
    <row r="266" spans="1:8" s="1051" customFormat="1" ht="14.25" customHeight="1" thickBot="1">
      <c r="A266" s="1063" t="s">
        <v>1405</v>
      </c>
      <c r="B266" s="1057" t="s">
        <v>1280</v>
      </c>
      <c r="C266" s="1057">
        <v>3930</v>
      </c>
      <c r="D266" s="1057">
        <v>3900</v>
      </c>
      <c r="E266" s="1057">
        <v>4080</v>
      </c>
      <c r="F266" s="1075">
        <v>770</v>
      </c>
      <c r="H266" s="1082"/>
    </row>
    <row r="267" spans="1:8" s="1051" customFormat="1" ht="14.25" customHeight="1" thickBot="1">
      <c r="A267" s="1063" t="s">
        <v>1405</v>
      </c>
      <c r="B267" s="1057" t="s">
        <v>1287</v>
      </c>
      <c r="C267" s="1057">
        <v>3800</v>
      </c>
      <c r="D267" s="1057">
        <v>3780</v>
      </c>
      <c r="E267" s="1057">
        <v>3930</v>
      </c>
      <c r="F267" s="1084"/>
      <c r="H267" s="1082"/>
    </row>
    <row r="268" spans="1:8" s="1051" customFormat="1" ht="14.25" customHeight="1" thickBot="1">
      <c r="A268" s="1063" t="s">
        <v>1405</v>
      </c>
      <c r="B268" s="1057" t="s">
        <v>1294</v>
      </c>
      <c r="C268" s="1057">
        <v>3460</v>
      </c>
      <c r="D268" s="1057">
        <v>3430</v>
      </c>
      <c r="E268" s="1057">
        <v>3560</v>
      </c>
      <c r="F268" s="1075">
        <v>840</v>
      </c>
      <c r="H268" s="1082"/>
    </row>
    <row r="269" spans="1:8" s="1051" customFormat="1" ht="14.25" customHeight="1" thickBot="1">
      <c r="A269" s="1063" t="s">
        <v>1405</v>
      </c>
      <c r="B269" s="1057" t="s">
        <v>1301</v>
      </c>
      <c r="C269" s="1057">
        <v>3210</v>
      </c>
      <c r="D269" s="1057">
        <v>3190</v>
      </c>
      <c r="E269" s="1057">
        <v>3310</v>
      </c>
      <c r="F269" s="1075">
        <v>730</v>
      </c>
      <c r="H269" s="1082"/>
    </row>
    <row r="270" spans="1:8" s="1051" customFormat="1" ht="14.25" customHeight="1" thickBot="1">
      <c r="A270" s="1063" t="s">
        <v>1405</v>
      </c>
      <c r="B270" s="1057" t="s">
        <v>1308</v>
      </c>
      <c r="C270" s="1057">
        <v>3240</v>
      </c>
      <c r="D270" s="1057">
        <v>3210</v>
      </c>
      <c r="E270" s="1057">
        <v>3390</v>
      </c>
      <c r="F270" s="1075">
        <v>820</v>
      </c>
      <c r="H270" s="1082"/>
    </row>
    <row r="271" spans="1:8" s="1051" customFormat="1" ht="14.25" customHeight="1" thickBot="1">
      <c r="A271" s="1063" t="s">
        <v>1405</v>
      </c>
      <c r="B271" s="1057" t="s">
        <v>1315</v>
      </c>
      <c r="C271" s="1057">
        <v>3300</v>
      </c>
      <c r="D271" s="1057">
        <v>3270</v>
      </c>
      <c r="E271" s="1057">
        <v>3380</v>
      </c>
      <c r="F271" s="1075">
        <v>750</v>
      </c>
      <c r="H271" s="1082"/>
    </row>
    <row r="272" spans="1:8" s="1051" customFormat="1" ht="14.25" customHeight="1" thickBot="1">
      <c r="A272" s="1063" t="s">
        <v>1405</v>
      </c>
      <c r="B272" s="1057" t="s">
        <v>1322</v>
      </c>
      <c r="C272" s="1085"/>
      <c r="D272" s="1085"/>
      <c r="E272" s="1085"/>
      <c r="F272" s="1075">
        <v>740</v>
      </c>
      <c r="H272" s="1082"/>
    </row>
    <row r="273" spans="1:8" s="1051" customFormat="1" ht="14.25" customHeight="1" thickBot="1">
      <c r="A273" s="1063" t="s">
        <v>1405</v>
      </c>
      <c r="B273" s="1057" t="s">
        <v>1326</v>
      </c>
      <c r="C273" s="1057">
        <v>3130</v>
      </c>
      <c r="D273" s="1057">
        <v>3100</v>
      </c>
      <c r="E273" s="1057">
        <v>3230</v>
      </c>
      <c r="F273" s="1075">
        <v>700</v>
      </c>
      <c r="H273" s="1082"/>
    </row>
    <row r="274" spans="1:8" s="1051" customFormat="1" ht="14.25" customHeight="1" thickBot="1">
      <c r="A274" s="1063" t="s">
        <v>1405</v>
      </c>
      <c r="B274" s="1057" t="s">
        <v>1331</v>
      </c>
      <c r="C274" s="1057">
        <v>3460</v>
      </c>
      <c r="D274" s="1057">
        <v>3430</v>
      </c>
      <c r="E274" s="1057">
        <v>3560</v>
      </c>
      <c r="F274" s="1075">
        <v>690</v>
      </c>
      <c r="H274" s="1082"/>
    </row>
    <row r="275" spans="1:8" s="1051" customFormat="1" ht="14.25" customHeight="1" thickBot="1">
      <c r="A275" s="1063" t="s">
        <v>1405</v>
      </c>
      <c r="B275" s="1057" t="s">
        <v>1336</v>
      </c>
      <c r="C275" s="1057">
        <v>4040</v>
      </c>
      <c r="D275" s="1057">
        <v>4020</v>
      </c>
      <c r="E275" s="1057">
        <v>4160</v>
      </c>
      <c r="F275" s="1075">
        <v>820</v>
      </c>
      <c r="H275" s="1082"/>
    </row>
    <row r="276" spans="1:8" s="1051" customFormat="1" ht="14.25" customHeight="1" thickBot="1">
      <c r="A276" s="1063" t="s">
        <v>1405</v>
      </c>
      <c r="B276" s="1057" t="s">
        <v>1341</v>
      </c>
      <c r="C276" s="1057">
        <v>3270</v>
      </c>
      <c r="D276" s="1057">
        <v>3240</v>
      </c>
      <c r="E276" s="1057">
        <v>3350</v>
      </c>
      <c r="F276" s="1075">
        <v>680</v>
      </c>
      <c r="H276" s="1082"/>
    </row>
    <row r="277" spans="1:8" s="1051" customFormat="1" ht="14.25" customHeight="1" thickBot="1">
      <c r="A277" s="1063" t="s">
        <v>1405</v>
      </c>
      <c r="B277" s="1057" t="s">
        <v>1346</v>
      </c>
      <c r="C277" s="1057">
        <v>2930</v>
      </c>
      <c r="D277" s="1057">
        <v>2900</v>
      </c>
      <c r="E277" s="1057">
        <v>3000</v>
      </c>
      <c r="F277" s="1075">
        <v>640</v>
      </c>
      <c r="H277" s="1082"/>
    </row>
    <row r="278" spans="1:8" s="1051" customFormat="1" ht="14.25" customHeight="1" thickBot="1">
      <c r="A278" s="1063" t="s">
        <v>1405</v>
      </c>
      <c r="B278" s="1057" t="s">
        <v>1351</v>
      </c>
      <c r="C278" s="1057">
        <v>4080</v>
      </c>
      <c r="D278" s="1057">
        <v>4030</v>
      </c>
      <c r="E278" s="1057">
        <v>4140</v>
      </c>
      <c r="F278" s="1075">
        <v>850</v>
      </c>
      <c r="H278" s="1082"/>
    </row>
    <row r="279" spans="1:8" s="1051" customFormat="1" ht="14.25" customHeight="1" thickBot="1">
      <c r="A279" s="1063" t="s">
        <v>1405</v>
      </c>
      <c r="B279" s="1057" t="s">
        <v>1355</v>
      </c>
      <c r="C279" s="1057"/>
      <c r="D279" s="1057"/>
      <c r="E279" s="1057"/>
      <c r="F279" s="1075">
        <v>760</v>
      </c>
      <c r="H279" s="1082"/>
    </row>
    <row r="280" spans="1:8" s="1051" customFormat="1" ht="14.25" customHeight="1" thickBot="1">
      <c r="A280" s="1063" t="s">
        <v>1405</v>
      </c>
      <c r="B280" s="1057" t="s">
        <v>1359</v>
      </c>
      <c r="C280" s="1057"/>
      <c r="D280" s="1057"/>
      <c r="E280" s="1057"/>
      <c r="F280" s="1075">
        <v>760</v>
      </c>
      <c r="H280" s="1082"/>
    </row>
    <row r="281" spans="1:8" s="1051" customFormat="1" ht="14.25" customHeight="1" thickBot="1">
      <c r="A281" s="1063" t="s">
        <v>1405</v>
      </c>
      <c r="B281" s="1057" t="s">
        <v>1363</v>
      </c>
      <c r="C281" s="1057"/>
      <c r="D281" s="1057"/>
      <c r="E281" s="1057"/>
      <c r="F281" s="1075">
        <v>780</v>
      </c>
      <c r="H281" s="1082"/>
    </row>
    <row r="282" spans="1:8" s="1051" customFormat="1" ht="14.25" customHeight="1" thickBot="1">
      <c r="A282" s="1063" t="s">
        <v>1405</v>
      </c>
      <c r="B282" s="1057" t="s">
        <v>1367</v>
      </c>
      <c r="C282" s="1057"/>
      <c r="D282" s="1057"/>
      <c r="E282" s="1057"/>
      <c r="F282" s="1075">
        <v>730</v>
      </c>
      <c r="H282" s="1082"/>
    </row>
    <row r="283" spans="1:8" s="1051" customFormat="1" ht="14.25" customHeight="1" thickBot="1">
      <c r="A283" s="1063" t="s">
        <v>1405</v>
      </c>
      <c r="B283" s="1057" t="s">
        <v>1371</v>
      </c>
      <c r="C283" s="1057"/>
      <c r="D283" s="1057"/>
      <c r="E283" s="1057"/>
      <c r="F283" s="1075">
        <v>770</v>
      </c>
      <c r="H283" s="1082"/>
    </row>
    <row r="284" spans="1:8" s="1051" customFormat="1" ht="14.25" customHeight="1" thickBot="1">
      <c r="A284" s="1063" t="s">
        <v>1405</v>
      </c>
      <c r="B284" s="1057" t="s">
        <v>1374</v>
      </c>
      <c r="C284" s="1057"/>
      <c r="D284" s="1057"/>
      <c r="E284" s="1057"/>
      <c r="F284" s="1075">
        <v>640</v>
      </c>
      <c r="H284" s="1082"/>
    </row>
    <row r="285" spans="1:8" s="1051" customFormat="1" ht="14.25" customHeight="1" thickBot="1">
      <c r="A285" s="1063" t="s">
        <v>1405</v>
      </c>
      <c r="B285" s="1057" t="s">
        <v>1377</v>
      </c>
      <c r="C285" s="1057"/>
      <c r="D285" s="1057"/>
      <c r="E285" s="1057"/>
      <c r="F285" s="1075">
        <v>640</v>
      </c>
      <c r="H285" s="1082"/>
    </row>
    <row r="286" spans="1:8" s="1051" customFormat="1" ht="14.25" customHeight="1" thickBot="1">
      <c r="A286" s="1063" t="s">
        <v>1405</v>
      </c>
      <c r="B286" s="1057" t="s">
        <v>1380</v>
      </c>
      <c r="C286" s="1057"/>
      <c r="D286" s="1057"/>
      <c r="E286" s="1057"/>
      <c r="F286" s="1075">
        <v>850</v>
      </c>
      <c r="H286" s="1082"/>
    </row>
    <row r="287" spans="1:8" s="1051" customFormat="1" ht="14.25" customHeight="1" thickBot="1">
      <c r="A287" s="1063" t="s">
        <v>1405</v>
      </c>
      <c r="B287" s="1057" t="s">
        <v>1383</v>
      </c>
      <c r="C287" s="1057"/>
      <c r="D287" s="1057"/>
      <c r="E287" s="1057"/>
      <c r="F287" s="1075">
        <v>760</v>
      </c>
      <c r="H287" s="1082"/>
    </row>
    <row r="288" spans="1:8" s="1051" customFormat="1" ht="14.25" customHeight="1" thickBot="1">
      <c r="A288" s="1063" t="s">
        <v>1405</v>
      </c>
      <c r="B288" s="1057" t="s">
        <v>1386</v>
      </c>
      <c r="C288" s="1057"/>
      <c r="D288" s="1057"/>
      <c r="E288" s="1057"/>
      <c r="F288" s="1075">
        <v>830</v>
      </c>
      <c r="H288" s="1082"/>
    </row>
    <row r="289" spans="1:8" s="1051" customFormat="1" ht="14.25" customHeight="1" thickBot="1">
      <c r="A289" s="1063" t="s">
        <v>1405</v>
      </c>
      <c r="B289" s="1073" t="s">
        <v>1389</v>
      </c>
      <c r="C289" s="1073"/>
      <c r="D289" s="1073"/>
      <c r="E289" s="1073"/>
      <c r="F289" s="1083">
        <v>680</v>
      </c>
      <c r="H289" s="1082"/>
    </row>
    <row r="290" spans="1:8" s="1051" customFormat="1" ht="14.25" customHeight="1" thickBot="1">
      <c r="A290" s="1063" t="s">
        <v>1409</v>
      </c>
      <c r="B290" s="1064" t="s">
        <v>1410</v>
      </c>
      <c r="C290" s="1064">
        <v>2770</v>
      </c>
      <c r="D290" s="1064">
        <v>2740</v>
      </c>
      <c r="E290" s="1064">
        <v>2720</v>
      </c>
      <c r="F290" s="1086"/>
      <c r="H290" s="1082"/>
    </row>
    <row r="291" spans="1:8" s="1051" customFormat="1" ht="14.25" customHeight="1" thickBot="1">
      <c r="A291" s="1063" t="s">
        <v>1409</v>
      </c>
      <c r="B291" s="1057" t="s">
        <v>1069</v>
      </c>
      <c r="C291" s="1057">
        <v>2670</v>
      </c>
      <c r="D291" s="1057">
        <v>2640</v>
      </c>
      <c r="E291" s="1057">
        <v>2620</v>
      </c>
      <c r="F291" s="1084"/>
      <c r="H291" s="1082"/>
    </row>
    <row r="292" spans="1:8" s="1051" customFormat="1" ht="14.25" customHeight="1" thickBot="1">
      <c r="A292" s="1063" t="s">
        <v>1409</v>
      </c>
      <c r="B292" s="1057" t="s">
        <v>1411</v>
      </c>
      <c r="C292" s="1057">
        <v>2180</v>
      </c>
      <c r="D292" s="1057">
        <v>2140</v>
      </c>
      <c r="E292" s="1057">
        <v>2120</v>
      </c>
      <c r="F292" s="1075">
        <v>490</v>
      </c>
      <c r="H292" s="1082"/>
    </row>
    <row r="293" spans="1:8" s="1051" customFormat="1" ht="14.25" customHeight="1" thickBot="1">
      <c r="A293" s="1063" t="s">
        <v>1409</v>
      </c>
      <c r="B293" s="1057" t="s">
        <v>1412</v>
      </c>
      <c r="C293" s="1057"/>
      <c r="D293" s="1057"/>
      <c r="E293" s="1057"/>
      <c r="F293" s="1075">
        <v>470</v>
      </c>
      <c r="H293" s="1082"/>
    </row>
    <row r="294" spans="1:8" s="1051" customFormat="1" ht="14.25" customHeight="1" thickBot="1">
      <c r="A294" s="1063" t="s">
        <v>1409</v>
      </c>
      <c r="B294" s="1057" t="s">
        <v>1413</v>
      </c>
      <c r="C294" s="1057">
        <v>2730</v>
      </c>
      <c r="D294" s="1057">
        <v>2700</v>
      </c>
      <c r="E294" s="1057">
        <v>2680</v>
      </c>
      <c r="F294" s="1075">
        <v>490</v>
      </c>
      <c r="H294" s="1082"/>
    </row>
    <row r="295" spans="1:8" s="1051" customFormat="1" ht="14.25" customHeight="1" thickBot="1">
      <c r="A295" s="1063" t="s">
        <v>1409</v>
      </c>
      <c r="B295" s="1057" t="s">
        <v>1110</v>
      </c>
      <c r="C295" s="1057">
        <v>2380</v>
      </c>
      <c r="D295" s="1057">
        <v>2350</v>
      </c>
      <c r="E295" s="1057">
        <v>2330</v>
      </c>
      <c r="F295" s="1075">
        <v>530</v>
      </c>
      <c r="H295" s="1082"/>
    </row>
    <row r="296" spans="1:8" s="1051" customFormat="1" ht="14.25" customHeight="1" thickBot="1">
      <c r="A296" s="1063" t="s">
        <v>1409</v>
      </c>
      <c r="B296" s="1057" t="s">
        <v>1121</v>
      </c>
      <c r="C296" s="1057">
        <v>2650</v>
      </c>
      <c r="D296" s="1057">
        <v>2620</v>
      </c>
      <c r="E296" s="1057">
        <v>2590</v>
      </c>
      <c r="F296" s="1075">
        <v>590</v>
      </c>
      <c r="H296" s="1082"/>
    </row>
    <row r="297" spans="1:8" s="1051" customFormat="1" ht="14.25" customHeight="1" thickBot="1">
      <c r="A297" s="1063" t="s">
        <v>1409</v>
      </c>
      <c r="B297" s="1057" t="s">
        <v>1132</v>
      </c>
      <c r="C297" s="1057">
        <v>2700</v>
      </c>
      <c r="D297" s="1057">
        <v>2670</v>
      </c>
      <c r="E297" s="1057">
        <v>2650</v>
      </c>
      <c r="F297" s="1075">
        <v>630</v>
      </c>
      <c r="H297" s="1082"/>
    </row>
    <row r="298" spans="1:8" s="1051" customFormat="1" ht="14.25" customHeight="1" thickBot="1">
      <c r="A298" s="1063" t="s">
        <v>1409</v>
      </c>
      <c r="B298" s="1057" t="s">
        <v>1143</v>
      </c>
      <c r="C298" s="1057">
        <v>2650</v>
      </c>
      <c r="D298" s="1057">
        <v>2620</v>
      </c>
      <c r="E298" s="1057">
        <v>2590</v>
      </c>
      <c r="F298" s="1075">
        <v>640</v>
      </c>
      <c r="H298" s="1082"/>
    </row>
    <row r="299" spans="1:8" s="1051" customFormat="1" ht="14.25" customHeight="1" thickBot="1">
      <c r="A299" s="1063" t="s">
        <v>1409</v>
      </c>
      <c r="B299" s="1057" t="s">
        <v>1155</v>
      </c>
      <c r="C299" s="1057">
        <v>2500</v>
      </c>
      <c r="D299" s="1057">
        <v>2480</v>
      </c>
      <c r="E299" s="1057">
        <v>2460</v>
      </c>
      <c r="F299" s="1084"/>
      <c r="H299" s="1082"/>
    </row>
    <row r="300" spans="1:8" s="1051" customFormat="1" ht="14.25" customHeight="1" thickBot="1">
      <c r="A300" s="1063" t="s">
        <v>1409</v>
      </c>
      <c r="B300" s="1057" t="s">
        <v>1165</v>
      </c>
      <c r="C300" s="1057">
        <v>2760</v>
      </c>
      <c r="D300" s="1057">
        <v>2730</v>
      </c>
      <c r="E300" s="1057">
        <v>2700</v>
      </c>
      <c r="F300" s="1075">
        <v>630</v>
      </c>
      <c r="H300" s="1082"/>
    </row>
    <row r="301" spans="1:8" s="1051" customFormat="1" ht="14.25" customHeight="1" thickBot="1">
      <c r="A301" s="1063" t="s">
        <v>1409</v>
      </c>
      <c r="B301" s="1057" t="s">
        <v>1175</v>
      </c>
      <c r="C301" s="1057">
        <v>2510</v>
      </c>
      <c r="D301" s="1057">
        <v>2480</v>
      </c>
      <c r="E301" s="1057">
        <v>2460</v>
      </c>
      <c r="F301" s="1084"/>
      <c r="H301" s="1082"/>
    </row>
    <row r="302" spans="1:8" s="1051" customFormat="1" ht="14.25" customHeight="1" thickBot="1">
      <c r="A302" s="1063" t="s">
        <v>1409</v>
      </c>
      <c r="B302" s="1057" t="s">
        <v>1185</v>
      </c>
      <c r="C302" s="1057">
        <v>2480</v>
      </c>
      <c r="D302" s="1057">
        <v>2450</v>
      </c>
      <c r="E302" s="1057">
        <v>2420</v>
      </c>
      <c r="F302" s="1075">
        <v>600</v>
      </c>
      <c r="H302" s="1082"/>
    </row>
    <row r="303" spans="1:8" s="1051" customFormat="1" ht="14.25" customHeight="1" thickBot="1">
      <c r="A303" s="1063" t="s">
        <v>1409</v>
      </c>
      <c r="B303" s="1057" t="s">
        <v>1195</v>
      </c>
      <c r="C303" s="1057">
        <v>2270</v>
      </c>
      <c r="D303" s="1057">
        <v>2240</v>
      </c>
      <c r="E303" s="1057">
        <v>2210</v>
      </c>
      <c r="F303" s="1075">
        <v>540</v>
      </c>
      <c r="H303" s="1082"/>
    </row>
    <row r="304" spans="1:8" s="1051" customFormat="1" ht="14.25" customHeight="1" thickBot="1">
      <c r="A304" s="1063" t="s">
        <v>1409</v>
      </c>
      <c r="B304" s="1057" t="s">
        <v>1205</v>
      </c>
      <c r="C304" s="1057">
        <v>2310</v>
      </c>
      <c r="D304" s="1057">
        <v>2290</v>
      </c>
      <c r="E304" s="1057">
        <v>2270</v>
      </c>
      <c r="F304" s="1084"/>
      <c r="H304" s="1082"/>
    </row>
    <row r="305" spans="1:8" s="1051" customFormat="1" ht="14.25" customHeight="1" thickBot="1">
      <c r="A305" s="1063" t="s">
        <v>1409</v>
      </c>
      <c r="B305" s="1057" t="s">
        <v>1215</v>
      </c>
      <c r="C305" s="1057">
        <v>2490</v>
      </c>
      <c r="D305" s="1057">
        <v>2470</v>
      </c>
      <c r="E305" s="1057">
        <v>2440</v>
      </c>
      <c r="F305" s="1075">
        <v>560</v>
      </c>
      <c r="H305" s="1082"/>
    </row>
    <row r="306" spans="1:8" s="1051" customFormat="1" ht="14.25" customHeight="1" thickBot="1">
      <c r="A306" s="1063" t="s">
        <v>1409</v>
      </c>
      <c r="B306" s="1057" t="s">
        <v>1225</v>
      </c>
      <c r="C306" s="1057">
        <v>2420</v>
      </c>
      <c r="D306" s="1057">
        <v>2400</v>
      </c>
      <c r="E306" s="1057">
        <v>2380</v>
      </c>
      <c r="F306" s="1084"/>
      <c r="H306" s="1082"/>
    </row>
    <row r="307" spans="1:8" s="1051" customFormat="1" ht="14.25" customHeight="1" thickBot="1">
      <c r="A307" s="1063" t="s">
        <v>1409</v>
      </c>
      <c r="B307" s="1057" t="s">
        <v>1235</v>
      </c>
      <c r="C307" s="1057">
        <v>2770</v>
      </c>
      <c r="D307" s="1057">
        <v>2740</v>
      </c>
      <c r="E307" s="1057">
        <v>2710</v>
      </c>
      <c r="F307" s="1075">
        <v>650</v>
      </c>
      <c r="H307" s="1082"/>
    </row>
    <row r="308" spans="1:8" s="1051" customFormat="1" ht="14.25" customHeight="1" thickBot="1">
      <c r="A308" s="1063" t="s">
        <v>1409</v>
      </c>
      <c r="B308" s="1057" t="s">
        <v>1245</v>
      </c>
      <c r="C308" s="1057">
        <v>2610</v>
      </c>
      <c r="D308" s="1057">
        <v>2580</v>
      </c>
      <c r="E308" s="1057">
        <v>2550</v>
      </c>
      <c r="F308" s="1075">
        <v>580</v>
      </c>
      <c r="H308" s="1082"/>
    </row>
    <row r="309" spans="1:8" s="1051" customFormat="1" ht="14.25" customHeight="1" thickBot="1">
      <c r="A309" s="1063" t="s">
        <v>1409</v>
      </c>
      <c r="B309" s="1057" t="s">
        <v>1255</v>
      </c>
      <c r="C309" s="1057">
        <v>2690</v>
      </c>
      <c r="D309" s="1057">
        <v>2670</v>
      </c>
      <c r="E309" s="1057">
        <v>2650</v>
      </c>
      <c r="F309" s="1084"/>
      <c r="H309" s="1082"/>
    </row>
    <row r="310" spans="1:8" s="1051" customFormat="1" ht="14.25" customHeight="1" thickBot="1">
      <c r="A310" s="1063" t="s">
        <v>1409</v>
      </c>
      <c r="B310" s="1057" t="s">
        <v>1264</v>
      </c>
      <c r="C310" s="1057">
        <v>2360</v>
      </c>
      <c r="D310" s="1057">
        <v>2330</v>
      </c>
      <c r="E310" s="1057">
        <v>2310</v>
      </c>
      <c r="F310" s="1075">
        <v>560</v>
      </c>
      <c r="H310" s="1082"/>
    </row>
    <row r="311" spans="1:8" s="1051" customFormat="1" ht="14.25" customHeight="1" thickBot="1">
      <c r="A311" s="1063" t="s">
        <v>1409</v>
      </c>
      <c r="B311" s="1057" t="s">
        <v>1273</v>
      </c>
      <c r="C311" s="1057">
        <v>1970</v>
      </c>
      <c r="D311" s="1057">
        <v>1950</v>
      </c>
      <c r="E311" s="1057">
        <v>1920</v>
      </c>
      <c r="F311" s="1075">
        <v>470</v>
      </c>
      <c r="H311" s="1082"/>
    </row>
    <row r="312" spans="1:8" s="1051" customFormat="1" ht="14.25" customHeight="1" thickBot="1">
      <c r="A312" s="1063" t="s">
        <v>1409</v>
      </c>
      <c r="B312" s="1057" t="s">
        <v>1281</v>
      </c>
      <c r="C312" s="1057">
        <v>2230</v>
      </c>
      <c r="D312" s="1057">
        <v>2200</v>
      </c>
      <c r="E312" s="1057">
        <v>2170</v>
      </c>
      <c r="F312" s="1075">
        <v>460</v>
      </c>
      <c r="H312" s="1082"/>
    </row>
    <row r="313" spans="1:8" s="1051" customFormat="1" ht="14.25" customHeight="1" thickBot="1">
      <c r="A313" s="1063" t="s">
        <v>1409</v>
      </c>
      <c r="B313" s="1057" t="s">
        <v>1288</v>
      </c>
      <c r="C313" s="1057">
        <v>2770</v>
      </c>
      <c r="D313" s="1057">
        <v>2740</v>
      </c>
      <c r="E313" s="1057">
        <v>2710</v>
      </c>
      <c r="F313" s="1075">
        <v>610</v>
      </c>
      <c r="H313" s="1082"/>
    </row>
    <row r="314" spans="1:8" s="1051" customFormat="1" ht="14.25" customHeight="1" thickBot="1">
      <c r="A314" s="1063" t="s">
        <v>1409</v>
      </c>
      <c r="B314" s="1057" t="s">
        <v>1295</v>
      </c>
      <c r="C314" s="1057"/>
      <c r="D314" s="1057"/>
      <c r="E314" s="1057"/>
      <c r="F314" s="1075">
        <v>490</v>
      </c>
      <c r="H314" s="1082"/>
    </row>
    <row r="315" spans="1:8" s="1051" customFormat="1" ht="14.25" customHeight="1" thickBot="1">
      <c r="A315" s="1063" t="s">
        <v>1409</v>
      </c>
      <c r="B315" s="1057" t="s">
        <v>1302</v>
      </c>
      <c r="C315" s="1057"/>
      <c r="D315" s="1057"/>
      <c r="E315" s="1057"/>
      <c r="F315" s="1075">
        <v>520</v>
      </c>
      <c r="H315" s="1082"/>
    </row>
    <row r="316" spans="1:8" s="1051" customFormat="1" ht="14.25" customHeight="1" thickBot="1">
      <c r="A316" s="1063" t="s">
        <v>1409</v>
      </c>
      <c r="B316" s="1073" t="s">
        <v>1309</v>
      </c>
      <c r="C316" s="1073"/>
      <c r="D316" s="1073"/>
      <c r="E316" s="1073"/>
      <c r="F316" s="1083">
        <v>460</v>
      </c>
      <c r="H316" s="1082"/>
    </row>
    <row r="317" spans="1:8" s="1051" customFormat="1" ht="14.25" customHeight="1" thickBot="1">
      <c r="A317" s="1063" t="s">
        <v>907</v>
      </c>
      <c r="B317" s="1064" t="s">
        <v>1414</v>
      </c>
      <c r="C317" s="1064">
        <v>1200</v>
      </c>
      <c r="D317" s="1064">
        <v>1180</v>
      </c>
      <c r="E317" s="1064">
        <v>1160</v>
      </c>
      <c r="F317" s="1065">
        <v>370</v>
      </c>
      <c r="H317" s="1048"/>
    </row>
    <row r="318" spans="1:8" s="1051" customFormat="1" ht="14.25" customHeight="1" thickBot="1">
      <c r="A318" s="1063" t="s">
        <v>907</v>
      </c>
      <c r="B318" s="1057" t="s">
        <v>1415</v>
      </c>
      <c r="C318" s="1057">
        <v>1090</v>
      </c>
      <c r="D318" s="1057">
        <v>1060</v>
      </c>
      <c r="E318" s="1057">
        <v>1040</v>
      </c>
      <c r="F318" s="1084"/>
      <c r="H318" s="1048"/>
    </row>
    <row r="319" spans="1:8" s="1051" customFormat="1" ht="14.25" customHeight="1" thickBot="1">
      <c r="A319" s="1063" t="s">
        <v>907</v>
      </c>
      <c r="B319" s="1057" t="s">
        <v>1416</v>
      </c>
      <c r="C319" s="1057">
        <v>1520</v>
      </c>
      <c r="D319" s="1057">
        <v>1470</v>
      </c>
      <c r="E319" s="1057">
        <v>1440</v>
      </c>
      <c r="F319" s="1075">
        <v>370</v>
      </c>
      <c r="H319" s="1048"/>
    </row>
    <row r="320" spans="1:8" s="1051" customFormat="1" ht="14.25" customHeight="1" thickBot="1">
      <c r="A320" s="1063" t="s">
        <v>907</v>
      </c>
      <c r="B320" s="1057" t="s">
        <v>1097</v>
      </c>
      <c r="C320" s="1057">
        <v>1360</v>
      </c>
      <c r="D320" s="1057">
        <v>1300</v>
      </c>
      <c r="E320" s="1057">
        <v>1270</v>
      </c>
      <c r="F320" s="1084"/>
      <c r="H320" s="1048"/>
    </row>
    <row r="321" spans="1:8" s="1051" customFormat="1" ht="14.25" customHeight="1" thickBot="1">
      <c r="A321" s="1063" t="s">
        <v>907</v>
      </c>
      <c r="B321" s="1057" t="s">
        <v>1111</v>
      </c>
      <c r="C321" s="1057">
        <v>1750</v>
      </c>
      <c r="D321" s="1057">
        <v>1690</v>
      </c>
      <c r="E321" s="1057">
        <v>1660</v>
      </c>
      <c r="F321" s="1084"/>
      <c r="H321" s="1048"/>
    </row>
    <row r="322" spans="1:8" s="1051" customFormat="1" ht="14.25" customHeight="1" thickBot="1">
      <c r="A322" s="1063" t="s">
        <v>907</v>
      </c>
      <c r="B322" s="1057" t="s">
        <v>1122</v>
      </c>
      <c r="C322" s="1057">
        <v>1650</v>
      </c>
      <c r="D322" s="1057">
        <v>1610</v>
      </c>
      <c r="E322" s="1057">
        <v>1580</v>
      </c>
      <c r="F322" s="1075">
        <v>500</v>
      </c>
      <c r="H322" s="1048"/>
    </row>
    <row r="323" spans="1:8" s="1051" customFormat="1" ht="14.25" customHeight="1" thickBot="1">
      <c r="A323" s="1063" t="s">
        <v>907</v>
      </c>
      <c r="B323" s="1057" t="s">
        <v>1133</v>
      </c>
      <c r="C323" s="1057">
        <v>1780</v>
      </c>
      <c r="D323" s="1057">
        <v>1740</v>
      </c>
      <c r="E323" s="1057">
        <v>1720</v>
      </c>
      <c r="F323" s="1084"/>
      <c r="H323" s="1048"/>
    </row>
    <row r="324" spans="1:8" s="1051" customFormat="1" ht="14.25" customHeight="1" thickBot="1">
      <c r="A324" s="1063" t="s">
        <v>907</v>
      </c>
      <c r="B324" s="1057" t="s">
        <v>1144</v>
      </c>
      <c r="C324" s="1057">
        <v>1650</v>
      </c>
      <c r="D324" s="1057">
        <v>1610</v>
      </c>
      <c r="E324" s="1057">
        <v>1580</v>
      </c>
      <c r="F324" s="1084"/>
      <c r="H324" s="1048"/>
    </row>
    <row r="325" spans="1:8" s="1051" customFormat="1" ht="14.25" customHeight="1" thickBot="1">
      <c r="A325" s="1063" t="s">
        <v>907</v>
      </c>
      <c r="B325" s="1057" t="s">
        <v>1156</v>
      </c>
      <c r="C325" s="1057">
        <v>1330</v>
      </c>
      <c r="D325" s="1057">
        <v>1270</v>
      </c>
      <c r="E325" s="1057">
        <v>1240</v>
      </c>
      <c r="F325" s="1075">
        <v>430</v>
      </c>
      <c r="H325" s="1048"/>
    </row>
    <row r="326" spans="1:8" s="1051" customFormat="1" ht="14.25" customHeight="1" thickBot="1">
      <c r="A326" s="1063" t="s">
        <v>907</v>
      </c>
      <c r="B326" s="1057" t="s">
        <v>1166</v>
      </c>
      <c r="C326" s="1057">
        <v>1470</v>
      </c>
      <c r="D326" s="1057">
        <v>1430</v>
      </c>
      <c r="E326" s="1057">
        <v>1400</v>
      </c>
      <c r="F326" s="1084"/>
      <c r="H326" s="1048"/>
    </row>
    <row r="327" spans="1:8" s="1051" customFormat="1" ht="14.25" customHeight="1" thickBot="1">
      <c r="A327" s="1063" t="s">
        <v>907</v>
      </c>
      <c r="B327" s="1057" t="s">
        <v>1176</v>
      </c>
      <c r="C327" s="1057">
        <v>1420</v>
      </c>
      <c r="D327" s="1057">
        <v>1380</v>
      </c>
      <c r="E327" s="1057">
        <v>1360</v>
      </c>
      <c r="F327" s="1075">
        <v>420</v>
      </c>
      <c r="H327" s="1048"/>
    </row>
    <row r="328" spans="1:8" s="1051" customFormat="1" ht="14.25" customHeight="1" thickBot="1">
      <c r="A328" s="1063" t="s">
        <v>907</v>
      </c>
      <c r="B328" s="1057" t="s">
        <v>1186</v>
      </c>
      <c r="C328" s="1057">
        <v>1400</v>
      </c>
      <c r="D328" s="1057">
        <v>1360</v>
      </c>
      <c r="E328" s="1057">
        <v>1330</v>
      </c>
      <c r="F328" s="1075">
        <v>460</v>
      </c>
      <c r="H328" s="1048"/>
    </row>
    <row r="329" spans="1:8" s="1051" customFormat="1" ht="14.25" customHeight="1" thickBot="1">
      <c r="A329" s="1063" t="s">
        <v>907</v>
      </c>
      <c r="B329" s="1057" t="s">
        <v>1196</v>
      </c>
      <c r="C329" s="1057">
        <v>1640</v>
      </c>
      <c r="D329" s="1057">
        <v>1610</v>
      </c>
      <c r="E329" s="1057">
        <v>1580</v>
      </c>
      <c r="F329" s="1075">
        <v>410</v>
      </c>
      <c r="H329" s="1048"/>
    </row>
    <row r="330" spans="1:8" s="1051" customFormat="1" ht="14.25" customHeight="1" thickBot="1">
      <c r="A330" s="1063" t="s">
        <v>907</v>
      </c>
      <c r="B330" s="1057" t="s">
        <v>1206</v>
      </c>
      <c r="C330" s="1057">
        <v>1260</v>
      </c>
      <c r="D330" s="1057">
        <v>1220</v>
      </c>
      <c r="E330" s="1057">
        <v>1200</v>
      </c>
      <c r="F330" s="1084"/>
      <c r="H330" s="1048"/>
    </row>
    <row r="331" spans="1:8" s="1051" customFormat="1" ht="14.25" customHeight="1" thickBot="1">
      <c r="A331" s="1063" t="s">
        <v>907</v>
      </c>
      <c r="B331" s="1057" t="s">
        <v>1216</v>
      </c>
      <c r="C331" s="1057">
        <v>1620</v>
      </c>
      <c r="D331" s="1057">
        <v>1560</v>
      </c>
      <c r="E331" s="1057">
        <v>1530</v>
      </c>
      <c r="F331" s="1075">
        <v>490</v>
      </c>
      <c r="H331" s="1048"/>
    </row>
    <row r="332" spans="1:8" s="1051" customFormat="1" ht="14.25" customHeight="1" thickBot="1">
      <c r="A332" s="1063" t="s">
        <v>907</v>
      </c>
      <c r="B332" s="1057" t="s">
        <v>1226</v>
      </c>
      <c r="C332" s="1057">
        <v>1520</v>
      </c>
      <c r="D332" s="1057">
        <v>1470</v>
      </c>
      <c r="E332" s="1057">
        <v>1440</v>
      </c>
      <c r="F332" s="1075">
        <v>440</v>
      </c>
      <c r="H332" s="1048"/>
    </row>
    <row r="333" spans="1:8" s="1051" customFormat="1" ht="14.25" customHeight="1" thickBot="1">
      <c r="A333" s="1063" t="s">
        <v>907</v>
      </c>
      <c r="B333" s="1057" t="s">
        <v>1236</v>
      </c>
      <c r="C333" s="1057">
        <v>1370</v>
      </c>
      <c r="D333" s="1057">
        <v>1320</v>
      </c>
      <c r="E333" s="1057">
        <v>1300</v>
      </c>
      <c r="F333" s="1075">
        <v>460</v>
      </c>
      <c r="H333" s="1048"/>
    </row>
    <row r="334" spans="1:8" s="1051" customFormat="1" ht="14.25" customHeight="1" thickBot="1">
      <c r="A334" s="1063" t="s">
        <v>907</v>
      </c>
      <c r="B334" s="1057" t="s">
        <v>1246</v>
      </c>
      <c r="C334" s="1057">
        <v>1410</v>
      </c>
      <c r="D334" s="1057">
        <v>1340</v>
      </c>
      <c r="E334" s="1057">
        <v>1310</v>
      </c>
      <c r="F334" s="1075">
        <v>410</v>
      </c>
      <c r="H334" s="1048"/>
    </row>
    <row r="335" spans="1:8" s="1051" customFormat="1" ht="14.25" customHeight="1" thickBot="1">
      <c r="A335" s="1063" t="s">
        <v>907</v>
      </c>
      <c r="B335" s="1057" t="s">
        <v>1256</v>
      </c>
      <c r="C335" s="1057">
        <v>1260</v>
      </c>
      <c r="D335" s="1057">
        <v>1220</v>
      </c>
      <c r="E335" s="1057">
        <v>1200</v>
      </c>
      <c r="F335" s="1084"/>
      <c r="H335" s="1048"/>
    </row>
    <row r="336" spans="1:8" s="1051" customFormat="1" ht="14.25" customHeight="1" thickBot="1">
      <c r="A336" s="1063" t="s">
        <v>907</v>
      </c>
      <c r="B336" s="1057" t="s">
        <v>1265</v>
      </c>
      <c r="C336" s="1057">
        <v>1160</v>
      </c>
      <c r="D336" s="1057">
        <v>1140</v>
      </c>
      <c r="E336" s="1057">
        <v>1120</v>
      </c>
      <c r="F336" s="1075">
        <v>430</v>
      </c>
      <c r="H336" s="1048"/>
    </row>
    <row r="337" spans="1:8" s="1051" customFormat="1" ht="14.25" customHeight="1" thickBot="1">
      <c r="A337" s="1063" t="s">
        <v>907</v>
      </c>
      <c r="B337" s="1073" t="s">
        <v>1274</v>
      </c>
      <c r="C337" s="1073"/>
      <c r="D337" s="1073"/>
      <c r="E337" s="1073"/>
      <c r="F337" s="1083">
        <v>380</v>
      </c>
      <c r="H337" s="1048"/>
    </row>
    <row r="338" spans="1:8" s="1051" customFormat="1" ht="14.25" customHeight="1" thickBot="1">
      <c r="A338" s="1063" t="s">
        <v>908</v>
      </c>
      <c r="B338" s="1064" t="s">
        <v>1417</v>
      </c>
      <c r="C338" s="1064">
        <v>880</v>
      </c>
      <c r="D338" s="1064">
        <v>850</v>
      </c>
      <c r="E338" s="1064">
        <v>830</v>
      </c>
      <c r="F338" s="1086"/>
      <c r="H338" s="1048"/>
    </row>
    <row r="339" spans="1:8" s="1051" customFormat="1" ht="14.25" customHeight="1" thickBot="1">
      <c r="A339" s="1063" t="s">
        <v>908</v>
      </c>
      <c r="B339" s="1057" t="s">
        <v>1418</v>
      </c>
      <c r="C339" s="1057">
        <v>830</v>
      </c>
      <c r="D339" s="1057">
        <v>800</v>
      </c>
      <c r="E339" s="1057">
        <v>780</v>
      </c>
      <c r="F339" s="1084"/>
      <c r="H339" s="1048"/>
    </row>
    <row r="340" spans="1:8" s="1051" customFormat="1" ht="14.25" customHeight="1" thickBot="1">
      <c r="A340" s="1063" t="s">
        <v>908</v>
      </c>
      <c r="B340" s="1057" t="s">
        <v>1419</v>
      </c>
      <c r="C340" s="1057">
        <v>980</v>
      </c>
      <c r="D340" s="1057">
        <v>950</v>
      </c>
      <c r="E340" s="1057">
        <v>920</v>
      </c>
      <c r="F340" s="1084"/>
      <c r="H340" s="1048"/>
    </row>
    <row r="341" spans="1:8" s="1051" customFormat="1" ht="14.25" customHeight="1" thickBot="1">
      <c r="A341" s="1063" t="s">
        <v>908</v>
      </c>
      <c r="B341" s="1057" t="s">
        <v>1420</v>
      </c>
      <c r="C341" s="1057">
        <v>760</v>
      </c>
      <c r="D341" s="1057">
        <v>720</v>
      </c>
      <c r="E341" s="1057">
        <v>690</v>
      </c>
      <c r="F341" s="1075">
        <v>350</v>
      </c>
      <c r="H341" s="1048"/>
    </row>
    <row r="342" spans="1:8" s="1051" customFormat="1" ht="14.25" customHeight="1" thickBot="1">
      <c r="A342" s="1063" t="s">
        <v>908</v>
      </c>
      <c r="B342" s="1057" t="s">
        <v>1112</v>
      </c>
      <c r="C342" s="1057">
        <v>910</v>
      </c>
      <c r="D342" s="1057">
        <v>870</v>
      </c>
      <c r="E342" s="1057">
        <v>850</v>
      </c>
      <c r="F342" s="1075">
        <v>370</v>
      </c>
      <c r="H342" s="1048"/>
    </row>
    <row r="343" spans="1:8" s="1051" customFormat="1" ht="14.25" customHeight="1" thickBot="1">
      <c r="A343" s="1063" t="s">
        <v>908</v>
      </c>
      <c r="B343" s="1057" t="s">
        <v>1123</v>
      </c>
      <c r="C343" s="1057">
        <v>800</v>
      </c>
      <c r="D343" s="1057">
        <v>760</v>
      </c>
      <c r="E343" s="1057">
        <v>730</v>
      </c>
      <c r="F343" s="1075">
        <v>340</v>
      </c>
      <c r="H343" s="1048"/>
    </row>
    <row r="344" spans="1:8" s="1051" customFormat="1" ht="14.25" customHeight="1" thickBot="1">
      <c r="A344" s="1063" t="s">
        <v>908</v>
      </c>
      <c r="B344" s="1073" t="s">
        <v>1134</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872</v>
      </c>
      <c r="B1" s="996"/>
      <c r="C1" s="996"/>
      <c r="D1" s="996"/>
      <c r="E1" s="996"/>
      <c r="F1" s="996"/>
      <c r="G1" s="996"/>
      <c r="H1" s="996"/>
      <c r="I1" s="996"/>
      <c r="J1" s="996"/>
      <c r="K1" s="996"/>
      <c r="L1" s="996"/>
      <c r="M1" s="996"/>
      <c r="N1" s="996"/>
    </row>
    <row r="2" spans="1:14">
      <c r="A2" s="998" t="s">
        <v>873</v>
      </c>
      <c r="B2" s="999" t="s">
        <v>874</v>
      </c>
      <c r="C2" s="999" t="s">
        <v>875</v>
      </c>
      <c r="D2" s="999" t="s">
        <v>876</v>
      </c>
      <c r="E2" s="999" t="s">
        <v>877</v>
      </c>
      <c r="F2" s="999" t="s">
        <v>878</v>
      </c>
      <c r="G2" s="999" t="s">
        <v>879</v>
      </c>
      <c r="H2" s="1000" t="s">
        <v>880</v>
      </c>
      <c r="I2" s="1000" t="s">
        <v>881</v>
      </c>
      <c r="J2" s="1001" t="s">
        <v>882</v>
      </c>
      <c r="K2" s="1001" t="s">
        <v>883</v>
      </c>
      <c r="L2" s="1001" t="s">
        <v>884</v>
      </c>
      <c r="M2" s="1001" t="s">
        <v>885</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894</v>
      </c>
      <c r="B103" s="996"/>
      <c r="C103" s="996"/>
      <c r="D103" s="996"/>
      <c r="E103" s="996"/>
      <c r="F103" s="996"/>
      <c r="G103" s="996"/>
      <c r="H103" s="996"/>
      <c r="I103" s="996"/>
      <c r="J103" s="996"/>
      <c r="K103" s="996"/>
      <c r="L103" s="996"/>
      <c r="M103" s="996"/>
      <c r="N103" s="996"/>
    </row>
    <row r="104" spans="1:14" ht="14.25">
      <c r="A104" s="998" t="s">
        <v>873</v>
      </c>
      <c r="B104" s="999" t="s">
        <v>874</v>
      </c>
      <c r="C104" s="999" t="s">
        <v>875</v>
      </c>
      <c r="D104" s="999" t="s">
        <v>876</v>
      </c>
      <c r="E104" s="999" t="s">
        <v>877</v>
      </c>
      <c r="F104" s="999" t="s">
        <v>878</v>
      </c>
      <c r="G104" s="999" t="s">
        <v>879</v>
      </c>
      <c r="H104" s="1000" t="s">
        <v>880</v>
      </c>
      <c r="I104" s="1000" t="s">
        <v>881</v>
      </c>
      <c r="J104" s="1001" t="s">
        <v>882</v>
      </c>
      <c r="K104" s="1001" t="s">
        <v>883</v>
      </c>
      <c r="L104" s="1001" t="s">
        <v>884</v>
      </c>
      <c r="M104" s="1001" t="s">
        <v>885</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895</v>
      </c>
      <c r="B205" s="996"/>
      <c r="C205" s="996"/>
      <c r="D205" s="996"/>
      <c r="E205" s="996"/>
      <c r="F205" s="996"/>
      <c r="G205" s="996"/>
      <c r="H205" s="996"/>
      <c r="I205" s="996"/>
      <c r="J205" s="996"/>
      <c r="K205" s="996"/>
      <c r="L205" s="996"/>
      <c r="M205" s="996"/>
    </row>
    <row r="206" spans="1:13">
      <c r="A206" s="998" t="s">
        <v>896</v>
      </c>
      <c r="B206" s="999" t="s">
        <v>897</v>
      </c>
      <c r="C206" s="999" t="s">
        <v>898</v>
      </c>
      <c r="D206" s="999" t="s">
        <v>899</v>
      </c>
      <c r="E206" s="999" t="s">
        <v>900</v>
      </c>
      <c r="F206" s="999" t="s">
        <v>901</v>
      </c>
      <c r="G206" s="999" t="s">
        <v>902</v>
      </c>
      <c r="H206" s="1000" t="s">
        <v>903</v>
      </c>
      <c r="I206" s="1000" t="s">
        <v>904</v>
      </c>
      <c r="J206" s="1001" t="s">
        <v>905</v>
      </c>
      <c r="K206" s="1001" t="s">
        <v>906</v>
      </c>
      <c r="L206" s="1001" t="s">
        <v>907</v>
      </c>
      <c r="M206" s="1001" t="s">
        <v>908</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909</v>
      </c>
      <c r="B307" s="996"/>
      <c r="C307" s="996"/>
      <c r="D307" s="996"/>
      <c r="E307" s="996"/>
      <c r="F307" s="996"/>
      <c r="G307" s="996"/>
      <c r="H307" s="996"/>
      <c r="I307" s="996"/>
      <c r="J307" s="996"/>
      <c r="K307" s="996"/>
      <c r="L307" s="996"/>
      <c r="M307" s="996"/>
    </row>
    <row r="308" spans="1:13">
      <c r="A308" s="998" t="s">
        <v>896</v>
      </c>
      <c r="B308" s="999" t="s">
        <v>897</v>
      </c>
      <c r="C308" s="999" t="s">
        <v>898</v>
      </c>
      <c r="D308" s="999" t="s">
        <v>899</v>
      </c>
      <c r="E308" s="999" t="s">
        <v>900</v>
      </c>
      <c r="F308" s="999" t="s">
        <v>901</v>
      </c>
      <c r="G308" s="999" t="s">
        <v>902</v>
      </c>
      <c r="H308" s="1000" t="s">
        <v>903</v>
      </c>
      <c r="I308" s="1000" t="s">
        <v>904</v>
      </c>
      <c r="J308" s="1001" t="s">
        <v>905</v>
      </c>
      <c r="K308" s="1001" t="s">
        <v>906</v>
      </c>
      <c r="L308" s="1001" t="s">
        <v>907</v>
      </c>
      <c r="M308" s="1001" t="s">
        <v>908</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54426.77平方米。根据《建设工程规划许可证》[]、《出让合同》[]，估价对象规划建筑面积为136066.92平方米。</v>
      </c>
    </row>
    <row r="7" spans="1:4" ht="56.25">
      <c r="A7" s="1710" t="s">
        <v>2726</v>
      </c>
    </row>
    <row r="8" spans="1:4" ht="18.75">
      <c r="A8" s="1709" t="s">
        <v>1896</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2021年3月3日</v>
      </c>
    </row>
    <row r="12" spans="1:4" ht="18.75">
      <c r="A12" s="1712" t="s">
        <v>2013</v>
      </c>
    </row>
    <row r="13" spans="1:4" ht="18.75">
      <c r="A13" s="1706" t="s">
        <v>2903</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根据《国有土地使用证》[]，估价对象（分摊）出让国有建设用地使用权面积为54426.77平方米。根据《建设工程规划许可证》[]、《出让合同》[]，估价对象规划建筑面积为136066.92平方米。</v>
      </c>
    </row>
    <row r="21" spans="1:1" ht="18.75">
      <c r="A21" s="1706" t="s">
        <v>2062</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本次估价对象为出让国有建设用地使用权，《国有土地使用证》[]证载土地终止日期为住宅2090年12月16日。截至估价期日，出让国有建设用地使用权剩余土地使用年限为。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2021年3月3日，在规划利用条件下、设定土地开发程度为红线外“七通”、宗地内场地，设定用途为，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605" t="s">
        <v>2067</v>
      </c>
      <c r="B1" s="3605"/>
    </row>
    <row r="2" spans="1:6" ht="14.25" thickBot="1">
      <c r="A2" s="1765"/>
      <c r="B2" s="1765"/>
    </row>
    <row r="3" spans="1:6" ht="14.25" thickBot="1">
      <c r="A3" s="1765"/>
      <c r="B3" s="1765"/>
      <c r="C3" s="1766" t="s">
        <v>2068</v>
      </c>
      <c r="D3" s="1766" t="s">
        <v>2069</v>
      </c>
      <c r="E3" s="1766" t="s">
        <v>2070</v>
      </c>
      <c r="F3" s="1766" t="s">
        <v>2071</v>
      </c>
    </row>
    <row r="4" spans="1:6" ht="14.25" thickBot="1">
      <c r="A4" s="1767" t="s">
        <v>2072</v>
      </c>
      <c r="B4" s="1768" t="s">
        <v>2073</v>
      </c>
      <c r="C4" s="1766"/>
      <c r="D4" s="1766"/>
      <c r="E4" s="1766"/>
      <c r="F4" s="1766"/>
    </row>
    <row r="5" spans="1:6" ht="14.25" thickBot="1">
      <c r="A5" s="1769" t="s">
        <v>2074</v>
      </c>
      <c r="B5" s="1770" t="s">
        <v>2075</v>
      </c>
      <c r="C5" s="1771">
        <v>8.8999999999999996E-2</v>
      </c>
      <c r="D5" s="1771">
        <v>7.3999999999999996E-2</v>
      </c>
      <c r="E5" s="1771">
        <v>7.4999999999999997E-2</v>
      </c>
      <c r="F5" s="1772">
        <v>0.1</v>
      </c>
    </row>
    <row r="6" spans="1:6" ht="14.25" thickBot="1">
      <c r="A6" s="1769" t="s">
        <v>1086</v>
      </c>
      <c r="B6" s="1773" t="s">
        <v>2076</v>
      </c>
      <c r="C6" s="1774">
        <v>0.1</v>
      </c>
      <c r="D6" s="1774">
        <v>9.0999999999999998E-2</v>
      </c>
      <c r="E6" s="1774">
        <v>9.0999999999999998E-2</v>
      </c>
      <c r="F6" s="1775">
        <v>0.1</v>
      </c>
    </row>
    <row r="7" spans="1:6" ht="14.25" thickBot="1">
      <c r="A7" s="1769" t="s">
        <v>1086</v>
      </c>
      <c r="B7" s="1776" t="s">
        <v>1074</v>
      </c>
      <c r="C7" s="1774">
        <v>8.5999999999999993E-2</v>
      </c>
      <c r="D7" s="1774">
        <v>9.6000000000000002E-2</v>
      </c>
      <c r="E7" s="1774">
        <v>7.5999999999999998E-2</v>
      </c>
      <c r="F7" s="1775">
        <v>0.1</v>
      </c>
    </row>
    <row r="8" spans="1:6" ht="14.25" thickBot="1">
      <c r="A8" s="1769" t="s">
        <v>1086</v>
      </c>
      <c r="B8" s="1773" t="s">
        <v>1087</v>
      </c>
      <c r="C8" s="1774">
        <v>9.9000000000000005E-2</v>
      </c>
      <c r="D8" s="1774">
        <v>9.8000000000000004E-2</v>
      </c>
      <c r="E8" s="1774">
        <v>9.8000000000000004E-2</v>
      </c>
      <c r="F8" s="1775">
        <v>0.1</v>
      </c>
    </row>
    <row r="9" spans="1:6" ht="14.25" thickBot="1">
      <c r="A9" s="1777" t="s">
        <v>1086</v>
      </c>
      <c r="B9" s="1778" t="s">
        <v>1101</v>
      </c>
      <c r="C9" s="1779">
        <v>0.05</v>
      </c>
      <c r="D9" s="1780"/>
      <c r="E9" s="1780"/>
      <c r="F9" s="1781"/>
    </row>
    <row r="10" spans="1:6" ht="14.25" thickBot="1">
      <c r="A10" s="1769" t="s">
        <v>1145</v>
      </c>
      <c r="B10" s="1770" t="s">
        <v>2077</v>
      </c>
      <c r="C10" s="1771">
        <v>8.8999999999999996E-2</v>
      </c>
      <c r="D10" s="1771">
        <v>7.2999999999999995E-2</v>
      </c>
      <c r="E10" s="1771">
        <v>8.2000000000000003E-2</v>
      </c>
      <c r="F10" s="1772">
        <v>0.1</v>
      </c>
    </row>
    <row r="11" spans="1:6" ht="14.25" thickBot="1">
      <c r="A11" s="1769" t="s">
        <v>1145</v>
      </c>
      <c r="B11" s="1776" t="s">
        <v>1061</v>
      </c>
      <c r="C11" s="1774">
        <v>8.8999999999999996E-2</v>
      </c>
      <c r="D11" s="1774">
        <v>7.2999999999999995E-2</v>
      </c>
      <c r="E11" s="1774">
        <v>8.2000000000000003E-2</v>
      </c>
      <c r="F11" s="1775">
        <v>0.1</v>
      </c>
    </row>
    <row r="12" spans="1:6" ht="14.25" thickBot="1">
      <c r="A12" s="1769" t="s">
        <v>1145</v>
      </c>
      <c r="B12" s="1776" t="s">
        <v>1075</v>
      </c>
      <c r="C12" s="1774">
        <v>6.0999999999999999E-2</v>
      </c>
      <c r="D12" s="1774">
        <v>7.0999999999999994E-2</v>
      </c>
      <c r="E12" s="1774">
        <v>9.6000000000000002E-2</v>
      </c>
      <c r="F12" s="1775">
        <v>0.1</v>
      </c>
    </row>
    <row r="13" spans="1:6" ht="14.25" thickBot="1">
      <c r="A13" s="1769" t="s">
        <v>1145</v>
      </c>
      <c r="B13" s="1776" t="s">
        <v>1088</v>
      </c>
      <c r="C13" s="1774">
        <v>6.9000000000000006E-2</v>
      </c>
      <c r="D13" s="1774">
        <v>6.5000000000000002E-2</v>
      </c>
      <c r="E13" s="1774">
        <v>6.6000000000000003E-2</v>
      </c>
      <c r="F13" s="1775">
        <v>0.1</v>
      </c>
    </row>
    <row r="14" spans="1:6" ht="14.25" thickBot="1">
      <c r="A14" s="1769" t="s">
        <v>1145</v>
      </c>
      <c r="B14" s="1776" t="s">
        <v>1102</v>
      </c>
      <c r="C14" s="1774">
        <v>0.1</v>
      </c>
      <c r="D14" s="1774">
        <v>6.5000000000000002E-2</v>
      </c>
      <c r="E14" s="1774">
        <v>7.0000000000000007E-2</v>
      </c>
      <c r="F14" s="1775">
        <v>0.1</v>
      </c>
    </row>
    <row r="15" spans="1:6" ht="14.25" thickBot="1">
      <c r="A15" s="1769" t="s">
        <v>1145</v>
      </c>
      <c r="B15" s="1776" t="s">
        <v>1113</v>
      </c>
      <c r="C15" s="1774">
        <v>9.8000000000000004E-2</v>
      </c>
      <c r="D15" s="1774">
        <v>8.8999999999999996E-2</v>
      </c>
      <c r="E15" s="1774">
        <v>8.8999999999999996E-2</v>
      </c>
      <c r="F15" s="1775">
        <v>0.1</v>
      </c>
    </row>
    <row r="16" spans="1:6" ht="14.25" thickBot="1">
      <c r="A16" s="1769" t="s">
        <v>1145</v>
      </c>
      <c r="B16" s="1776" t="s">
        <v>1124</v>
      </c>
      <c r="C16" s="1774">
        <v>7.0000000000000007E-2</v>
      </c>
      <c r="D16" s="1774">
        <v>9.2999999999999999E-2</v>
      </c>
      <c r="E16" s="1774">
        <v>9.6000000000000002E-2</v>
      </c>
      <c r="F16" s="1775">
        <v>0.1</v>
      </c>
    </row>
    <row r="17" spans="1:6" ht="14.25" thickBot="1">
      <c r="A17" s="1769" t="s">
        <v>1145</v>
      </c>
      <c r="B17" s="1776" t="s">
        <v>1135</v>
      </c>
      <c r="C17" s="1774">
        <v>9.5000000000000001E-2</v>
      </c>
      <c r="D17" s="1774">
        <v>0.1</v>
      </c>
      <c r="E17" s="1774">
        <v>0.1</v>
      </c>
      <c r="F17" s="1782"/>
    </row>
    <row r="18" spans="1:6" ht="14.25" thickBot="1">
      <c r="A18" s="1769" t="s">
        <v>1145</v>
      </c>
      <c r="B18" s="1776" t="s">
        <v>1147</v>
      </c>
      <c r="C18" s="1774">
        <v>7.3999999999999996E-2</v>
      </c>
      <c r="D18" s="1774">
        <v>9.9000000000000005E-2</v>
      </c>
      <c r="E18" s="1774">
        <v>0.1</v>
      </c>
      <c r="F18" s="1782"/>
    </row>
    <row r="19" spans="1:6" ht="14.25" thickBot="1">
      <c r="A19" s="1769" t="s">
        <v>1145</v>
      </c>
      <c r="B19" s="1776" t="s">
        <v>1157</v>
      </c>
      <c r="C19" s="1774">
        <v>9.9000000000000005E-2</v>
      </c>
      <c r="D19" s="1774">
        <v>7.5999999999999998E-2</v>
      </c>
      <c r="E19" s="1774">
        <v>8.6999999999999994E-2</v>
      </c>
      <c r="F19" s="1782"/>
    </row>
    <row r="20" spans="1:6" ht="14.25" thickBot="1">
      <c r="A20" s="1769" t="s">
        <v>1145</v>
      </c>
      <c r="B20" s="1776" t="s">
        <v>1167</v>
      </c>
      <c r="C20" s="1774">
        <v>9.8000000000000004E-2</v>
      </c>
      <c r="D20" s="1774">
        <v>8.5000000000000006E-2</v>
      </c>
      <c r="E20" s="1774">
        <v>8.2000000000000003E-2</v>
      </c>
      <c r="F20" s="1782"/>
    </row>
    <row r="21" spans="1:6" ht="14.25" thickBot="1">
      <c r="A21" s="1769" t="s">
        <v>1145</v>
      </c>
      <c r="B21" s="1776" t="s">
        <v>1177</v>
      </c>
      <c r="C21" s="1774">
        <v>6.6000000000000003E-2</v>
      </c>
      <c r="D21" s="1774">
        <v>6.4000000000000001E-2</v>
      </c>
      <c r="E21" s="1774">
        <v>6.5000000000000002E-2</v>
      </c>
      <c r="F21" s="1782"/>
    </row>
    <row r="22" spans="1:6" ht="14.25" thickBot="1">
      <c r="A22" s="1769" t="s">
        <v>1145</v>
      </c>
      <c r="B22" s="1776" t="s">
        <v>2078</v>
      </c>
      <c r="C22" s="1774">
        <v>0.08</v>
      </c>
      <c r="D22" s="1774">
        <v>9.8000000000000004E-2</v>
      </c>
      <c r="E22" s="1774">
        <v>9.8000000000000004E-2</v>
      </c>
      <c r="F22" s="1782"/>
    </row>
    <row r="23" spans="1:6" ht="14.25" thickBot="1">
      <c r="A23" s="1769" t="s">
        <v>1145</v>
      </c>
      <c r="B23" s="1776" t="s">
        <v>1197</v>
      </c>
      <c r="C23" s="1774">
        <v>9.9000000000000005E-2</v>
      </c>
      <c r="D23" s="1774">
        <v>9.8000000000000004E-2</v>
      </c>
      <c r="E23" s="1774">
        <v>9.0999999999999998E-2</v>
      </c>
      <c r="F23" s="1782"/>
    </row>
    <row r="24" spans="1:6" ht="14.25" thickBot="1">
      <c r="A24" s="1769" t="s">
        <v>1145</v>
      </c>
      <c r="B24" s="1776" t="s">
        <v>1207</v>
      </c>
      <c r="C24" s="1774">
        <v>8.8999999999999996E-2</v>
      </c>
      <c r="D24" s="1774">
        <v>9.7000000000000003E-2</v>
      </c>
      <c r="E24" s="1774">
        <v>7.0000000000000007E-2</v>
      </c>
      <c r="F24" s="1782"/>
    </row>
    <row r="25" spans="1:6" ht="14.25" thickBot="1">
      <c r="A25" s="1769" t="s">
        <v>1145</v>
      </c>
      <c r="B25" s="1776" t="s">
        <v>1217</v>
      </c>
      <c r="C25" s="1774">
        <v>8.8999999999999996E-2</v>
      </c>
      <c r="D25" s="1774">
        <v>0.1</v>
      </c>
      <c r="E25" s="1774">
        <v>8.1000000000000003E-2</v>
      </c>
      <c r="F25" s="1782"/>
    </row>
    <row r="26" spans="1:6" ht="14.25" thickBot="1">
      <c r="A26" s="1769" t="s">
        <v>1145</v>
      </c>
      <c r="B26" s="1776" t="s">
        <v>1227</v>
      </c>
      <c r="C26" s="1783"/>
      <c r="D26" s="1774">
        <v>9.6000000000000002E-2</v>
      </c>
      <c r="E26" s="1774">
        <v>9.2999999999999999E-2</v>
      </c>
      <c r="F26" s="1782"/>
    </row>
    <row r="27" spans="1:6" ht="14.25" thickBot="1">
      <c r="A27" s="1769" t="s">
        <v>1145</v>
      </c>
      <c r="B27" s="1776" t="s">
        <v>1237</v>
      </c>
      <c r="C27" s="1783"/>
      <c r="D27" s="1774">
        <v>7.5999999999999998E-2</v>
      </c>
      <c r="E27" s="1774">
        <v>9.1999999999999998E-2</v>
      </c>
      <c r="F27" s="1782"/>
    </row>
    <row r="28" spans="1:6" ht="14.25" thickBot="1">
      <c r="A28" s="1777" t="s">
        <v>1145</v>
      </c>
      <c r="B28" s="1778" t="s">
        <v>1247</v>
      </c>
      <c r="C28" s="1780"/>
      <c r="D28" s="1779">
        <v>7.5999999999999998E-2</v>
      </c>
      <c r="E28" s="1779">
        <v>9.1999999999999998E-2</v>
      </c>
      <c r="F28" s="1781"/>
    </row>
    <row r="29" spans="1:6" ht="14.25" thickBot="1">
      <c r="A29" s="1769" t="s">
        <v>1316</v>
      </c>
      <c r="B29" s="1770" t="s">
        <v>2079</v>
      </c>
      <c r="C29" s="1771">
        <v>6.4000000000000001E-2</v>
      </c>
      <c r="D29" s="1771">
        <v>6.5000000000000002E-2</v>
      </c>
      <c r="E29" s="1771">
        <v>6.9000000000000006E-2</v>
      </c>
      <c r="F29" s="1772">
        <v>0.1</v>
      </c>
    </row>
    <row r="30" spans="1:6" ht="14.25" thickBot="1">
      <c r="A30" s="1769" t="s">
        <v>1316</v>
      </c>
      <c r="B30" s="1776" t="s">
        <v>1062</v>
      </c>
      <c r="C30" s="1774">
        <v>6.4000000000000001E-2</v>
      </c>
      <c r="D30" s="1774">
        <v>9.9000000000000005E-2</v>
      </c>
      <c r="E30" s="1774">
        <v>0.1</v>
      </c>
      <c r="F30" s="1775">
        <v>0.1</v>
      </c>
    </row>
    <row r="31" spans="1:6" ht="14.25" thickBot="1">
      <c r="A31" s="1769" t="s">
        <v>1316</v>
      </c>
      <c r="B31" s="1776" t="s">
        <v>1076</v>
      </c>
      <c r="C31" s="1774">
        <v>0.1</v>
      </c>
      <c r="D31" s="1774">
        <v>9.5000000000000001E-2</v>
      </c>
      <c r="E31" s="1774">
        <v>8.8999999999999996E-2</v>
      </c>
      <c r="F31" s="1775">
        <v>0.1</v>
      </c>
    </row>
    <row r="32" spans="1:6" ht="14.25" thickBot="1">
      <c r="A32" s="1769" t="s">
        <v>1316</v>
      </c>
      <c r="B32" s="1776" t="s">
        <v>1089</v>
      </c>
      <c r="C32" s="1774">
        <v>0.05</v>
      </c>
      <c r="D32" s="1774">
        <v>0.05</v>
      </c>
      <c r="E32" s="1774">
        <v>8.7999999999999995E-2</v>
      </c>
      <c r="F32" s="1775">
        <v>0.1</v>
      </c>
    </row>
    <row r="33" spans="1:6" ht="14.25" thickBot="1">
      <c r="A33" s="1769" t="s">
        <v>1316</v>
      </c>
      <c r="B33" s="1776" t="s">
        <v>1103</v>
      </c>
      <c r="C33" s="1774">
        <v>7.4999999999999997E-2</v>
      </c>
      <c r="D33" s="1774">
        <v>9.4E-2</v>
      </c>
      <c r="E33" s="1774">
        <v>9.7000000000000003E-2</v>
      </c>
      <c r="F33" s="1775">
        <v>0.1</v>
      </c>
    </row>
    <row r="34" spans="1:6" ht="14.25" thickBot="1">
      <c r="A34" s="1769" t="s">
        <v>1316</v>
      </c>
      <c r="B34" s="1776" t="s">
        <v>1114</v>
      </c>
      <c r="C34" s="1774">
        <v>9.8000000000000004E-2</v>
      </c>
      <c r="D34" s="1774">
        <v>8.5999999999999993E-2</v>
      </c>
      <c r="E34" s="1774">
        <v>9.7000000000000003E-2</v>
      </c>
      <c r="F34" s="1775">
        <v>0.1</v>
      </c>
    </row>
    <row r="35" spans="1:6" ht="14.25" thickBot="1">
      <c r="A35" s="1769" t="s">
        <v>1316</v>
      </c>
      <c r="B35" s="1776" t="s">
        <v>1125</v>
      </c>
      <c r="C35" s="1774">
        <v>5.8999999999999997E-2</v>
      </c>
      <c r="D35" s="1774">
        <v>6.5000000000000002E-2</v>
      </c>
      <c r="E35" s="1774">
        <v>7.0000000000000007E-2</v>
      </c>
      <c r="F35" s="1775">
        <v>0.1</v>
      </c>
    </row>
    <row r="36" spans="1:6" ht="14.25" thickBot="1">
      <c r="A36" s="1769" t="s">
        <v>1316</v>
      </c>
      <c r="B36" s="1776" t="s">
        <v>1136</v>
      </c>
      <c r="C36" s="1774">
        <v>6.3E-2</v>
      </c>
      <c r="D36" s="1774">
        <v>0.1</v>
      </c>
      <c r="E36" s="1774">
        <v>0.1</v>
      </c>
      <c r="F36" s="1775">
        <v>0.1</v>
      </c>
    </row>
    <row r="37" spans="1:6" ht="14.25" thickBot="1">
      <c r="A37" s="1769" t="s">
        <v>1316</v>
      </c>
      <c r="B37" s="1776" t="s">
        <v>1148</v>
      </c>
      <c r="C37" s="1774">
        <v>7.3999999999999996E-2</v>
      </c>
      <c r="D37" s="1774">
        <v>0.1</v>
      </c>
      <c r="E37" s="1774">
        <v>0.1</v>
      </c>
      <c r="F37" s="1775">
        <v>0.1</v>
      </c>
    </row>
    <row r="38" spans="1:6" ht="14.25" thickBot="1">
      <c r="A38" s="1769" t="s">
        <v>1316</v>
      </c>
      <c r="B38" s="1776" t="s">
        <v>1158</v>
      </c>
      <c r="C38" s="1774">
        <v>0.1</v>
      </c>
      <c r="D38" s="1774">
        <v>9.6000000000000002E-2</v>
      </c>
      <c r="E38" s="1774">
        <v>9.6000000000000002E-2</v>
      </c>
      <c r="F38" s="1782"/>
    </row>
    <row r="39" spans="1:6" ht="14.25" thickBot="1">
      <c r="A39" s="1769" t="s">
        <v>1316</v>
      </c>
      <c r="B39" s="1776" t="s">
        <v>1168</v>
      </c>
      <c r="C39" s="1774">
        <v>0.1</v>
      </c>
      <c r="D39" s="1774">
        <v>9.6000000000000002E-2</v>
      </c>
      <c r="E39" s="1774">
        <v>9.6000000000000002E-2</v>
      </c>
      <c r="F39" s="1782"/>
    </row>
    <row r="40" spans="1:6" ht="14.25" thickBot="1">
      <c r="A40" s="1769" t="s">
        <v>1316</v>
      </c>
      <c r="B40" s="1776" t="s">
        <v>1178</v>
      </c>
      <c r="C40" s="1774">
        <v>9.6000000000000002E-2</v>
      </c>
      <c r="D40" s="1774">
        <v>0.1</v>
      </c>
      <c r="E40" s="1774">
        <v>9.9000000000000005E-2</v>
      </c>
      <c r="F40" s="1782"/>
    </row>
    <row r="41" spans="1:6" ht="14.25" thickBot="1">
      <c r="A41" s="1769" t="s">
        <v>1316</v>
      </c>
      <c r="B41" s="1776" t="s">
        <v>1188</v>
      </c>
      <c r="C41" s="1774">
        <v>9.6000000000000002E-2</v>
      </c>
      <c r="D41" s="1774">
        <v>9.8000000000000004E-2</v>
      </c>
      <c r="E41" s="1774">
        <v>9.8000000000000004E-2</v>
      </c>
      <c r="F41" s="1782"/>
    </row>
    <row r="42" spans="1:6" ht="14.25" thickBot="1">
      <c r="A42" s="1769" t="s">
        <v>1316</v>
      </c>
      <c r="B42" s="1776" t="s">
        <v>1198</v>
      </c>
      <c r="C42" s="1774">
        <v>0.1</v>
      </c>
      <c r="D42" s="1774">
        <v>8.7999999999999995E-2</v>
      </c>
      <c r="E42" s="1774">
        <v>0.1</v>
      </c>
      <c r="F42" s="1782"/>
    </row>
    <row r="43" spans="1:6" ht="14.25" thickBot="1">
      <c r="A43" s="1769" t="s">
        <v>1316</v>
      </c>
      <c r="B43" s="1776" t="s">
        <v>1208</v>
      </c>
      <c r="C43" s="1774">
        <v>9.8000000000000004E-2</v>
      </c>
      <c r="D43" s="1774">
        <v>9.7000000000000003E-2</v>
      </c>
      <c r="E43" s="1774">
        <v>9.6000000000000002E-2</v>
      </c>
      <c r="F43" s="1782"/>
    </row>
    <row r="44" spans="1:6" ht="14.25" thickBot="1">
      <c r="A44" s="1769" t="s">
        <v>1316</v>
      </c>
      <c r="B44" s="1776" t="s">
        <v>1218</v>
      </c>
      <c r="C44" s="1774">
        <v>8.5999999999999993E-2</v>
      </c>
      <c r="D44" s="1774">
        <v>7.9000000000000001E-2</v>
      </c>
      <c r="E44" s="1774">
        <v>7.0999999999999994E-2</v>
      </c>
      <c r="F44" s="1782"/>
    </row>
    <row r="45" spans="1:6" ht="14.25" thickBot="1">
      <c r="A45" s="1769" t="s">
        <v>1316</v>
      </c>
      <c r="B45" s="1776" t="s">
        <v>1228</v>
      </c>
      <c r="C45" s="1774">
        <v>9.8000000000000004E-2</v>
      </c>
      <c r="D45" s="1774">
        <v>9.6000000000000002E-2</v>
      </c>
      <c r="E45" s="1774">
        <v>9.6000000000000002E-2</v>
      </c>
      <c r="F45" s="1782"/>
    </row>
    <row r="46" spans="1:6" ht="14.25" thickBot="1">
      <c r="A46" s="1769" t="s">
        <v>1316</v>
      </c>
      <c r="B46" s="1776" t="s">
        <v>1238</v>
      </c>
      <c r="C46" s="1774">
        <v>8.5999999999999993E-2</v>
      </c>
      <c r="D46" s="1774">
        <v>9.8000000000000004E-2</v>
      </c>
      <c r="E46" s="1774">
        <v>8.7999999999999995E-2</v>
      </c>
      <c r="F46" s="1782"/>
    </row>
    <row r="47" spans="1:6" ht="14.25" thickBot="1">
      <c r="A47" s="1769" t="s">
        <v>1316</v>
      </c>
      <c r="B47" s="1776" t="s">
        <v>1248</v>
      </c>
      <c r="C47" s="1774">
        <v>9.6000000000000002E-2</v>
      </c>
      <c r="D47" s="1783"/>
      <c r="E47" s="1774">
        <v>6.9000000000000006E-2</v>
      </c>
      <c r="F47" s="1782"/>
    </row>
    <row r="48" spans="1:6" ht="14.25" thickBot="1">
      <c r="A48" s="1777" t="s">
        <v>1316</v>
      </c>
      <c r="B48" s="1778" t="s">
        <v>1257</v>
      </c>
      <c r="C48" s="1779">
        <v>9.8000000000000004E-2</v>
      </c>
      <c r="D48" s="1780"/>
      <c r="E48" s="1779">
        <v>9.5000000000000001E-2</v>
      </c>
      <c r="F48" s="1781"/>
    </row>
    <row r="49" spans="1:6" ht="14.25" thickBot="1">
      <c r="A49" s="1769" t="s">
        <v>915</v>
      </c>
      <c r="B49" s="1770" t="s">
        <v>2080</v>
      </c>
      <c r="C49" s="1771">
        <v>9.7000000000000003E-2</v>
      </c>
      <c r="D49" s="1771">
        <v>9.5000000000000001E-2</v>
      </c>
      <c r="E49" s="1771">
        <v>9.7000000000000003E-2</v>
      </c>
      <c r="F49" s="1772">
        <v>0.1</v>
      </c>
    </row>
    <row r="50" spans="1:6" ht="14.25" thickBot="1">
      <c r="A50" s="1769" t="s">
        <v>915</v>
      </c>
      <c r="B50" s="1773" t="s">
        <v>1063</v>
      </c>
      <c r="C50" s="1774">
        <v>7.4999999999999997E-2</v>
      </c>
      <c r="D50" s="1774">
        <v>9.5000000000000001E-2</v>
      </c>
      <c r="E50" s="1774">
        <v>0.1</v>
      </c>
      <c r="F50" s="1775">
        <v>0.1</v>
      </c>
    </row>
    <row r="51" spans="1:6" ht="14.25" thickBot="1">
      <c r="A51" s="1769" t="s">
        <v>915</v>
      </c>
      <c r="B51" s="1773" t="s">
        <v>1077</v>
      </c>
      <c r="C51" s="1774">
        <v>9.8000000000000004E-2</v>
      </c>
      <c r="D51" s="1774">
        <v>8.8999999999999996E-2</v>
      </c>
      <c r="E51" s="1774">
        <v>0.1</v>
      </c>
      <c r="F51" s="1775">
        <v>0.1</v>
      </c>
    </row>
    <row r="52" spans="1:6" ht="14.25" thickBot="1">
      <c r="A52" s="1769" t="s">
        <v>915</v>
      </c>
      <c r="B52" s="1773" t="s">
        <v>1090</v>
      </c>
      <c r="C52" s="1774">
        <v>9.8000000000000004E-2</v>
      </c>
      <c r="D52" s="1774">
        <v>9.7000000000000003E-2</v>
      </c>
      <c r="E52" s="1774">
        <v>8.1000000000000003E-2</v>
      </c>
      <c r="F52" s="1775">
        <v>0.1</v>
      </c>
    </row>
    <row r="53" spans="1:6" ht="14.25" thickBot="1">
      <c r="A53" s="1769" t="s">
        <v>915</v>
      </c>
      <c r="B53" s="1773" t="s">
        <v>1104</v>
      </c>
      <c r="C53" s="1774">
        <v>9.7000000000000003E-2</v>
      </c>
      <c r="D53" s="1774">
        <v>7.5999999999999998E-2</v>
      </c>
      <c r="E53" s="1774">
        <v>7.0999999999999994E-2</v>
      </c>
      <c r="F53" s="1775">
        <v>0.1</v>
      </c>
    </row>
    <row r="54" spans="1:6" ht="14.25" thickBot="1">
      <c r="A54" s="1769" t="s">
        <v>915</v>
      </c>
      <c r="B54" s="1773" t="s">
        <v>1115</v>
      </c>
      <c r="C54" s="1774">
        <v>7.5999999999999998E-2</v>
      </c>
      <c r="D54" s="1774">
        <v>0.1</v>
      </c>
      <c r="E54" s="1774">
        <v>9.9000000000000005E-2</v>
      </c>
      <c r="F54" s="1775">
        <v>0.1</v>
      </c>
    </row>
    <row r="55" spans="1:6" ht="14.25" thickBot="1">
      <c r="A55" s="1769" t="s">
        <v>915</v>
      </c>
      <c r="B55" s="1773" t="s">
        <v>1126</v>
      </c>
      <c r="C55" s="1774">
        <v>0.1</v>
      </c>
      <c r="D55" s="1774">
        <v>0.1</v>
      </c>
      <c r="E55" s="1774">
        <v>9.6000000000000002E-2</v>
      </c>
      <c r="F55" s="1775">
        <v>0.1</v>
      </c>
    </row>
    <row r="56" spans="1:6" ht="14.25" thickBot="1">
      <c r="A56" s="1769" t="s">
        <v>915</v>
      </c>
      <c r="B56" s="1773" t="s">
        <v>1137</v>
      </c>
      <c r="C56" s="1774">
        <v>0.1</v>
      </c>
      <c r="D56" s="1774">
        <v>9.6000000000000002E-2</v>
      </c>
      <c r="E56" s="1774">
        <v>5.1999999999999998E-2</v>
      </c>
      <c r="F56" s="1775">
        <v>0.1</v>
      </c>
    </row>
    <row r="57" spans="1:6" ht="14.25" thickBot="1">
      <c r="A57" s="1769" t="s">
        <v>915</v>
      </c>
      <c r="B57" s="1773" t="s">
        <v>1149</v>
      </c>
      <c r="C57" s="1774">
        <v>9.7000000000000003E-2</v>
      </c>
      <c r="D57" s="1774">
        <v>9.6000000000000002E-2</v>
      </c>
      <c r="E57" s="1774">
        <v>9.6000000000000002E-2</v>
      </c>
      <c r="F57" s="1775">
        <v>0.1</v>
      </c>
    </row>
    <row r="58" spans="1:6" ht="14.25" thickBot="1">
      <c r="A58" s="1769" t="s">
        <v>915</v>
      </c>
      <c r="B58" s="1773" t="s">
        <v>1159</v>
      </c>
      <c r="C58" s="1774">
        <v>9.6000000000000002E-2</v>
      </c>
      <c r="D58" s="1774">
        <v>9.9000000000000005E-2</v>
      </c>
      <c r="E58" s="1774">
        <v>9.6000000000000002E-2</v>
      </c>
      <c r="F58" s="1775">
        <v>0.1</v>
      </c>
    </row>
    <row r="59" spans="1:6" ht="14.25" thickBot="1">
      <c r="A59" s="1769" t="s">
        <v>915</v>
      </c>
      <c r="B59" s="1773" t="s">
        <v>1169</v>
      </c>
      <c r="C59" s="1774">
        <v>7.1999999999999995E-2</v>
      </c>
      <c r="D59" s="1774">
        <v>9.6000000000000002E-2</v>
      </c>
      <c r="E59" s="1774">
        <v>7.0999999999999994E-2</v>
      </c>
      <c r="F59" s="1775">
        <v>0.1</v>
      </c>
    </row>
    <row r="60" spans="1:6" ht="14.25" thickBot="1">
      <c r="A60" s="1769" t="s">
        <v>915</v>
      </c>
      <c r="B60" s="1773" t="s">
        <v>1179</v>
      </c>
      <c r="C60" s="1774">
        <v>9.6000000000000002E-2</v>
      </c>
      <c r="D60" s="1774">
        <v>8.8999999999999996E-2</v>
      </c>
      <c r="E60" s="1774">
        <v>9.6000000000000002E-2</v>
      </c>
      <c r="F60" s="1775">
        <v>0.1</v>
      </c>
    </row>
    <row r="61" spans="1:6" ht="14.25" thickBot="1">
      <c r="A61" s="1769" t="s">
        <v>915</v>
      </c>
      <c r="B61" s="1773" t="s">
        <v>1189</v>
      </c>
      <c r="C61" s="1774">
        <v>8.8999999999999996E-2</v>
      </c>
      <c r="D61" s="1774">
        <v>9.8000000000000004E-2</v>
      </c>
      <c r="E61" s="1774">
        <v>8.7999999999999995E-2</v>
      </c>
      <c r="F61" s="1782"/>
    </row>
    <row r="62" spans="1:6" ht="14.25" thickBot="1">
      <c r="A62" s="1769" t="s">
        <v>915</v>
      </c>
      <c r="B62" s="1773" t="s">
        <v>1199</v>
      </c>
      <c r="C62" s="1774">
        <v>9.8000000000000004E-2</v>
      </c>
      <c r="D62" s="1774">
        <v>9.2999999999999999E-2</v>
      </c>
      <c r="E62" s="1774">
        <v>9.7000000000000003E-2</v>
      </c>
      <c r="F62" s="1782"/>
    </row>
    <row r="63" spans="1:6" ht="14.25" thickBot="1">
      <c r="A63" s="1769" t="s">
        <v>915</v>
      </c>
      <c r="B63" s="1773" t="s">
        <v>1209</v>
      </c>
      <c r="C63" s="1774">
        <v>9.6000000000000002E-2</v>
      </c>
      <c r="D63" s="1774">
        <v>9.8000000000000004E-2</v>
      </c>
      <c r="E63" s="1774">
        <v>0.09</v>
      </c>
      <c r="F63" s="1782"/>
    </row>
    <row r="64" spans="1:6" ht="14.25" thickBot="1">
      <c r="A64" s="1769" t="s">
        <v>915</v>
      </c>
      <c r="B64" s="1773" t="s">
        <v>1219</v>
      </c>
      <c r="C64" s="1774">
        <v>9.9000000000000005E-2</v>
      </c>
      <c r="D64" s="1774">
        <v>9.7000000000000003E-2</v>
      </c>
      <c r="E64" s="1774">
        <v>9.9000000000000005E-2</v>
      </c>
      <c r="F64" s="1782"/>
    </row>
    <row r="65" spans="1:6" ht="14.25" thickBot="1">
      <c r="A65" s="1769" t="s">
        <v>915</v>
      </c>
      <c r="B65" s="1773" t="s">
        <v>1229</v>
      </c>
      <c r="C65" s="1774">
        <v>9.8000000000000004E-2</v>
      </c>
      <c r="D65" s="1774">
        <v>9.6000000000000002E-2</v>
      </c>
      <c r="E65" s="1774">
        <v>9.6000000000000002E-2</v>
      </c>
      <c r="F65" s="1782"/>
    </row>
    <row r="66" spans="1:6" ht="14.25" thickBot="1">
      <c r="A66" s="1769" t="s">
        <v>915</v>
      </c>
      <c r="B66" s="1773" t="s">
        <v>1239</v>
      </c>
      <c r="C66" s="1774">
        <v>9.6000000000000002E-2</v>
      </c>
      <c r="D66" s="1774">
        <v>9.1999999999999998E-2</v>
      </c>
      <c r="E66" s="1774">
        <v>9.6000000000000002E-2</v>
      </c>
      <c r="F66" s="1782"/>
    </row>
    <row r="67" spans="1:6" ht="14.25" thickBot="1">
      <c r="A67" s="1769" t="s">
        <v>915</v>
      </c>
      <c r="B67" s="1773" t="s">
        <v>1249</v>
      </c>
      <c r="C67" s="1774">
        <v>9.4E-2</v>
      </c>
      <c r="D67" s="1774">
        <v>0.1</v>
      </c>
      <c r="E67" s="1774">
        <v>8.7999999999999995E-2</v>
      </c>
      <c r="F67" s="1782"/>
    </row>
    <row r="68" spans="1:6" ht="14.25" thickBot="1">
      <c r="A68" s="1769" t="s">
        <v>915</v>
      </c>
      <c r="B68" s="1773" t="s">
        <v>1258</v>
      </c>
      <c r="C68" s="1774">
        <v>0.1</v>
      </c>
      <c r="D68" s="1774">
        <v>8.7999999999999995E-2</v>
      </c>
      <c r="E68" s="1774">
        <v>9.7000000000000003E-2</v>
      </c>
      <c r="F68" s="1782"/>
    </row>
    <row r="69" spans="1:6" ht="14.25" thickBot="1">
      <c r="A69" s="1769" t="s">
        <v>915</v>
      </c>
      <c r="B69" s="1773" t="s">
        <v>1267</v>
      </c>
      <c r="C69" s="1774">
        <v>6.4000000000000001E-2</v>
      </c>
      <c r="D69" s="1774">
        <v>0.1</v>
      </c>
      <c r="E69" s="1774">
        <v>0.1</v>
      </c>
      <c r="F69" s="1782"/>
    </row>
    <row r="70" spans="1:6" ht="14.25" thickBot="1">
      <c r="A70" s="1769" t="s">
        <v>915</v>
      </c>
      <c r="B70" s="1773" t="s">
        <v>1275</v>
      </c>
      <c r="C70" s="1774">
        <v>9.0999999999999998E-2</v>
      </c>
      <c r="D70" s="1783"/>
      <c r="E70" s="1783"/>
      <c r="F70" s="1782"/>
    </row>
    <row r="71" spans="1:6" ht="14.25" thickBot="1">
      <c r="A71" s="1769" t="s">
        <v>915</v>
      </c>
      <c r="B71" s="1773" t="s">
        <v>1282</v>
      </c>
      <c r="C71" s="1774">
        <v>0.1</v>
      </c>
      <c r="D71" s="1783"/>
      <c r="E71" s="1783"/>
      <c r="F71" s="1782"/>
    </row>
    <row r="72" spans="1:6" ht="14.25" thickBot="1">
      <c r="A72" s="1769" t="s">
        <v>915</v>
      </c>
      <c r="B72" s="1773" t="s">
        <v>2081</v>
      </c>
      <c r="C72" s="1783"/>
      <c r="D72" s="1783"/>
      <c r="E72" s="1783"/>
      <c r="F72" s="1775">
        <v>0.05</v>
      </c>
    </row>
    <row r="73" spans="1:6" ht="14.25" thickBot="1">
      <c r="A73" s="1769" t="s">
        <v>915</v>
      </c>
      <c r="B73" s="1773" t="s">
        <v>2082</v>
      </c>
      <c r="C73" s="1783"/>
      <c r="D73" s="1783"/>
      <c r="E73" s="1783"/>
      <c r="F73" s="1775">
        <v>0.05</v>
      </c>
    </row>
    <row r="74" spans="1:6" ht="14.25" thickBot="1">
      <c r="A74" s="1769" t="s">
        <v>915</v>
      </c>
      <c r="B74" s="1773" t="s">
        <v>2083</v>
      </c>
      <c r="C74" s="1783"/>
      <c r="D74" s="1783"/>
      <c r="E74" s="1783"/>
      <c r="F74" s="1775">
        <v>0.05</v>
      </c>
    </row>
    <row r="75" spans="1:6" ht="14.25" thickBot="1">
      <c r="A75" s="1777" t="s">
        <v>915</v>
      </c>
      <c r="B75" s="1784" t="s">
        <v>2084</v>
      </c>
      <c r="C75" s="1780"/>
      <c r="D75" s="1780"/>
      <c r="E75" s="1780"/>
      <c r="F75" s="1785">
        <v>0.05</v>
      </c>
    </row>
    <row r="76" spans="1:6" ht="14.25" thickBot="1">
      <c r="A76" s="1769" t="s">
        <v>1397</v>
      </c>
      <c r="B76" s="1770" t="s">
        <v>2085</v>
      </c>
      <c r="C76" s="1771">
        <v>0.1</v>
      </c>
      <c r="D76" s="1771">
        <v>0.1</v>
      </c>
      <c r="E76" s="1771">
        <v>0.1</v>
      </c>
      <c r="F76" s="1772">
        <v>0.1</v>
      </c>
    </row>
    <row r="77" spans="1:6" ht="14.25" thickBot="1">
      <c r="A77" s="1769" t="s">
        <v>1397</v>
      </c>
      <c r="B77" s="1773" t="s">
        <v>1064</v>
      </c>
      <c r="C77" s="1774">
        <v>8.7999999999999995E-2</v>
      </c>
      <c r="D77" s="1774">
        <v>8.6999999999999994E-2</v>
      </c>
      <c r="E77" s="1774">
        <v>7.9000000000000001E-2</v>
      </c>
      <c r="F77" s="1775">
        <v>0.1</v>
      </c>
    </row>
    <row r="78" spans="1:6" ht="14.25" thickBot="1">
      <c r="A78" s="1769" t="s">
        <v>1397</v>
      </c>
      <c r="B78" s="1773" t="s">
        <v>1078</v>
      </c>
      <c r="C78" s="1774">
        <v>8.6999999999999994E-2</v>
      </c>
      <c r="D78" s="1774">
        <v>8.4000000000000005E-2</v>
      </c>
      <c r="E78" s="1774">
        <v>9.6000000000000002E-2</v>
      </c>
      <c r="F78" s="1775">
        <v>0.1</v>
      </c>
    </row>
    <row r="79" spans="1:6" ht="14.25" thickBot="1">
      <c r="A79" s="1769" t="s">
        <v>1397</v>
      </c>
      <c r="B79" s="1773" t="s">
        <v>1091</v>
      </c>
      <c r="C79" s="1774">
        <v>9.8000000000000004E-2</v>
      </c>
      <c r="D79" s="1774">
        <v>9.8000000000000004E-2</v>
      </c>
      <c r="E79" s="1774">
        <v>9.0999999999999998E-2</v>
      </c>
      <c r="F79" s="1775">
        <v>0.1</v>
      </c>
    </row>
    <row r="80" spans="1:6" ht="14.25" thickBot="1">
      <c r="A80" s="1769" t="s">
        <v>1397</v>
      </c>
      <c r="B80" s="1773" t="s">
        <v>1105</v>
      </c>
      <c r="C80" s="1774">
        <v>9.6000000000000002E-2</v>
      </c>
      <c r="D80" s="1774">
        <v>9.6000000000000002E-2</v>
      </c>
      <c r="E80" s="1774">
        <v>0.1</v>
      </c>
      <c r="F80" s="1775">
        <v>0.1</v>
      </c>
    </row>
    <row r="81" spans="1:6" ht="14.25" thickBot="1">
      <c r="A81" s="1769" t="s">
        <v>1397</v>
      </c>
      <c r="B81" s="1773" t="s">
        <v>1116</v>
      </c>
      <c r="C81" s="1774">
        <v>9.9000000000000005E-2</v>
      </c>
      <c r="D81" s="1774">
        <v>9.9000000000000005E-2</v>
      </c>
      <c r="E81" s="1774">
        <v>9.8000000000000004E-2</v>
      </c>
      <c r="F81" s="1775">
        <v>0.1</v>
      </c>
    </row>
    <row r="82" spans="1:6" ht="14.25" thickBot="1">
      <c r="A82" s="1769" t="s">
        <v>1397</v>
      </c>
      <c r="B82" s="1773" t="s">
        <v>1127</v>
      </c>
      <c r="C82" s="1774">
        <v>9.9000000000000005E-2</v>
      </c>
      <c r="D82" s="1774">
        <v>9.9000000000000005E-2</v>
      </c>
      <c r="E82" s="1774">
        <v>9.7000000000000003E-2</v>
      </c>
      <c r="F82" s="1775">
        <v>0.1</v>
      </c>
    </row>
    <row r="83" spans="1:6" ht="14.25" thickBot="1">
      <c r="A83" s="1769" t="s">
        <v>1397</v>
      </c>
      <c r="B83" s="1773" t="s">
        <v>1138</v>
      </c>
      <c r="C83" s="1774">
        <v>9.8000000000000004E-2</v>
      </c>
      <c r="D83" s="1774">
        <v>9.8000000000000004E-2</v>
      </c>
      <c r="E83" s="1774">
        <v>9.8000000000000004E-2</v>
      </c>
      <c r="F83" s="1775">
        <v>0.1</v>
      </c>
    </row>
    <row r="84" spans="1:6" ht="14.25" thickBot="1">
      <c r="A84" s="1769" t="s">
        <v>1397</v>
      </c>
      <c r="B84" s="1773" t="s">
        <v>1150</v>
      </c>
      <c r="C84" s="1774">
        <v>9.9000000000000005E-2</v>
      </c>
      <c r="D84" s="1774">
        <v>9.9000000000000005E-2</v>
      </c>
      <c r="E84" s="1774">
        <v>9.9000000000000005E-2</v>
      </c>
      <c r="F84" s="1775">
        <v>0.1</v>
      </c>
    </row>
    <row r="85" spans="1:6" ht="14.25" thickBot="1">
      <c r="A85" s="1769" t="s">
        <v>1397</v>
      </c>
      <c r="B85" s="1773" t="s">
        <v>1160</v>
      </c>
      <c r="C85" s="1774">
        <v>9.9000000000000005E-2</v>
      </c>
      <c r="D85" s="1774">
        <v>9.9000000000000005E-2</v>
      </c>
      <c r="E85" s="1774">
        <v>9.9000000000000005E-2</v>
      </c>
      <c r="F85" s="1775">
        <v>0.1</v>
      </c>
    </row>
    <row r="86" spans="1:6" ht="14.25" thickBot="1">
      <c r="A86" s="1769" t="s">
        <v>1397</v>
      </c>
      <c r="B86" s="1773" t="s">
        <v>1170</v>
      </c>
      <c r="C86" s="1774">
        <v>0.1</v>
      </c>
      <c r="D86" s="1774">
        <v>0.1</v>
      </c>
      <c r="E86" s="1774">
        <v>7.6999999999999999E-2</v>
      </c>
      <c r="F86" s="1775">
        <v>0.1</v>
      </c>
    </row>
    <row r="87" spans="1:6" ht="14.25" thickBot="1">
      <c r="A87" s="1769" t="s">
        <v>1397</v>
      </c>
      <c r="B87" s="1773" t="s">
        <v>1180</v>
      </c>
      <c r="C87" s="1774">
        <v>0.1</v>
      </c>
      <c r="D87" s="1774">
        <v>0.1</v>
      </c>
      <c r="E87" s="1774">
        <v>9.8000000000000004E-2</v>
      </c>
      <c r="F87" s="1782"/>
    </row>
    <row r="88" spans="1:6" ht="14.25" thickBot="1">
      <c r="A88" s="1769" t="s">
        <v>1397</v>
      </c>
      <c r="B88" s="1773" t="s">
        <v>1190</v>
      </c>
      <c r="C88" s="1774">
        <v>9.1999999999999998E-2</v>
      </c>
      <c r="D88" s="1774">
        <v>8.5000000000000006E-2</v>
      </c>
      <c r="E88" s="1774">
        <v>9.6000000000000002E-2</v>
      </c>
      <c r="F88" s="1782"/>
    </row>
    <row r="89" spans="1:6" ht="14.25" thickBot="1">
      <c r="A89" s="1769" t="s">
        <v>1397</v>
      </c>
      <c r="B89" s="1773" t="s">
        <v>1200</v>
      </c>
      <c r="C89" s="1774">
        <v>0.1</v>
      </c>
      <c r="D89" s="1774">
        <v>0.1</v>
      </c>
      <c r="E89" s="1774">
        <v>9.7000000000000003E-2</v>
      </c>
      <c r="F89" s="1782"/>
    </row>
    <row r="90" spans="1:6" ht="14.25" thickBot="1">
      <c r="A90" s="1769" t="s">
        <v>1397</v>
      </c>
      <c r="B90" s="1773" t="s">
        <v>1210</v>
      </c>
      <c r="C90" s="1774">
        <v>9.8000000000000004E-2</v>
      </c>
      <c r="D90" s="1774">
        <v>9.8000000000000004E-2</v>
      </c>
      <c r="E90" s="1774">
        <v>8.7999999999999995E-2</v>
      </c>
      <c r="F90" s="1782"/>
    </row>
    <row r="91" spans="1:6" ht="14.25" thickBot="1">
      <c r="A91" s="1769" t="s">
        <v>1397</v>
      </c>
      <c r="B91" s="1773" t="s">
        <v>1220</v>
      </c>
      <c r="C91" s="1774">
        <v>9.9000000000000005E-2</v>
      </c>
      <c r="D91" s="1774">
        <v>9.9000000000000005E-2</v>
      </c>
      <c r="E91" s="1774">
        <v>9.0999999999999998E-2</v>
      </c>
      <c r="F91" s="1782"/>
    </row>
    <row r="92" spans="1:6" ht="14.25" thickBot="1">
      <c r="A92" s="1769" t="s">
        <v>1397</v>
      </c>
      <c r="B92" s="1773" t="s">
        <v>1230</v>
      </c>
      <c r="C92" s="1774">
        <v>9.6000000000000002E-2</v>
      </c>
      <c r="D92" s="1774">
        <v>9.6000000000000002E-2</v>
      </c>
      <c r="E92" s="1774">
        <v>7.2999999999999995E-2</v>
      </c>
      <c r="F92" s="1782"/>
    </row>
    <row r="93" spans="1:6" ht="14.25" thickBot="1">
      <c r="A93" s="1769" t="s">
        <v>1397</v>
      </c>
      <c r="B93" s="1773" t="s">
        <v>1240</v>
      </c>
      <c r="C93" s="1774">
        <v>9.6000000000000002E-2</v>
      </c>
      <c r="D93" s="1774">
        <v>9.6000000000000002E-2</v>
      </c>
      <c r="E93" s="1774">
        <v>9.9000000000000005E-2</v>
      </c>
      <c r="F93" s="1782"/>
    </row>
    <row r="94" spans="1:6" ht="14.25" thickBot="1">
      <c r="A94" s="1769" t="s">
        <v>1397</v>
      </c>
      <c r="B94" s="1773" t="s">
        <v>1250</v>
      </c>
      <c r="C94" s="1774">
        <v>7.5999999999999998E-2</v>
      </c>
      <c r="D94" s="1774">
        <v>7.3999999999999996E-2</v>
      </c>
      <c r="E94" s="1774">
        <v>9.7000000000000003E-2</v>
      </c>
      <c r="F94" s="1782"/>
    </row>
    <row r="95" spans="1:6" ht="14.25" thickBot="1">
      <c r="A95" s="1769" t="s">
        <v>1397</v>
      </c>
      <c r="B95" s="1773" t="s">
        <v>1259</v>
      </c>
      <c r="C95" s="1774">
        <v>9.9000000000000005E-2</v>
      </c>
      <c r="D95" s="1774">
        <v>9.4E-2</v>
      </c>
      <c r="E95" s="1774">
        <v>9.6000000000000002E-2</v>
      </c>
      <c r="F95" s="1782"/>
    </row>
    <row r="96" spans="1:6" ht="14.25" thickBot="1">
      <c r="A96" s="1769" t="s">
        <v>1397</v>
      </c>
      <c r="B96" s="1773" t="s">
        <v>1268</v>
      </c>
      <c r="C96" s="1774">
        <v>9.9000000000000005E-2</v>
      </c>
      <c r="D96" s="1774">
        <v>9.9000000000000005E-2</v>
      </c>
      <c r="E96" s="1774">
        <v>9.9000000000000005E-2</v>
      </c>
      <c r="F96" s="1782"/>
    </row>
    <row r="97" spans="1:6" ht="14.25" thickBot="1">
      <c r="A97" s="1769" t="s">
        <v>1397</v>
      </c>
      <c r="B97" s="1773" t="s">
        <v>1276</v>
      </c>
      <c r="C97" s="1774">
        <v>9.8000000000000004E-2</v>
      </c>
      <c r="D97" s="1774">
        <v>9.8000000000000004E-2</v>
      </c>
      <c r="E97" s="1774">
        <v>9.7000000000000003E-2</v>
      </c>
      <c r="F97" s="1782"/>
    </row>
    <row r="98" spans="1:6" ht="14.25" thickBot="1">
      <c r="A98" s="1769" t="s">
        <v>1397</v>
      </c>
      <c r="B98" s="1773" t="s">
        <v>1283</v>
      </c>
      <c r="C98" s="1774">
        <v>0.1</v>
      </c>
      <c r="D98" s="1774">
        <v>0.1</v>
      </c>
      <c r="E98" s="1774">
        <v>9.7000000000000003E-2</v>
      </c>
      <c r="F98" s="1782"/>
    </row>
    <row r="99" spans="1:6" ht="14.25" thickBot="1">
      <c r="A99" s="1769" t="s">
        <v>1397</v>
      </c>
      <c r="B99" s="1773" t="s">
        <v>1290</v>
      </c>
      <c r="C99" s="1774">
        <v>0.1</v>
      </c>
      <c r="D99" s="1774">
        <v>0.1</v>
      </c>
      <c r="E99" s="1783"/>
      <c r="F99" s="1782"/>
    </row>
    <row r="100" spans="1:6" ht="14.25" thickBot="1">
      <c r="A100" s="1769" t="s">
        <v>1397</v>
      </c>
      <c r="B100" s="1773" t="s">
        <v>1297</v>
      </c>
      <c r="C100" s="1774">
        <v>0.09</v>
      </c>
      <c r="D100" s="1774">
        <v>8.8999999999999996E-2</v>
      </c>
      <c r="E100" s="1783"/>
      <c r="F100" s="1782"/>
    </row>
    <row r="101" spans="1:6" ht="14.25" thickBot="1">
      <c r="A101" s="1769" t="s">
        <v>1397</v>
      </c>
      <c r="B101" s="1773" t="s">
        <v>1304</v>
      </c>
      <c r="C101" s="1774">
        <v>9.8000000000000004E-2</v>
      </c>
      <c r="D101" s="1774">
        <v>9.7000000000000003E-2</v>
      </c>
      <c r="E101" s="1783"/>
      <c r="F101" s="1782"/>
    </row>
    <row r="102" spans="1:6" ht="14.25" thickBot="1">
      <c r="A102" s="1769" t="s">
        <v>1397</v>
      </c>
      <c r="B102" s="1773" t="s">
        <v>2086</v>
      </c>
      <c r="C102" s="1783"/>
      <c r="D102" s="1783"/>
      <c r="E102" s="1783"/>
      <c r="F102" s="1775">
        <v>0.05</v>
      </c>
    </row>
    <row r="103" spans="1:6" ht="24.75" thickBot="1">
      <c r="A103" s="1769" t="s">
        <v>1397</v>
      </c>
      <c r="B103" s="1773" t="s">
        <v>2087</v>
      </c>
      <c r="C103" s="1783"/>
      <c r="D103" s="1783"/>
      <c r="E103" s="1783"/>
      <c r="F103" s="1775">
        <v>0.05</v>
      </c>
    </row>
    <row r="104" spans="1:6" ht="14.25" thickBot="1">
      <c r="A104" s="1769" t="s">
        <v>1397</v>
      </c>
      <c r="B104" s="1773" t="s">
        <v>2088</v>
      </c>
      <c r="C104" s="1783"/>
      <c r="D104" s="1783"/>
      <c r="E104" s="1783"/>
      <c r="F104" s="1775">
        <v>0.05</v>
      </c>
    </row>
    <row r="105" spans="1:6" ht="14.25" thickBot="1">
      <c r="A105" s="1769" t="s">
        <v>1397</v>
      </c>
      <c r="B105" s="1773" t="s">
        <v>2089</v>
      </c>
      <c r="C105" s="1783"/>
      <c r="D105" s="1783"/>
      <c r="E105" s="1783"/>
      <c r="F105" s="1775">
        <v>0.05</v>
      </c>
    </row>
    <row r="106" spans="1:6" ht="14.25" thickBot="1">
      <c r="A106" s="1769" t="s">
        <v>1397</v>
      </c>
      <c r="B106" s="1773" t="s">
        <v>2090</v>
      </c>
      <c r="C106" s="1783"/>
      <c r="D106" s="1783"/>
      <c r="E106" s="1783"/>
      <c r="F106" s="1775">
        <v>0.05</v>
      </c>
    </row>
    <row r="107" spans="1:6" ht="24.75" thickBot="1">
      <c r="A107" s="1769" t="s">
        <v>1397</v>
      </c>
      <c r="B107" s="1773" t="s">
        <v>2091</v>
      </c>
      <c r="C107" s="1783"/>
      <c r="D107" s="1783"/>
      <c r="E107" s="1783"/>
      <c r="F107" s="1775">
        <v>0.05</v>
      </c>
    </row>
    <row r="108" spans="1:6" ht="24.75" thickBot="1">
      <c r="A108" s="1769" t="s">
        <v>1397</v>
      </c>
      <c r="B108" s="1773" t="s">
        <v>2092</v>
      </c>
      <c r="C108" s="1783"/>
      <c r="D108" s="1783"/>
      <c r="E108" s="1783"/>
      <c r="F108" s="1775">
        <v>0.05</v>
      </c>
    </row>
    <row r="109" spans="1:6" ht="24.75" thickBot="1">
      <c r="A109" s="1777" t="s">
        <v>1397</v>
      </c>
      <c r="B109" s="1784" t="s">
        <v>2093</v>
      </c>
      <c r="C109" s="1780"/>
      <c r="D109" s="1780"/>
      <c r="E109" s="1780"/>
      <c r="F109" s="1785">
        <v>0.05</v>
      </c>
    </row>
    <row r="110" spans="1:6" ht="14.25" thickBot="1">
      <c r="A110" s="1769" t="s">
        <v>1399</v>
      </c>
      <c r="B110" s="1770" t="s">
        <v>2094</v>
      </c>
      <c r="C110" s="1771">
        <v>0.129</v>
      </c>
      <c r="D110" s="1771">
        <v>0.129</v>
      </c>
      <c r="E110" s="1771">
        <v>0.126</v>
      </c>
      <c r="F110" s="1772">
        <v>0.13</v>
      </c>
    </row>
    <row r="111" spans="1:6" ht="14.25" thickBot="1">
      <c r="A111" s="1769" t="s">
        <v>1399</v>
      </c>
      <c r="B111" s="1773" t="s">
        <v>1065</v>
      </c>
      <c r="C111" s="1774">
        <v>0.11</v>
      </c>
      <c r="D111" s="1774">
        <v>0.11</v>
      </c>
      <c r="E111" s="1774">
        <v>9.9000000000000005E-2</v>
      </c>
      <c r="F111" s="1775">
        <v>0.128</v>
      </c>
    </row>
    <row r="112" spans="1:6" ht="14.25" thickBot="1">
      <c r="A112" s="1769" t="s">
        <v>1399</v>
      </c>
      <c r="B112" s="1773" t="s">
        <v>1079</v>
      </c>
      <c r="C112" s="1774">
        <v>0.125</v>
      </c>
      <c r="D112" s="1774">
        <v>0.125</v>
      </c>
      <c r="E112" s="1774">
        <v>0.12</v>
      </c>
      <c r="F112" s="1775">
        <v>0.125</v>
      </c>
    </row>
    <row r="113" spans="1:6" ht="14.25" thickBot="1">
      <c r="A113" s="1769" t="s">
        <v>1399</v>
      </c>
      <c r="B113" s="1773" t="s">
        <v>1092</v>
      </c>
      <c r="C113" s="1774">
        <v>0.13</v>
      </c>
      <c r="D113" s="1774">
        <v>0.13</v>
      </c>
      <c r="E113" s="1774">
        <v>0.13</v>
      </c>
      <c r="F113" s="1775">
        <v>0.13</v>
      </c>
    </row>
    <row r="114" spans="1:6" ht="14.25" thickBot="1">
      <c r="A114" s="1769" t="s">
        <v>1399</v>
      </c>
      <c r="B114" s="1773" t="s">
        <v>1106</v>
      </c>
      <c r="C114" s="1774">
        <v>0.123</v>
      </c>
      <c r="D114" s="1774">
        <v>0.123</v>
      </c>
      <c r="E114" s="1774">
        <v>0.12</v>
      </c>
      <c r="F114" s="1775">
        <v>0.13</v>
      </c>
    </row>
    <row r="115" spans="1:6" ht="14.25" thickBot="1">
      <c r="A115" s="1769" t="s">
        <v>1399</v>
      </c>
      <c r="B115" s="1773" t="s">
        <v>1117</v>
      </c>
      <c r="C115" s="1774">
        <v>0.125</v>
      </c>
      <c r="D115" s="1774">
        <v>0.125</v>
      </c>
      <c r="E115" s="1774">
        <v>0.11700000000000001</v>
      </c>
      <c r="F115" s="1775">
        <v>0.13</v>
      </c>
    </row>
    <row r="116" spans="1:6" ht="14.25" thickBot="1">
      <c r="A116" s="1769" t="s">
        <v>1399</v>
      </c>
      <c r="B116" s="1773" t="s">
        <v>1128</v>
      </c>
      <c r="C116" s="1774">
        <v>0.11700000000000001</v>
      </c>
      <c r="D116" s="1774">
        <v>0.11700000000000001</v>
      </c>
      <c r="E116" s="1774">
        <v>8.7999999999999995E-2</v>
      </c>
      <c r="F116" s="1775">
        <v>0.13</v>
      </c>
    </row>
    <row r="117" spans="1:6" ht="14.25" thickBot="1">
      <c r="A117" s="1769" t="s">
        <v>1399</v>
      </c>
      <c r="B117" s="1773" t="s">
        <v>1139</v>
      </c>
      <c r="C117" s="1774">
        <v>0.13</v>
      </c>
      <c r="D117" s="1774">
        <v>0.13</v>
      </c>
      <c r="E117" s="1774">
        <v>0.129</v>
      </c>
      <c r="F117" s="1775">
        <v>0.13</v>
      </c>
    </row>
    <row r="118" spans="1:6" ht="14.25" thickBot="1">
      <c r="A118" s="1769" t="s">
        <v>1399</v>
      </c>
      <c r="B118" s="1773" t="s">
        <v>1151</v>
      </c>
      <c r="C118" s="1774">
        <v>0.123</v>
      </c>
      <c r="D118" s="1774">
        <v>0.123</v>
      </c>
      <c r="E118" s="1774">
        <v>0.11600000000000001</v>
      </c>
      <c r="F118" s="1775">
        <v>0.13</v>
      </c>
    </row>
    <row r="119" spans="1:6" ht="14.25" thickBot="1">
      <c r="A119" s="1769" t="s">
        <v>1399</v>
      </c>
      <c r="B119" s="1773" t="s">
        <v>1161</v>
      </c>
      <c r="C119" s="1774">
        <v>0.127</v>
      </c>
      <c r="D119" s="1774">
        <v>0.127</v>
      </c>
      <c r="E119" s="1774">
        <v>0.124</v>
      </c>
      <c r="F119" s="1775">
        <v>0.13</v>
      </c>
    </row>
    <row r="120" spans="1:6" ht="14.25" thickBot="1">
      <c r="A120" s="1769" t="s">
        <v>1399</v>
      </c>
      <c r="B120" s="1773" t="s">
        <v>1171</v>
      </c>
      <c r="C120" s="1774">
        <v>0.125</v>
      </c>
      <c r="D120" s="1774">
        <v>0.125</v>
      </c>
      <c r="E120" s="1774">
        <v>0.122</v>
      </c>
      <c r="F120" s="1775">
        <v>0.13</v>
      </c>
    </row>
    <row r="121" spans="1:6" ht="14.25" thickBot="1">
      <c r="A121" s="1769" t="s">
        <v>1399</v>
      </c>
      <c r="B121" s="1773" t="s">
        <v>1181</v>
      </c>
      <c r="C121" s="1774">
        <v>0.13</v>
      </c>
      <c r="D121" s="1774">
        <v>0.13</v>
      </c>
      <c r="E121" s="1774">
        <v>0.13</v>
      </c>
      <c r="F121" s="1775">
        <v>0.13</v>
      </c>
    </row>
    <row r="122" spans="1:6" ht="14.25" thickBot="1">
      <c r="A122" s="1769" t="s">
        <v>1399</v>
      </c>
      <c r="B122" s="1773" t="s">
        <v>1191</v>
      </c>
      <c r="C122" s="1774">
        <v>0.13</v>
      </c>
      <c r="D122" s="1774">
        <v>0.13</v>
      </c>
      <c r="E122" s="1774">
        <v>0.125</v>
      </c>
      <c r="F122" s="1775">
        <v>0.13</v>
      </c>
    </row>
    <row r="123" spans="1:6" ht="14.25" thickBot="1">
      <c r="A123" s="1769" t="s">
        <v>1399</v>
      </c>
      <c r="B123" s="1773" t="s">
        <v>1201</v>
      </c>
      <c r="C123" s="1774">
        <v>0.129</v>
      </c>
      <c r="D123" s="1774">
        <v>0.129</v>
      </c>
      <c r="E123" s="1774">
        <v>0.123</v>
      </c>
      <c r="F123" s="1775">
        <v>0.13</v>
      </c>
    </row>
    <row r="124" spans="1:6" ht="14.25" thickBot="1">
      <c r="A124" s="1769" t="s">
        <v>1399</v>
      </c>
      <c r="B124" s="1773" t="s">
        <v>1211</v>
      </c>
      <c r="C124" s="1774">
        <v>0.10199999999999999</v>
      </c>
      <c r="D124" s="1774">
        <v>0.10100000000000001</v>
      </c>
      <c r="E124" s="1774">
        <v>0.08</v>
      </c>
      <c r="F124" s="1782"/>
    </row>
    <row r="125" spans="1:6" ht="14.25" thickBot="1">
      <c r="A125" s="1769" t="s">
        <v>1399</v>
      </c>
      <c r="B125" s="1773" t="s">
        <v>1221</v>
      </c>
      <c r="C125" s="1774">
        <v>0.13</v>
      </c>
      <c r="D125" s="1774">
        <v>0.13</v>
      </c>
      <c r="E125" s="1774">
        <v>0.129</v>
      </c>
      <c r="F125" s="1782"/>
    </row>
    <row r="126" spans="1:6" ht="14.25" thickBot="1">
      <c r="A126" s="1769" t="s">
        <v>1399</v>
      </c>
      <c r="B126" s="1773" t="s">
        <v>1231</v>
      </c>
      <c r="C126" s="1774">
        <v>0.13</v>
      </c>
      <c r="D126" s="1774">
        <v>0.13</v>
      </c>
      <c r="E126" s="1774">
        <v>0.126</v>
      </c>
      <c r="F126" s="1782"/>
    </row>
    <row r="127" spans="1:6" ht="14.25" thickBot="1">
      <c r="A127" s="1769" t="s">
        <v>1399</v>
      </c>
      <c r="B127" s="1773" t="s">
        <v>1241</v>
      </c>
      <c r="C127" s="1774">
        <v>0.125</v>
      </c>
      <c r="D127" s="1774">
        <v>0.125</v>
      </c>
      <c r="E127" s="1774">
        <v>0.121</v>
      </c>
      <c r="F127" s="1782"/>
    </row>
    <row r="128" spans="1:6" ht="14.25" thickBot="1">
      <c r="A128" s="1769" t="s">
        <v>1399</v>
      </c>
      <c r="B128" s="1773" t="s">
        <v>1251</v>
      </c>
      <c r="C128" s="1774">
        <v>0.12</v>
      </c>
      <c r="D128" s="1774">
        <v>0.12</v>
      </c>
      <c r="E128" s="1774">
        <v>0.105</v>
      </c>
      <c r="F128" s="1782"/>
    </row>
    <row r="129" spans="1:6" ht="14.25" thickBot="1">
      <c r="A129" s="1769" t="s">
        <v>1399</v>
      </c>
      <c r="B129" s="1773" t="s">
        <v>1260</v>
      </c>
      <c r="C129" s="1774">
        <v>0.13</v>
      </c>
      <c r="D129" s="1774">
        <v>0.13</v>
      </c>
      <c r="E129" s="1774">
        <v>0.126</v>
      </c>
      <c r="F129" s="1782"/>
    </row>
    <row r="130" spans="1:6" ht="14.25" thickBot="1">
      <c r="A130" s="1769" t="s">
        <v>1399</v>
      </c>
      <c r="B130" s="1773" t="s">
        <v>1269</v>
      </c>
      <c r="C130" s="1774">
        <v>0.125</v>
      </c>
      <c r="D130" s="1774">
        <v>0.125</v>
      </c>
      <c r="E130" s="1774">
        <v>0.122</v>
      </c>
      <c r="F130" s="1782"/>
    </row>
    <row r="131" spans="1:6" ht="14.25" thickBot="1">
      <c r="A131" s="1769" t="s">
        <v>1399</v>
      </c>
      <c r="B131" s="1773" t="s">
        <v>1277</v>
      </c>
      <c r="C131" s="1774">
        <v>0.127</v>
      </c>
      <c r="D131" s="1774">
        <v>0.126</v>
      </c>
      <c r="E131" s="1774">
        <v>0.123</v>
      </c>
      <c r="F131" s="1782"/>
    </row>
    <row r="132" spans="1:6" ht="14.25" thickBot="1">
      <c r="A132" s="1769" t="s">
        <v>1399</v>
      </c>
      <c r="B132" s="1773" t="s">
        <v>1284</v>
      </c>
      <c r="C132" s="1774">
        <v>9.0999999999999998E-2</v>
      </c>
      <c r="D132" s="1774">
        <v>0.121</v>
      </c>
      <c r="E132" s="1774">
        <v>9.9000000000000005E-2</v>
      </c>
      <c r="F132" s="1782"/>
    </row>
    <row r="133" spans="1:6" ht="14.25" thickBot="1">
      <c r="A133" s="1769" t="s">
        <v>1399</v>
      </c>
      <c r="B133" s="1773" t="s">
        <v>1291</v>
      </c>
      <c r="C133" s="1774">
        <v>0.13</v>
      </c>
      <c r="D133" s="1774">
        <v>0.13</v>
      </c>
      <c r="E133" s="1774">
        <v>0.129</v>
      </c>
      <c r="F133" s="1782"/>
    </row>
    <row r="134" spans="1:6" ht="14.25" thickBot="1">
      <c r="A134" s="1769" t="s">
        <v>1399</v>
      </c>
      <c r="B134" s="1773" t="s">
        <v>2095</v>
      </c>
      <c r="C134" s="1774">
        <v>6.8000000000000005E-2</v>
      </c>
      <c r="D134" s="1774">
        <v>6.5000000000000002E-2</v>
      </c>
      <c r="E134" s="1774">
        <v>6.5000000000000002E-2</v>
      </c>
      <c r="F134" s="1775">
        <v>0.13</v>
      </c>
    </row>
    <row r="135" spans="1:6" ht="14.25" thickBot="1">
      <c r="A135" s="1769" t="s">
        <v>1399</v>
      </c>
      <c r="B135" s="1773" t="s">
        <v>1305</v>
      </c>
      <c r="C135" s="1774">
        <v>0.123</v>
      </c>
      <c r="D135" s="1774">
        <v>0.123</v>
      </c>
      <c r="E135" s="1774">
        <v>0.11</v>
      </c>
      <c r="F135" s="1782"/>
    </row>
    <row r="136" spans="1:6" ht="14.25" thickBot="1">
      <c r="A136" s="1769" t="s">
        <v>1399</v>
      </c>
      <c r="B136" s="1773" t="s">
        <v>1312</v>
      </c>
      <c r="C136" s="1774">
        <v>0.13</v>
      </c>
      <c r="D136" s="1774">
        <v>0.13</v>
      </c>
      <c r="E136" s="1774">
        <v>0.125</v>
      </c>
      <c r="F136" s="1782"/>
    </row>
    <row r="137" spans="1:6" ht="14.25" thickBot="1">
      <c r="A137" s="1769" t="s">
        <v>1399</v>
      </c>
      <c r="B137" s="1773" t="s">
        <v>1319</v>
      </c>
      <c r="C137" s="1774">
        <v>0.121</v>
      </c>
      <c r="D137" s="1774">
        <v>0.122</v>
      </c>
      <c r="E137" s="1774">
        <v>0.115</v>
      </c>
      <c r="F137" s="1782"/>
    </row>
    <row r="138" spans="1:6" ht="14.25" thickBot="1">
      <c r="A138" s="1769" t="s">
        <v>1399</v>
      </c>
      <c r="B138" s="1773" t="s">
        <v>2096</v>
      </c>
      <c r="C138" s="1774">
        <v>0.105</v>
      </c>
      <c r="D138" s="1774">
        <v>0.125</v>
      </c>
      <c r="E138" s="1774">
        <v>0.112</v>
      </c>
      <c r="F138" s="1782"/>
    </row>
    <row r="139" spans="1:6" ht="14.25" thickBot="1">
      <c r="A139" s="1769" t="s">
        <v>1399</v>
      </c>
      <c r="B139" s="1773" t="s">
        <v>2097</v>
      </c>
      <c r="C139" s="1774">
        <v>0.127</v>
      </c>
      <c r="D139" s="1774">
        <v>0.127</v>
      </c>
      <c r="E139" s="1774">
        <v>0.122</v>
      </c>
      <c r="F139" s="1775">
        <v>0.13</v>
      </c>
    </row>
    <row r="140" spans="1:6" ht="14.25" thickBot="1">
      <c r="A140" s="1769" t="s">
        <v>1399</v>
      </c>
      <c r="B140" s="1773" t="s">
        <v>2098</v>
      </c>
      <c r="C140" s="1774">
        <v>0.125</v>
      </c>
      <c r="D140" s="1774">
        <v>0.125</v>
      </c>
      <c r="E140" s="1774">
        <v>0.11899999999999999</v>
      </c>
      <c r="F140" s="1775">
        <v>0.13</v>
      </c>
    </row>
    <row r="141" spans="1:6" ht="14.25" thickBot="1">
      <c r="A141" s="1769" t="s">
        <v>1399</v>
      </c>
      <c r="B141" s="1773" t="s">
        <v>1338</v>
      </c>
      <c r="C141" s="1774">
        <v>0.125</v>
      </c>
      <c r="D141" s="1774">
        <v>0.125</v>
      </c>
      <c r="E141" s="1774">
        <v>0.11700000000000001</v>
      </c>
      <c r="F141" s="1782"/>
    </row>
    <row r="142" spans="1:6" ht="14.25" thickBot="1">
      <c r="A142" s="1769" t="s">
        <v>1399</v>
      </c>
      <c r="B142" s="1773" t="s">
        <v>1343</v>
      </c>
      <c r="C142" s="1774">
        <v>0.125</v>
      </c>
      <c r="D142" s="1774">
        <v>0.125</v>
      </c>
      <c r="E142" s="1774">
        <v>0.115</v>
      </c>
      <c r="F142" s="1782"/>
    </row>
    <row r="143" spans="1:6" ht="14.25" thickBot="1">
      <c r="A143" s="1769" t="s">
        <v>1399</v>
      </c>
      <c r="B143" s="1773" t="s">
        <v>1348</v>
      </c>
      <c r="C143" s="1774">
        <v>0.121</v>
      </c>
      <c r="D143" s="1774">
        <v>0.121</v>
      </c>
      <c r="E143" s="1774">
        <v>0.108</v>
      </c>
      <c r="F143" s="1782"/>
    </row>
    <row r="144" spans="1:6" ht="14.25" thickBot="1">
      <c r="A144" s="1769" t="s">
        <v>1399</v>
      </c>
      <c r="B144" s="1786" t="s">
        <v>2099</v>
      </c>
      <c r="C144" s="1787">
        <v>0.126</v>
      </c>
      <c r="D144" s="1787">
        <v>0.126</v>
      </c>
      <c r="E144" s="1787">
        <v>0.121</v>
      </c>
      <c r="F144" s="1782"/>
    </row>
    <row r="145" spans="1:6" ht="14.25" thickBot="1">
      <c r="A145" s="1777" t="s">
        <v>1399</v>
      </c>
      <c r="B145" s="1788" t="s">
        <v>2100</v>
      </c>
      <c r="C145" s="1789"/>
      <c r="D145" s="1789"/>
      <c r="E145" s="1789"/>
      <c r="F145" s="1790">
        <v>0.05</v>
      </c>
    </row>
    <row r="146" spans="1:6" ht="24.75" thickBot="1">
      <c r="A146" s="1791" t="s">
        <v>1399</v>
      </c>
      <c r="B146" s="1776" t="s">
        <v>2101</v>
      </c>
      <c r="C146" s="1783"/>
      <c r="D146" s="1783"/>
      <c r="E146" s="1783"/>
      <c r="F146" s="1792">
        <v>0.05</v>
      </c>
    </row>
    <row r="147" spans="1:6" ht="24.75" thickBot="1">
      <c r="A147" s="1769" t="s">
        <v>1399</v>
      </c>
      <c r="B147" s="1773" t="s">
        <v>2102</v>
      </c>
      <c r="C147" s="1783"/>
      <c r="D147" s="1783"/>
      <c r="E147" s="1783"/>
      <c r="F147" s="1775">
        <v>0.05</v>
      </c>
    </row>
    <row r="148" spans="1:6" ht="24.75" thickBot="1">
      <c r="A148" s="1769" t="s">
        <v>1399</v>
      </c>
      <c r="B148" s="1773" t="s">
        <v>2103</v>
      </c>
      <c r="C148" s="1783"/>
      <c r="D148" s="1783"/>
      <c r="E148" s="1783"/>
      <c r="F148" s="1775">
        <v>0.05</v>
      </c>
    </row>
    <row r="149" spans="1:6" ht="24.75" thickBot="1">
      <c r="A149" s="1769" t="s">
        <v>1399</v>
      </c>
      <c r="B149" s="1773" t="s">
        <v>2104</v>
      </c>
      <c r="C149" s="1783"/>
      <c r="D149" s="1783"/>
      <c r="E149" s="1783"/>
      <c r="F149" s="1775">
        <v>0.05</v>
      </c>
    </row>
    <row r="150" spans="1:6" ht="24.75" thickBot="1">
      <c r="A150" s="1769" t="s">
        <v>1399</v>
      </c>
      <c r="B150" s="1773" t="s">
        <v>2105</v>
      </c>
      <c r="C150" s="1783"/>
      <c r="D150" s="1783"/>
      <c r="E150" s="1783"/>
      <c r="F150" s="1775">
        <v>0.05</v>
      </c>
    </row>
    <row r="151" spans="1:6" ht="24.75" thickBot="1">
      <c r="A151" s="1769" t="s">
        <v>1399</v>
      </c>
      <c r="B151" s="1773" t="s">
        <v>2106</v>
      </c>
      <c r="C151" s="1783"/>
      <c r="D151" s="1783"/>
      <c r="E151" s="1783"/>
      <c r="F151" s="1775">
        <v>0.05</v>
      </c>
    </row>
    <row r="152" spans="1:6" ht="24.75" thickBot="1">
      <c r="A152" s="1769" t="s">
        <v>1399</v>
      </c>
      <c r="B152" s="1773" t="s">
        <v>1381</v>
      </c>
      <c r="C152" s="1783"/>
      <c r="D152" s="1783"/>
      <c r="E152" s="1783"/>
      <c r="F152" s="1775">
        <v>0.05</v>
      </c>
    </row>
    <row r="153" spans="1:6" ht="14.25" thickBot="1">
      <c r="A153" s="1769" t="s">
        <v>1399</v>
      </c>
      <c r="B153" s="1773" t="s">
        <v>2107</v>
      </c>
      <c r="C153" s="1783"/>
      <c r="D153" s="1783"/>
      <c r="E153" s="1783"/>
      <c r="F153" s="1775">
        <v>0.05</v>
      </c>
    </row>
    <row r="154" spans="1:6" ht="14.25" thickBot="1">
      <c r="A154" s="1769" t="s">
        <v>1399</v>
      </c>
      <c r="B154" s="1773" t="s">
        <v>2108</v>
      </c>
      <c r="C154" s="1783"/>
      <c r="D154" s="1783"/>
      <c r="E154" s="1783"/>
      <c r="F154" s="1775">
        <v>0.05</v>
      </c>
    </row>
    <row r="155" spans="1:6" ht="24.75" thickBot="1">
      <c r="A155" s="1769" t="s">
        <v>1399</v>
      </c>
      <c r="B155" s="1773" t="s">
        <v>2109</v>
      </c>
      <c r="C155" s="1783"/>
      <c r="D155" s="1783"/>
      <c r="E155" s="1783"/>
      <c r="F155" s="1775">
        <v>0.05</v>
      </c>
    </row>
    <row r="156" spans="1:6" ht="24.75" thickBot="1">
      <c r="A156" s="1769" t="s">
        <v>1399</v>
      </c>
      <c r="B156" s="1773" t="s">
        <v>2110</v>
      </c>
      <c r="C156" s="1783"/>
      <c r="D156" s="1783"/>
      <c r="E156" s="1783"/>
      <c r="F156" s="1775">
        <v>0.05</v>
      </c>
    </row>
    <row r="157" spans="1:6" ht="14.25" thickBot="1">
      <c r="A157" s="1777" t="s">
        <v>1399</v>
      </c>
      <c r="B157" s="1784" t="s">
        <v>2111</v>
      </c>
      <c r="C157" s="1780"/>
      <c r="D157" s="1780"/>
      <c r="E157" s="1780"/>
      <c r="F157" s="1785">
        <v>0.05</v>
      </c>
    </row>
    <row r="158" spans="1:6" ht="14.25" thickBot="1">
      <c r="A158" s="1769" t="s">
        <v>1401</v>
      </c>
      <c r="B158" s="1770" t="s">
        <v>2112</v>
      </c>
      <c r="C158" s="1771">
        <v>0.13</v>
      </c>
      <c r="D158" s="1771">
        <v>0.13</v>
      </c>
      <c r="E158" s="1771">
        <v>0.13</v>
      </c>
      <c r="F158" s="1772">
        <v>0.13</v>
      </c>
    </row>
    <row r="159" spans="1:6" ht="14.25" thickBot="1">
      <c r="A159" s="1769" t="s">
        <v>1401</v>
      </c>
      <c r="B159" s="1773" t="s">
        <v>1066</v>
      </c>
      <c r="C159" s="1774">
        <v>0.13</v>
      </c>
      <c r="D159" s="1774">
        <v>0.13</v>
      </c>
      <c r="E159" s="1774">
        <v>0.13</v>
      </c>
      <c r="F159" s="1775">
        <v>0.13</v>
      </c>
    </row>
    <row r="160" spans="1:6" ht="14.25" thickBot="1">
      <c r="A160" s="1769" t="s">
        <v>1401</v>
      </c>
      <c r="B160" s="1773" t="s">
        <v>1080</v>
      </c>
      <c r="C160" s="1774">
        <v>0.13</v>
      </c>
      <c r="D160" s="1774">
        <v>0.13</v>
      </c>
      <c r="E160" s="1774">
        <v>0.129</v>
      </c>
      <c r="F160" s="1775">
        <v>0.13</v>
      </c>
    </row>
    <row r="161" spans="1:6" ht="14.25" thickBot="1">
      <c r="A161" s="1769" t="s">
        <v>1401</v>
      </c>
      <c r="B161" s="1773" t="s">
        <v>1093</v>
      </c>
      <c r="C161" s="1774">
        <v>0.128</v>
      </c>
      <c r="D161" s="1774">
        <v>0.128</v>
      </c>
      <c r="E161" s="1774">
        <v>0.125</v>
      </c>
      <c r="F161" s="1775">
        <v>0.13</v>
      </c>
    </row>
    <row r="162" spans="1:6" ht="14.25" thickBot="1">
      <c r="A162" s="1769" t="s">
        <v>1401</v>
      </c>
      <c r="B162" s="1773" t="s">
        <v>1107</v>
      </c>
      <c r="C162" s="1774">
        <v>0.122</v>
      </c>
      <c r="D162" s="1774">
        <v>0.122</v>
      </c>
      <c r="E162" s="1774">
        <v>0.126</v>
      </c>
      <c r="F162" s="1775">
        <v>0.122</v>
      </c>
    </row>
    <row r="163" spans="1:6" ht="14.25" thickBot="1">
      <c r="A163" s="1769" t="s">
        <v>1401</v>
      </c>
      <c r="B163" s="1773" t="s">
        <v>1118</v>
      </c>
      <c r="C163" s="1774">
        <v>0.13</v>
      </c>
      <c r="D163" s="1774">
        <v>0.13</v>
      </c>
      <c r="E163" s="1774">
        <v>0.125</v>
      </c>
      <c r="F163" s="1775">
        <v>0.13</v>
      </c>
    </row>
    <row r="164" spans="1:6" ht="14.25" thickBot="1">
      <c r="A164" s="1769" t="s">
        <v>1401</v>
      </c>
      <c r="B164" s="1773" t="s">
        <v>1129</v>
      </c>
      <c r="C164" s="1774">
        <v>0.13</v>
      </c>
      <c r="D164" s="1774">
        <v>0.13</v>
      </c>
      <c r="E164" s="1774">
        <v>0.13</v>
      </c>
      <c r="F164" s="1775">
        <v>0.13</v>
      </c>
    </row>
    <row r="165" spans="1:6" ht="14.25" thickBot="1">
      <c r="A165" s="1769" t="s">
        <v>1401</v>
      </c>
      <c r="B165" s="1773" t="s">
        <v>1140</v>
      </c>
      <c r="C165" s="1774">
        <v>0.13</v>
      </c>
      <c r="D165" s="1774">
        <v>0.13</v>
      </c>
      <c r="E165" s="1774">
        <v>0.124</v>
      </c>
      <c r="F165" s="1775">
        <v>0.13</v>
      </c>
    </row>
    <row r="166" spans="1:6" ht="14.25" thickBot="1">
      <c r="A166" s="1769" t="s">
        <v>1401</v>
      </c>
      <c r="B166" s="1773" t="s">
        <v>1152</v>
      </c>
      <c r="C166" s="1774">
        <v>0.13</v>
      </c>
      <c r="D166" s="1774">
        <v>0.13</v>
      </c>
      <c r="E166" s="1774">
        <v>0.13</v>
      </c>
      <c r="F166" s="1775">
        <v>0.13</v>
      </c>
    </row>
    <row r="167" spans="1:6" ht="14.25" thickBot="1">
      <c r="A167" s="1769" t="s">
        <v>1401</v>
      </c>
      <c r="B167" s="1773" t="s">
        <v>1162</v>
      </c>
      <c r="C167" s="1774">
        <v>0.125</v>
      </c>
      <c r="D167" s="1774">
        <v>0.125</v>
      </c>
      <c r="E167" s="1774">
        <v>0.121</v>
      </c>
      <c r="F167" s="1782"/>
    </row>
    <row r="168" spans="1:6" ht="14.25" thickBot="1">
      <c r="A168" s="1769" t="s">
        <v>1401</v>
      </c>
      <c r="B168" s="1773" t="s">
        <v>1172</v>
      </c>
      <c r="C168" s="1774">
        <v>0.13</v>
      </c>
      <c r="D168" s="1774">
        <v>0.13</v>
      </c>
      <c r="E168" s="1774">
        <v>0.126</v>
      </c>
      <c r="F168" s="1782"/>
    </row>
    <row r="169" spans="1:6" ht="14.25" thickBot="1">
      <c r="A169" s="1769" t="s">
        <v>1401</v>
      </c>
      <c r="B169" s="1773" t="s">
        <v>1182</v>
      </c>
      <c r="C169" s="1774">
        <v>0.128</v>
      </c>
      <c r="D169" s="1774">
        <v>0.129</v>
      </c>
      <c r="E169" s="1774">
        <v>0.13</v>
      </c>
      <c r="F169" s="1782"/>
    </row>
    <row r="170" spans="1:6" ht="14.25" thickBot="1">
      <c r="A170" s="1769" t="s">
        <v>1401</v>
      </c>
      <c r="B170" s="1773" t="s">
        <v>1192</v>
      </c>
      <c r="C170" s="1774">
        <v>0.14099999999999999</v>
      </c>
      <c r="D170" s="1774">
        <v>0.13</v>
      </c>
      <c r="E170" s="1774">
        <v>0.125</v>
      </c>
      <c r="F170" s="1782"/>
    </row>
    <row r="171" spans="1:6" ht="14.25" thickBot="1">
      <c r="A171" s="1769" t="s">
        <v>1401</v>
      </c>
      <c r="B171" s="1773" t="s">
        <v>2113</v>
      </c>
      <c r="C171" s="1774">
        <v>0.127</v>
      </c>
      <c r="D171" s="1774">
        <v>0.126</v>
      </c>
      <c r="E171" s="1774">
        <v>0.126</v>
      </c>
      <c r="F171" s="1775">
        <v>0.11799999999999999</v>
      </c>
    </row>
    <row r="172" spans="1:6" ht="14.25" thickBot="1">
      <c r="A172" s="1769" t="s">
        <v>1401</v>
      </c>
      <c r="B172" s="1773" t="s">
        <v>2114</v>
      </c>
      <c r="C172" s="1774">
        <v>0.13</v>
      </c>
      <c r="D172" s="1774">
        <v>0.13</v>
      </c>
      <c r="E172" s="1774">
        <v>0.13</v>
      </c>
      <c r="F172" s="1782"/>
    </row>
    <row r="173" spans="1:6" ht="14.25" thickBot="1">
      <c r="A173" s="1769" t="s">
        <v>1401</v>
      </c>
      <c r="B173" s="1773" t="s">
        <v>1222</v>
      </c>
      <c r="C173" s="1774">
        <v>0.13</v>
      </c>
      <c r="D173" s="1774">
        <v>0.13</v>
      </c>
      <c r="E173" s="1774">
        <v>0.13</v>
      </c>
      <c r="F173" s="1782"/>
    </row>
    <row r="174" spans="1:6" ht="14.25" thickBot="1">
      <c r="A174" s="1769" t="s">
        <v>1401</v>
      </c>
      <c r="B174" s="1773" t="s">
        <v>2115</v>
      </c>
      <c r="C174" s="1774">
        <v>0.13</v>
      </c>
      <c r="D174" s="1774">
        <v>0.13</v>
      </c>
      <c r="E174" s="1774">
        <v>0.13</v>
      </c>
      <c r="F174" s="1775">
        <v>0.13</v>
      </c>
    </row>
    <row r="175" spans="1:6" ht="14.25" thickBot="1">
      <c r="A175" s="1769" t="s">
        <v>1401</v>
      </c>
      <c r="B175" s="1773" t="s">
        <v>2116</v>
      </c>
      <c r="C175" s="1774">
        <v>0.13</v>
      </c>
      <c r="D175" s="1774">
        <v>0.13</v>
      </c>
      <c r="E175" s="1774">
        <v>0.13</v>
      </c>
      <c r="F175" s="1775">
        <v>0.13</v>
      </c>
    </row>
    <row r="176" spans="1:6" ht="14.25" thickBot="1">
      <c r="A176" s="1769" t="s">
        <v>1401</v>
      </c>
      <c r="B176" s="1773" t="s">
        <v>1252</v>
      </c>
      <c r="C176" s="1774">
        <v>0.13</v>
      </c>
      <c r="D176" s="1774">
        <v>0.13</v>
      </c>
      <c r="E176" s="1774">
        <v>0.13</v>
      </c>
      <c r="F176" s="1775">
        <v>0.13</v>
      </c>
    </row>
    <row r="177" spans="1:6" ht="14.25" thickBot="1">
      <c r="A177" s="1769" t="s">
        <v>1401</v>
      </c>
      <c r="B177" s="1773" t="s">
        <v>2117</v>
      </c>
      <c r="C177" s="1774">
        <v>0.13</v>
      </c>
      <c r="D177" s="1774">
        <v>0.13</v>
      </c>
      <c r="E177" s="1774">
        <v>0.13</v>
      </c>
      <c r="F177" s="1775">
        <v>0.13</v>
      </c>
    </row>
    <row r="178" spans="1:6" ht="14.25" thickBot="1">
      <c r="A178" s="1769" t="s">
        <v>1401</v>
      </c>
      <c r="B178" s="1773" t="s">
        <v>1270</v>
      </c>
      <c r="C178" s="1774">
        <v>0.13</v>
      </c>
      <c r="D178" s="1774">
        <v>0.13</v>
      </c>
      <c r="E178" s="1774">
        <v>0.13</v>
      </c>
      <c r="F178" s="1775">
        <v>0.127</v>
      </c>
    </row>
    <row r="179" spans="1:6" ht="14.25" thickBot="1">
      <c r="A179" s="1769" t="s">
        <v>1401</v>
      </c>
      <c r="B179" s="1773" t="s">
        <v>1278</v>
      </c>
      <c r="C179" s="1774">
        <v>0.13</v>
      </c>
      <c r="D179" s="1774">
        <v>0.13</v>
      </c>
      <c r="E179" s="1774">
        <v>0.13</v>
      </c>
      <c r="F179" s="1782"/>
    </row>
    <row r="180" spans="1:6" ht="14.25" thickBot="1">
      <c r="A180" s="1769" t="s">
        <v>1401</v>
      </c>
      <c r="B180" s="1773" t="s">
        <v>2118</v>
      </c>
      <c r="C180" s="1774">
        <v>0.13</v>
      </c>
      <c r="D180" s="1774">
        <v>0.13</v>
      </c>
      <c r="E180" s="1774">
        <v>0.125</v>
      </c>
      <c r="F180" s="1775">
        <v>0.13</v>
      </c>
    </row>
    <row r="181" spans="1:6" ht="14.25" thickBot="1">
      <c r="A181" s="1769" t="s">
        <v>1401</v>
      </c>
      <c r="B181" s="1773" t="s">
        <v>1292</v>
      </c>
      <c r="C181" s="1774">
        <v>0.122</v>
      </c>
      <c r="D181" s="1774">
        <v>0.123</v>
      </c>
      <c r="E181" s="1774">
        <v>0.126</v>
      </c>
      <c r="F181" s="1775">
        <v>0.121</v>
      </c>
    </row>
    <row r="182" spans="1:6" ht="14.25" thickBot="1">
      <c r="A182" s="1769" t="s">
        <v>1401</v>
      </c>
      <c r="B182" s="1773" t="s">
        <v>1299</v>
      </c>
      <c r="C182" s="1774">
        <v>0.125</v>
      </c>
      <c r="D182" s="1774">
        <v>0.125</v>
      </c>
      <c r="E182" s="1774">
        <v>0.11700000000000001</v>
      </c>
      <c r="F182" s="1775">
        <v>0.13</v>
      </c>
    </row>
    <row r="183" spans="1:6" ht="14.25" thickBot="1">
      <c r="A183" s="1769" t="s">
        <v>1401</v>
      </c>
      <c r="B183" s="1773" t="s">
        <v>1306</v>
      </c>
      <c r="C183" s="1774">
        <v>0.127</v>
      </c>
      <c r="D183" s="1774">
        <v>0.127</v>
      </c>
      <c r="E183" s="1774">
        <v>0.128</v>
      </c>
      <c r="F183" s="1782"/>
    </row>
    <row r="184" spans="1:6" ht="14.25" thickBot="1">
      <c r="A184" s="1769" t="s">
        <v>1401</v>
      </c>
      <c r="B184" s="1773" t="s">
        <v>1313</v>
      </c>
      <c r="C184" s="1774">
        <v>0.125</v>
      </c>
      <c r="D184" s="1774">
        <v>0.125</v>
      </c>
      <c r="E184" s="1774">
        <v>0.127</v>
      </c>
      <c r="F184" s="1782"/>
    </row>
    <row r="185" spans="1:6" ht="14.25" thickBot="1">
      <c r="A185" s="1769" t="s">
        <v>1401</v>
      </c>
      <c r="B185" s="1773" t="s">
        <v>2119</v>
      </c>
      <c r="C185" s="1774">
        <v>0.127</v>
      </c>
      <c r="D185" s="1774">
        <v>0.127</v>
      </c>
      <c r="E185" s="1774">
        <v>0.128</v>
      </c>
      <c r="F185" s="1775">
        <v>0.13</v>
      </c>
    </row>
    <row r="186" spans="1:6" ht="24.75" thickBot="1">
      <c r="A186" s="1769" t="s">
        <v>1401</v>
      </c>
      <c r="B186" s="1773" t="s">
        <v>2120</v>
      </c>
      <c r="C186" s="1783"/>
      <c r="D186" s="1783"/>
      <c r="E186" s="1783"/>
      <c r="F186" s="1775">
        <v>0.05</v>
      </c>
    </row>
    <row r="187" spans="1:6" ht="14.25" thickBot="1">
      <c r="A187" s="1769" t="s">
        <v>1401</v>
      </c>
      <c r="B187" s="1773" t="s">
        <v>2121</v>
      </c>
      <c r="C187" s="1783"/>
      <c r="D187" s="1783"/>
      <c r="E187" s="1783"/>
      <c r="F187" s="1775">
        <v>0.05</v>
      </c>
    </row>
    <row r="188" spans="1:6" ht="14.25" thickBot="1">
      <c r="A188" s="1769" t="s">
        <v>1401</v>
      </c>
      <c r="B188" s="1773" t="s">
        <v>2122</v>
      </c>
      <c r="C188" s="1783"/>
      <c r="D188" s="1783"/>
      <c r="E188" s="1783"/>
      <c r="F188" s="1775">
        <v>0.05</v>
      </c>
    </row>
    <row r="189" spans="1:6" ht="24.75" thickBot="1">
      <c r="A189" s="1769" t="s">
        <v>1401</v>
      </c>
      <c r="B189" s="1773" t="s">
        <v>2123</v>
      </c>
      <c r="C189" s="1783"/>
      <c r="D189" s="1783"/>
      <c r="E189" s="1783"/>
      <c r="F189" s="1775">
        <v>0.05</v>
      </c>
    </row>
    <row r="190" spans="1:6" ht="24.75" thickBot="1">
      <c r="A190" s="1769" t="s">
        <v>1401</v>
      </c>
      <c r="B190" s="1773" t="s">
        <v>2124</v>
      </c>
      <c r="C190" s="1783"/>
      <c r="D190" s="1783"/>
      <c r="E190" s="1783"/>
      <c r="F190" s="1775">
        <v>0.05</v>
      </c>
    </row>
    <row r="191" spans="1:6" ht="24.75" thickBot="1">
      <c r="A191" s="1769" t="s">
        <v>1401</v>
      </c>
      <c r="B191" s="1773" t="s">
        <v>2125</v>
      </c>
      <c r="C191" s="1783"/>
      <c r="D191" s="1783"/>
      <c r="E191" s="1783"/>
      <c r="F191" s="1775">
        <v>0.05</v>
      </c>
    </row>
    <row r="192" spans="1:6" ht="24.75" thickBot="1">
      <c r="A192" s="1769" t="s">
        <v>1401</v>
      </c>
      <c r="B192" s="1773" t="s">
        <v>2126</v>
      </c>
      <c r="C192" s="1783"/>
      <c r="D192" s="1783"/>
      <c r="E192" s="1783"/>
      <c r="F192" s="1775">
        <v>0.05</v>
      </c>
    </row>
    <row r="193" spans="1:6" ht="24.75" thickBot="1">
      <c r="A193" s="1769" t="s">
        <v>1401</v>
      </c>
      <c r="B193" s="1773" t="s">
        <v>2127</v>
      </c>
      <c r="C193" s="1783"/>
      <c r="D193" s="1783"/>
      <c r="E193" s="1783"/>
      <c r="F193" s="1775">
        <v>0.05</v>
      </c>
    </row>
    <row r="194" spans="1:6" ht="24.75" thickBot="1">
      <c r="A194" s="1769" t="s">
        <v>1401</v>
      </c>
      <c r="B194" s="1773" t="s">
        <v>2128</v>
      </c>
      <c r="C194" s="1783"/>
      <c r="D194" s="1783"/>
      <c r="E194" s="1783"/>
      <c r="F194" s="1775">
        <v>0.05</v>
      </c>
    </row>
    <row r="195" spans="1:6" ht="14.25" thickBot="1">
      <c r="A195" s="1769" t="s">
        <v>1401</v>
      </c>
      <c r="B195" s="1773" t="s">
        <v>2129</v>
      </c>
      <c r="C195" s="1783"/>
      <c r="D195" s="1783"/>
      <c r="E195" s="1783"/>
      <c r="F195" s="1775">
        <v>0.05</v>
      </c>
    </row>
    <row r="196" spans="1:6" ht="24.75" thickBot="1">
      <c r="A196" s="1769" t="s">
        <v>1401</v>
      </c>
      <c r="B196" s="1773" t="s">
        <v>2130</v>
      </c>
      <c r="C196" s="1783"/>
      <c r="D196" s="1783"/>
      <c r="E196" s="1783"/>
      <c r="F196" s="1775">
        <v>0.05</v>
      </c>
    </row>
    <row r="197" spans="1:6" ht="24.75" thickBot="1">
      <c r="A197" s="1769" t="s">
        <v>1401</v>
      </c>
      <c r="B197" s="1773" t="s">
        <v>2131</v>
      </c>
      <c r="C197" s="1783"/>
      <c r="D197" s="1783"/>
      <c r="E197" s="1783"/>
      <c r="F197" s="1775">
        <v>0.05</v>
      </c>
    </row>
    <row r="198" spans="1:6" ht="24.75" thickBot="1">
      <c r="A198" s="1769" t="s">
        <v>1401</v>
      </c>
      <c r="B198" s="1773" t="s">
        <v>2132</v>
      </c>
      <c r="C198" s="1783"/>
      <c r="D198" s="1783"/>
      <c r="E198" s="1783"/>
      <c r="F198" s="1775">
        <v>0.05</v>
      </c>
    </row>
    <row r="199" spans="1:6" ht="24.75" thickBot="1">
      <c r="A199" s="1769" t="s">
        <v>1401</v>
      </c>
      <c r="B199" s="1773" t="s">
        <v>2133</v>
      </c>
      <c r="C199" s="1783"/>
      <c r="D199" s="1783"/>
      <c r="E199" s="1783"/>
      <c r="F199" s="1775">
        <v>0.05</v>
      </c>
    </row>
    <row r="200" spans="1:6" ht="24.75" thickBot="1">
      <c r="A200" s="1769" t="s">
        <v>1401</v>
      </c>
      <c r="B200" s="1773" t="s">
        <v>2134</v>
      </c>
      <c r="C200" s="1783"/>
      <c r="D200" s="1783"/>
      <c r="E200" s="1783"/>
      <c r="F200" s="1775">
        <v>0.05</v>
      </c>
    </row>
    <row r="201" spans="1:6" ht="24.75" thickBot="1">
      <c r="A201" s="1769" t="s">
        <v>1401</v>
      </c>
      <c r="B201" s="1773" t="s">
        <v>2135</v>
      </c>
      <c r="C201" s="1783"/>
      <c r="D201" s="1783"/>
      <c r="E201" s="1783"/>
      <c r="F201" s="1775">
        <v>0.05</v>
      </c>
    </row>
    <row r="202" spans="1:6" ht="24.75" thickBot="1">
      <c r="A202" s="1769" t="s">
        <v>1401</v>
      </c>
      <c r="B202" s="1773" t="s">
        <v>2136</v>
      </c>
      <c r="C202" s="1783"/>
      <c r="D202" s="1783"/>
      <c r="E202" s="1783"/>
      <c r="F202" s="1775">
        <v>0.05</v>
      </c>
    </row>
    <row r="203" spans="1:6" ht="24.75" thickBot="1">
      <c r="A203" s="1769" t="s">
        <v>1401</v>
      </c>
      <c r="B203" s="1773" t="s">
        <v>2137</v>
      </c>
      <c r="C203" s="1783"/>
      <c r="D203" s="1783"/>
      <c r="E203" s="1783"/>
      <c r="F203" s="1775">
        <v>0.05</v>
      </c>
    </row>
    <row r="204" spans="1:6" ht="14.25" thickBot="1">
      <c r="A204" s="1769" t="s">
        <v>1401</v>
      </c>
      <c r="B204" s="1773" t="s">
        <v>2138</v>
      </c>
      <c r="C204" s="1783"/>
      <c r="D204" s="1783"/>
      <c r="E204" s="1783"/>
      <c r="F204" s="1775">
        <v>0.05</v>
      </c>
    </row>
    <row r="205" spans="1:6" ht="14.25" thickBot="1">
      <c r="A205" s="1777" t="s">
        <v>1401</v>
      </c>
      <c r="B205" s="1784" t="s">
        <v>2139</v>
      </c>
      <c r="C205" s="1780"/>
      <c r="D205" s="1780"/>
      <c r="E205" s="1780"/>
      <c r="F205" s="1785">
        <v>0.05</v>
      </c>
    </row>
    <row r="206" spans="1:6" ht="14.25" thickBot="1">
      <c r="A206" s="1769" t="s">
        <v>1403</v>
      </c>
      <c r="B206" s="1770" t="s">
        <v>2140</v>
      </c>
      <c r="C206" s="1771">
        <v>0.15</v>
      </c>
      <c r="D206" s="1771">
        <v>0.15</v>
      </c>
      <c r="E206" s="1771">
        <v>0.15</v>
      </c>
      <c r="F206" s="1772">
        <v>0.15</v>
      </c>
    </row>
    <row r="207" spans="1:6" ht="14.25" thickBot="1">
      <c r="A207" s="1769" t="s">
        <v>1403</v>
      </c>
      <c r="B207" s="1773" t="s">
        <v>1067</v>
      </c>
      <c r="C207" s="1774">
        <v>0.15</v>
      </c>
      <c r="D207" s="1774">
        <v>0.15</v>
      </c>
      <c r="E207" s="1774">
        <v>0.15</v>
      </c>
      <c r="F207" s="1775">
        <v>0.14399999999999999</v>
      </c>
    </row>
    <row r="208" spans="1:6" ht="14.25" thickBot="1">
      <c r="A208" s="1769" t="s">
        <v>1403</v>
      </c>
      <c r="B208" s="1773" t="s">
        <v>1081</v>
      </c>
      <c r="C208" s="1774">
        <v>0.15</v>
      </c>
      <c r="D208" s="1774">
        <v>0.15</v>
      </c>
      <c r="E208" s="1774">
        <v>0.15</v>
      </c>
      <c r="F208" s="1775">
        <v>0.15</v>
      </c>
    </row>
    <row r="209" spans="1:6" ht="14.25" thickBot="1">
      <c r="A209" s="1769" t="s">
        <v>1403</v>
      </c>
      <c r="B209" s="1773" t="s">
        <v>1094</v>
      </c>
      <c r="C209" s="1774">
        <v>0.13700000000000001</v>
      </c>
      <c r="D209" s="1774">
        <v>0.13700000000000001</v>
      </c>
      <c r="E209" s="1774">
        <v>0.14000000000000001</v>
      </c>
      <c r="F209" s="1775">
        <v>0.11700000000000001</v>
      </c>
    </row>
    <row r="210" spans="1:6" ht="14.25" thickBot="1">
      <c r="A210" s="1769" t="s">
        <v>1403</v>
      </c>
      <c r="B210" s="1773" t="s">
        <v>2141</v>
      </c>
      <c r="C210" s="1774">
        <v>0.15</v>
      </c>
      <c r="D210" s="1774">
        <v>0.15</v>
      </c>
      <c r="E210" s="1774">
        <v>0.15</v>
      </c>
      <c r="F210" s="1775">
        <v>0.13800000000000001</v>
      </c>
    </row>
    <row r="211" spans="1:6" ht="14.25" thickBot="1">
      <c r="A211" s="1769" t="s">
        <v>1403</v>
      </c>
      <c r="B211" s="1773" t="s">
        <v>2142</v>
      </c>
      <c r="C211" s="1774">
        <v>0.13700000000000001</v>
      </c>
      <c r="D211" s="1774">
        <v>0.13500000000000001</v>
      </c>
      <c r="E211" s="1774">
        <v>0.13600000000000001</v>
      </c>
      <c r="F211" s="1775">
        <v>0.1</v>
      </c>
    </row>
    <row r="212" spans="1:6" ht="14.25" thickBot="1">
      <c r="A212" s="1769" t="s">
        <v>1403</v>
      </c>
      <c r="B212" s="1773" t="s">
        <v>2143</v>
      </c>
      <c r="C212" s="1774">
        <v>0.15</v>
      </c>
      <c r="D212" s="1774">
        <v>0.15</v>
      </c>
      <c r="E212" s="1774">
        <v>0.14799999999999999</v>
      </c>
      <c r="F212" s="1775">
        <v>0.13600000000000001</v>
      </c>
    </row>
    <row r="213" spans="1:6" ht="14.25" thickBot="1">
      <c r="A213" s="1769" t="s">
        <v>1403</v>
      </c>
      <c r="B213" s="1773" t="s">
        <v>1141</v>
      </c>
      <c r="C213" s="1774">
        <v>0.15</v>
      </c>
      <c r="D213" s="1774">
        <v>0.15</v>
      </c>
      <c r="E213" s="1774">
        <v>0.15</v>
      </c>
      <c r="F213" s="1775">
        <v>0.13800000000000001</v>
      </c>
    </row>
    <row r="214" spans="1:6" ht="14.25" thickBot="1">
      <c r="A214" s="1769" t="s">
        <v>1403</v>
      </c>
      <c r="B214" s="1773" t="s">
        <v>1153</v>
      </c>
      <c r="C214" s="1774">
        <v>9.0999999999999998E-2</v>
      </c>
      <c r="D214" s="1774">
        <v>0.09</v>
      </c>
      <c r="E214" s="1774">
        <v>9.1999999999999998E-2</v>
      </c>
      <c r="F214" s="1782"/>
    </row>
    <row r="215" spans="1:6" ht="14.25" thickBot="1">
      <c r="A215" s="1769" t="s">
        <v>1403</v>
      </c>
      <c r="B215" s="1773" t="s">
        <v>2144</v>
      </c>
      <c r="C215" s="1774">
        <v>0.15</v>
      </c>
      <c r="D215" s="1774">
        <v>0.15</v>
      </c>
      <c r="E215" s="1774">
        <v>0.15</v>
      </c>
      <c r="F215" s="1775">
        <v>0.15</v>
      </c>
    </row>
    <row r="216" spans="1:6" ht="14.25" thickBot="1">
      <c r="A216" s="1769" t="s">
        <v>1403</v>
      </c>
      <c r="B216" s="1773" t="s">
        <v>1173</v>
      </c>
      <c r="C216" s="1774">
        <v>0.14699999999999999</v>
      </c>
      <c r="D216" s="1774">
        <v>0.14699999999999999</v>
      </c>
      <c r="E216" s="1774">
        <v>0.15</v>
      </c>
      <c r="F216" s="1775">
        <v>0.14000000000000001</v>
      </c>
    </row>
    <row r="217" spans="1:6" ht="14.25" thickBot="1">
      <c r="A217" s="1769" t="s">
        <v>1403</v>
      </c>
      <c r="B217" s="1773" t="s">
        <v>1183</v>
      </c>
      <c r="C217" s="1774">
        <v>0.15</v>
      </c>
      <c r="D217" s="1774">
        <v>0.15</v>
      </c>
      <c r="E217" s="1774">
        <v>0.15</v>
      </c>
      <c r="F217" s="1775">
        <v>0.15</v>
      </c>
    </row>
    <row r="218" spans="1:6" ht="14.25" thickBot="1">
      <c r="A218" s="1769" t="s">
        <v>1403</v>
      </c>
      <c r="B218" s="1773" t="s">
        <v>2145</v>
      </c>
      <c r="C218" s="1774">
        <v>0.15</v>
      </c>
      <c r="D218" s="1774">
        <v>0.15</v>
      </c>
      <c r="E218" s="1774">
        <v>0.15</v>
      </c>
      <c r="F218" s="1775">
        <v>0.15</v>
      </c>
    </row>
    <row r="219" spans="1:6" ht="14.25" thickBot="1">
      <c r="A219" s="1769" t="s">
        <v>1403</v>
      </c>
      <c r="B219" s="1773" t="s">
        <v>1203</v>
      </c>
      <c r="C219" s="1774">
        <v>0.15</v>
      </c>
      <c r="D219" s="1774">
        <v>0.15</v>
      </c>
      <c r="E219" s="1774">
        <v>0.15</v>
      </c>
      <c r="F219" s="1775">
        <v>0.14799999999999999</v>
      </c>
    </row>
    <row r="220" spans="1:6" ht="14.25" thickBot="1">
      <c r="A220" s="1769" t="s">
        <v>1403</v>
      </c>
      <c r="B220" s="1773" t="s">
        <v>2146</v>
      </c>
      <c r="C220" s="1774">
        <v>0.15</v>
      </c>
      <c r="D220" s="1774">
        <v>0.15</v>
      </c>
      <c r="E220" s="1774">
        <v>0.15</v>
      </c>
      <c r="F220" s="1775">
        <v>0.15</v>
      </c>
    </row>
    <row r="221" spans="1:6" ht="14.25" thickBot="1">
      <c r="A221" s="1769" t="s">
        <v>1403</v>
      </c>
      <c r="B221" s="1773" t="s">
        <v>1223</v>
      </c>
      <c r="C221" s="1774"/>
      <c r="D221" s="1783"/>
      <c r="E221" s="1783"/>
      <c r="F221" s="1775">
        <v>0.14799999999999999</v>
      </c>
    </row>
    <row r="222" spans="1:6" ht="14.25" thickBot="1">
      <c r="A222" s="1769" t="s">
        <v>1403</v>
      </c>
      <c r="B222" s="1773" t="s">
        <v>1233</v>
      </c>
      <c r="C222" s="1774"/>
      <c r="D222" s="1783"/>
      <c r="E222" s="1783"/>
      <c r="F222" s="1775">
        <v>0.1</v>
      </c>
    </row>
    <row r="223" spans="1:6" ht="14.25" thickBot="1">
      <c r="A223" s="1769" t="s">
        <v>1403</v>
      </c>
      <c r="B223" s="1773" t="s">
        <v>1243</v>
      </c>
      <c r="C223" s="1774"/>
      <c r="D223" s="1783"/>
      <c r="E223" s="1783"/>
      <c r="F223" s="1775">
        <v>0.15</v>
      </c>
    </row>
    <row r="224" spans="1:6" ht="14.25" thickBot="1">
      <c r="A224" s="1769" t="s">
        <v>1403</v>
      </c>
      <c r="B224" s="1773" t="s">
        <v>1253</v>
      </c>
      <c r="C224" s="1774"/>
      <c r="D224" s="1783"/>
      <c r="E224" s="1783"/>
      <c r="F224" s="1775">
        <v>0.15</v>
      </c>
    </row>
    <row r="225" spans="1:6" ht="14.25" thickBot="1">
      <c r="A225" s="1769" t="s">
        <v>1403</v>
      </c>
      <c r="B225" s="1773" t="s">
        <v>2147</v>
      </c>
      <c r="C225" s="1774">
        <v>0.15</v>
      </c>
      <c r="D225" s="1774">
        <v>0.15</v>
      </c>
      <c r="E225" s="1774">
        <v>0.15</v>
      </c>
      <c r="F225" s="1775">
        <v>0.15</v>
      </c>
    </row>
    <row r="226" spans="1:6" ht="14.25" thickBot="1">
      <c r="A226" s="1769" t="s">
        <v>1403</v>
      </c>
      <c r="B226" s="1773" t="s">
        <v>1271</v>
      </c>
      <c r="C226" s="1774">
        <v>0.15</v>
      </c>
      <c r="D226" s="1774">
        <v>0.15</v>
      </c>
      <c r="E226" s="1774">
        <v>0.15</v>
      </c>
      <c r="F226" s="1775">
        <v>0.14799999999999999</v>
      </c>
    </row>
    <row r="227" spans="1:6" ht="14.25" thickBot="1">
      <c r="A227" s="1769" t="s">
        <v>1403</v>
      </c>
      <c r="B227" s="1773" t="s">
        <v>2148</v>
      </c>
      <c r="C227" s="1774">
        <v>0.15</v>
      </c>
      <c r="D227" s="1774">
        <v>0.15</v>
      </c>
      <c r="E227" s="1774">
        <v>0.15</v>
      </c>
      <c r="F227" s="1775">
        <v>0.15</v>
      </c>
    </row>
    <row r="228" spans="1:6" ht="14.25" thickBot="1">
      <c r="A228" s="1769" t="s">
        <v>1403</v>
      </c>
      <c r="B228" s="1773" t="s">
        <v>1286</v>
      </c>
      <c r="C228" s="1774">
        <v>0.15</v>
      </c>
      <c r="D228" s="1774">
        <v>0.15</v>
      </c>
      <c r="E228" s="1774">
        <v>0.15</v>
      </c>
      <c r="F228" s="1775">
        <v>0.15</v>
      </c>
    </row>
    <row r="229" spans="1:6" ht="14.25" thickBot="1">
      <c r="A229" s="1769" t="s">
        <v>1403</v>
      </c>
      <c r="B229" s="1773" t="s">
        <v>1293</v>
      </c>
      <c r="C229" s="1774">
        <v>0.15</v>
      </c>
      <c r="D229" s="1774">
        <v>0.15</v>
      </c>
      <c r="E229" s="1774">
        <v>0.15</v>
      </c>
      <c r="F229" s="1782"/>
    </row>
    <row r="230" spans="1:6" ht="14.25" thickBot="1">
      <c r="A230" s="1769" t="s">
        <v>1403</v>
      </c>
      <c r="B230" s="1773" t="s">
        <v>1300</v>
      </c>
      <c r="C230" s="1774">
        <v>0.14499999999999999</v>
      </c>
      <c r="D230" s="1774">
        <v>0.14499999999999999</v>
      </c>
      <c r="E230" s="1774">
        <v>0.14399999999999999</v>
      </c>
      <c r="F230" s="1782"/>
    </row>
    <row r="231" spans="1:6" ht="14.25" thickBot="1">
      <c r="A231" s="1769" t="s">
        <v>1403</v>
      </c>
      <c r="B231" s="1773" t="s">
        <v>2149</v>
      </c>
      <c r="C231" s="1774">
        <v>0.128</v>
      </c>
      <c r="D231" s="1774">
        <v>0.125</v>
      </c>
      <c r="E231" s="1774">
        <v>0.13200000000000001</v>
      </c>
      <c r="F231" s="1782"/>
    </row>
    <row r="232" spans="1:6" ht="14.25" thickBot="1">
      <c r="A232" s="1769" t="s">
        <v>1403</v>
      </c>
      <c r="B232" s="1773" t="s">
        <v>2150</v>
      </c>
      <c r="C232" s="1774">
        <v>0.14499999999999999</v>
      </c>
      <c r="D232" s="1774">
        <v>0.14399999999999999</v>
      </c>
      <c r="E232" s="1774">
        <v>0.14599999999999999</v>
      </c>
      <c r="F232" s="1775">
        <v>0.13800000000000001</v>
      </c>
    </row>
    <row r="233" spans="1:6" ht="14.25" thickBot="1">
      <c r="A233" s="1769" t="s">
        <v>1403</v>
      </c>
      <c r="B233" s="1773" t="s">
        <v>2151</v>
      </c>
      <c r="C233" s="1774">
        <v>0.14499999999999999</v>
      </c>
      <c r="D233" s="1774">
        <v>0.14299999999999999</v>
      </c>
      <c r="E233" s="1774">
        <v>0.14199999999999999</v>
      </c>
      <c r="F233" s="1782"/>
    </row>
    <row r="234" spans="1:6" ht="14.25" thickBot="1">
      <c r="A234" s="1769" t="s">
        <v>1403</v>
      </c>
      <c r="B234" s="1773" t="s">
        <v>2152</v>
      </c>
      <c r="C234" s="1774">
        <v>0.14000000000000001</v>
      </c>
      <c r="D234" s="1774">
        <v>0.14000000000000001</v>
      </c>
      <c r="E234" s="1774">
        <v>0.14399999999999999</v>
      </c>
      <c r="F234" s="1782"/>
    </row>
    <row r="235" spans="1:6" ht="14.25" thickBot="1">
      <c r="A235" s="1769" t="s">
        <v>1403</v>
      </c>
      <c r="B235" s="1773" t="s">
        <v>2153</v>
      </c>
      <c r="C235" s="1774">
        <v>0.14099999999999999</v>
      </c>
      <c r="D235" s="1774">
        <v>0.14199999999999999</v>
      </c>
      <c r="E235" s="1774">
        <v>0.14499999999999999</v>
      </c>
      <c r="F235" s="1775">
        <v>0.15</v>
      </c>
    </row>
    <row r="236" spans="1:6" ht="14.25" thickBot="1">
      <c r="A236" s="1769" t="s">
        <v>1403</v>
      </c>
      <c r="B236" s="1773" t="s">
        <v>1335</v>
      </c>
      <c r="C236" s="1783"/>
      <c r="D236" s="1783"/>
      <c r="E236" s="1783"/>
      <c r="F236" s="1775">
        <v>0.14299999999999999</v>
      </c>
    </row>
    <row r="237" spans="1:6" ht="24.75" thickBot="1">
      <c r="A237" s="1769" t="s">
        <v>1403</v>
      </c>
      <c r="B237" s="1773" t="s">
        <v>2154</v>
      </c>
      <c r="C237" s="1783"/>
      <c r="D237" s="1783"/>
      <c r="E237" s="1783"/>
      <c r="F237" s="1775">
        <v>0.05</v>
      </c>
    </row>
    <row r="238" spans="1:6" ht="24.75" thickBot="1">
      <c r="A238" s="1769" t="s">
        <v>1403</v>
      </c>
      <c r="B238" s="1773" t="s">
        <v>2155</v>
      </c>
      <c r="C238" s="1783"/>
      <c r="D238" s="1783"/>
      <c r="E238" s="1783"/>
      <c r="F238" s="1775">
        <v>0.05</v>
      </c>
    </row>
    <row r="239" spans="1:6" ht="24.75" thickBot="1">
      <c r="A239" s="1769" t="s">
        <v>1403</v>
      </c>
      <c r="B239" s="1773" t="s">
        <v>2156</v>
      </c>
      <c r="C239" s="1783"/>
      <c r="D239" s="1783"/>
      <c r="E239" s="1783"/>
      <c r="F239" s="1775">
        <v>0.05</v>
      </c>
    </row>
    <row r="240" spans="1:6" ht="24.75" thickBot="1">
      <c r="A240" s="1769" t="s">
        <v>1403</v>
      </c>
      <c r="B240" s="1773" t="s">
        <v>2157</v>
      </c>
      <c r="C240" s="1783"/>
      <c r="D240" s="1783"/>
      <c r="E240" s="1783"/>
      <c r="F240" s="1775">
        <v>0.05</v>
      </c>
    </row>
    <row r="241" spans="1:6" ht="24.75" thickBot="1">
      <c r="A241" s="1769" t="s">
        <v>1403</v>
      </c>
      <c r="B241" s="1773" t="s">
        <v>2158</v>
      </c>
      <c r="C241" s="1783"/>
      <c r="D241" s="1783"/>
      <c r="E241" s="1783"/>
      <c r="F241" s="1775">
        <v>0.05</v>
      </c>
    </row>
    <row r="242" spans="1:6" ht="24.75" thickBot="1">
      <c r="A242" s="1769" t="s">
        <v>1403</v>
      </c>
      <c r="B242" s="1773" t="s">
        <v>2159</v>
      </c>
      <c r="C242" s="1783"/>
      <c r="D242" s="1783"/>
      <c r="E242" s="1783"/>
      <c r="F242" s="1775">
        <v>0.05</v>
      </c>
    </row>
    <row r="243" spans="1:6" ht="24.75" thickBot="1">
      <c r="A243" s="1769" t="s">
        <v>1403</v>
      </c>
      <c r="B243" s="1773" t="s">
        <v>2160</v>
      </c>
      <c r="C243" s="1783"/>
      <c r="D243" s="1783"/>
      <c r="E243" s="1783"/>
      <c r="F243" s="1775">
        <v>0.05</v>
      </c>
    </row>
    <row r="244" spans="1:6" ht="24.75" thickBot="1">
      <c r="A244" s="1777" t="s">
        <v>1403</v>
      </c>
      <c r="B244" s="1784" t="s">
        <v>2161</v>
      </c>
      <c r="C244" s="1780"/>
      <c r="D244" s="1780"/>
      <c r="E244" s="1780"/>
      <c r="F244" s="1785">
        <v>0.05</v>
      </c>
    </row>
    <row r="245" spans="1:6" ht="14.25" thickBot="1">
      <c r="A245" s="1769" t="s">
        <v>1405</v>
      </c>
      <c r="B245" s="1770" t="s">
        <v>2162</v>
      </c>
      <c r="C245" s="1771">
        <v>0.15</v>
      </c>
      <c r="D245" s="1771">
        <v>0.15</v>
      </c>
      <c r="E245" s="1771">
        <v>0.15</v>
      </c>
      <c r="F245" s="1772">
        <v>0.14299999999999999</v>
      </c>
    </row>
    <row r="246" spans="1:6" ht="14.25" thickBot="1">
      <c r="A246" s="1769" t="s">
        <v>1405</v>
      </c>
      <c r="B246" s="1773" t="s">
        <v>1068</v>
      </c>
      <c r="C246" s="1774">
        <v>0.15</v>
      </c>
      <c r="D246" s="1774">
        <v>0.15</v>
      </c>
      <c r="E246" s="1774">
        <v>0.15</v>
      </c>
      <c r="F246" s="1775">
        <v>0.114</v>
      </c>
    </row>
    <row r="247" spans="1:6" ht="14.25" thickBot="1">
      <c r="A247" s="1769" t="s">
        <v>1405</v>
      </c>
      <c r="B247" s="1773" t="s">
        <v>2163</v>
      </c>
      <c r="C247" s="1774">
        <v>0.15</v>
      </c>
      <c r="D247" s="1774">
        <v>0.15</v>
      </c>
      <c r="E247" s="1774">
        <v>0.15</v>
      </c>
      <c r="F247" s="1775">
        <v>0.15</v>
      </c>
    </row>
    <row r="248" spans="1:6" ht="14.25" thickBot="1">
      <c r="A248" s="1769" t="s">
        <v>1405</v>
      </c>
      <c r="B248" s="1773" t="s">
        <v>2164</v>
      </c>
      <c r="C248" s="1774">
        <v>0.15</v>
      </c>
      <c r="D248" s="1774">
        <v>0.15</v>
      </c>
      <c r="E248" s="1774">
        <v>0.15</v>
      </c>
      <c r="F248" s="1775">
        <v>0.14000000000000001</v>
      </c>
    </row>
    <row r="249" spans="1:6" ht="14.25" thickBot="1">
      <c r="A249" s="1769" t="s">
        <v>1405</v>
      </c>
      <c r="B249" s="1773" t="s">
        <v>2165</v>
      </c>
      <c r="C249" s="1774">
        <v>0.15</v>
      </c>
      <c r="D249" s="1774">
        <v>0.14899999999999999</v>
      </c>
      <c r="E249" s="1774">
        <v>0.15</v>
      </c>
      <c r="F249" s="1775">
        <v>0.1</v>
      </c>
    </row>
    <row r="250" spans="1:6" ht="14.25" thickBot="1">
      <c r="A250" s="1769" t="s">
        <v>1405</v>
      </c>
      <c r="B250" s="1773" t="s">
        <v>2166</v>
      </c>
      <c r="C250" s="1774">
        <v>0.15</v>
      </c>
      <c r="D250" s="1774">
        <v>0.15</v>
      </c>
      <c r="E250" s="1774">
        <v>0.15</v>
      </c>
      <c r="F250" s="1775">
        <v>0.14399999999999999</v>
      </c>
    </row>
    <row r="251" spans="1:6" ht="14.25" thickBot="1">
      <c r="A251" s="1769" t="s">
        <v>1405</v>
      </c>
      <c r="B251" s="1773" t="s">
        <v>1131</v>
      </c>
      <c r="C251" s="1774">
        <v>0.15</v>
      </c>
      <c r="D251" s="1774">
        <v>0.15</v>
      </c>
      <c r="E251" s="1774">
        <v>0.15</v>
      </c>
      <c r="F251" s="1775">
        <v>0.14299999999999999</v>
      </c>
    </row>
    <row r="252" spans="1:6" ht="14.25" thickBot="1">
      <c r="A252" s="1769" t="s">
        <v>1405</v>
      </c>
      <c r="B252" s="1773" t="s">
        <v>1142</v>
      </c>
      <c r="C252" s="1774">
        <v>0.15</v>
      </c>
      <c r="D252" s="1774">
        <v>0.15</v>
      </c>
      <c r="E252" s="1774">
        <v>0.15</v>
      </c>
      <c r="F252" s="1775">
        <v>0.1</v>
      </c>
    </row>
    <row r="253" spans="1:6" ht="14.25" thickBot="1">
      <c r="A253" s="1769" t="s">
        <v>1405</v>
      </c>
      <c r="B253" s="1773" t="s">
        <v>1154</v>
      </c>
      <c r="C253" s="1774">
        <v>0.15</v>
      </c>
      <c r="D253" s="1774">
        <v>0.15</v>
      </c>
      <c r="E253" s="1774">
        <v>0.15</v>
      </c>
      <c r="F253" s="1775">
        <v>0.1</v>
      </c>
    </row>
    <row r="254" spans="1:6" ht="14.25" thickBot="1">
      <c r="A254" s="1769" t="s">
        <v>1405</v>
      </c>
      <c r="B254" s="1773" t="s">
        <v>1164</v>
      </c>
      <c r="C254" s="1783"/>
      <c r="D254" s="1783"/>
      <c r="E254" s="1783"/>
      <c r="F254" s="1775">
        <v>0.15</v>
      </c>
    </row>
    <row r="255" spans="1:6" ht="14.25" thickBot="1">
      <c r="A255" s="1769" t="s">
        <v>1405</v>
      </c>
      <c r="B255" s="1773" t="s">
        <v>1174</v>
      </c>
      <c r="C255" s="1783"/>
      <c r="D255" s="1783"/>
      <c r="E255" s="1783"/>
      <c r="F255" s="1775">
        <v>0.14299999999999999</v>
      </c>
    </row>
    <row r="256" spans="1:6" ht="14.25" thickBot="1">
      <c r="A256" s="1769" t="s">
        <v>1405</v>
      </c>
      <c r="B256" s="1773" t="s">
        <v>2167</v>
      </c>
      <c r="C256" s="1774">
        <v>0.14599999999999999</v>
      </c>
      <c r="D256" s="1774">
        <v>0.14699999999999999</v>
      </c>
      <c r="E256" s="1774">
        <v>0.15</v>
      </c>
      <c r="F256" s="1775">
        <v>0.13200000000000001</v>
      </c>
    </row>
    <row r="257" spans="1:6" ht="14.25" thickBot="1">
      <c r="A257" s="1769" t="s">
        <v>1405</v>
      </c>
      <c r="B257" s="1773" t="s">
        <v>1194</v>
      </c>
      <c r="C257" s="1774">
        <v>0.15</v>
      </c>
      <c r="D257" s="1774">
        <v>0.15</v>
      </c>
      <c r="E257" s="1774">
        <v>0.15</v>
      </c>
      <c r="F257" s="1775">
        <v>0.13900000000000001</v>
      </c>
    </row>
    <row r="258" spans="1:6" ht="14.25" thickBot="1">
      <c r="A258" s="1769" t="s">
        <v>1405</v>
      </c>
      <c r="B258" s="1773" t="s">
        <v>1204</v>
      </c>
      <c r="C258" s="1774">
        <v>0.15</v>
      </c>
      <c r="D258" s="1774">
        <v>0.15</v>
      </c>
      <c r="E258" s="1774">
        <v>0.15</v>
      </c>
      <c r="F258" s="1775">
        <v>0.13</v>
      </c>
    </row>
    <row r="259" spans="1:6" ht="14.25" thickBot="1">
      <c r="A259" s="1769" t="s">
        <v>1405</v>
      </c>
      <c r="B259" s="1773" t="s">
        <v>2168</v>
      </c>
      <c r="C259" s="1774">
        <v>0.14799999999999999</v>
      </c>
      <c r="D259" s="1774">
        <v>0.14899999999999999</v>
      </c>
      <c r="E259" s="1774">
        <v>0.15</v>
      </c>
      <c r="F259" s="1775">
        <v>0.13700000000000001</v>
      </c>
    </row>
    <row r="260" spans="1:6" ht="14.25" thickBot="1">
      <c r="A260" s="1769" t="s">
        <v>1405</v>
      </c>
      <c r="B260" s="1773" t="s">
        <v>1224</v>
      </c>
      <c r="C260" s="1774">
        <v>0.15</v>
      </c>
      <c r="D260" s="1774">
        <v>0.15</v>
      </c>
      <c r="E260" s="1774">
        <v>0.15</v>
      </c>
      <c r="F260" s="1775">
        <v>0.14199999999999999</v>
      </c>
    </row>
    <row r="261" spans="1:6" ht="14.25" thickBot="1">
      <c r="A261" s="1769" t="s">
        <v>1405</v>
      </c>
      <c r="B261" s="1773" t="s">
        <v>1234</v>
      </c>
      <c r="C261" s="1774">
        <v>0.15</v>
      </c>
      <c r="D261" s="1774">
        <v>0.15</v>
      </c>
      <c r="E261" s="1774">
        <v>0.14899999999999999</v>
      </c>
      <c r="F261" s="1775">
        <v>0.14799999999999999</v>
      </c>
    </row>
    <row r="262" spans="1:6" ht="14.25" thickBot="1">
      <c r="A262" s="1769" t="s">
        <v>1405</v>
      </c>
      <c r="B262" s="1773" t="s">
        <v>1244</v>
      </c>
      <c r="C262" s="1774">
        <v>0.15</v>
      </c>
      <c r="D262" s="1774">
        <v>0.15</v>
      </c>
      <c r="E262" s="1774">
        <v>0.15</v>
      </c>
      <c r="F262" s="1782"/>
    </row>
    <row r="263" spans="1:6" ht="14.25" thickBot="1">
      <c r="A263" s="1769" t="s">
        <v>1405</v>
      </c>
      <c r="B263" s="1773" t="s">
        <v>2169</v>
      </c>
      <c r="C263" s="1774">
        <v>0.14899999999999999</v>
      </c>
      <c r="D263" s="1774">
        <v>0.14899999999999999</v>
      </c>
      <c r="E263" s="1774">
        <v>0.15</v>
      </c>
      <c r="F263" s="1775">
        <v>0.13</v>
      </c>
    </row>
    <row r="264" spans="1:6" ht="14.25" thickBot="1">
      <c r="A264" s="1769" t="s">
        <v>1405</v>
      </c>
      <c r="B264" s="1773" t="s">
        <v>1263</v>
      </c>
      <c r="C264" s="1774">
        <v>0.14799999999999999</v>
      </c>
      <c r="D264" s="1774">
        <v>0.14699999999999999</v>
      </c>
      <c r="E264" s="1774">
        <v>0.15</v>
      </c>
      <c r="F264" s="1775">
        <v>7.8E-2</v>
      </c>
    </row>
    <row r="265" spans="1:6" ht="14.25" thickBot="1">
      <c r="A265" s="1769" t="s">
        <v>1405</v>
      </c>
      <c r="B265" s="1773" t="s">
        <v>1272</v>
      </c>
      <c r="C265" s="1774">
        <v>0.15</v>
      </c>
      <c r="D265" s="1774">
        <v>0.15</v>
      </c>
      <c r="E265" s="1774">
        <v>0.15</v>
      </c>
      <c r="F265" s="1775">
        <v>7.3999999999999996E-2</v>
      </c>
    </row>
    <row r="266" spans="1:6" ht="14.25" thickBot="1">
      <c r="A266" s="1769" t="s">
        <v>1405</v>
      </c>
      <c r="B266" s="1773" t="s">
        <v>1280</v>
      </c>
      <c r="C266" s="1774">
        <v>0.14699999999999999</v>
      </c>
      <c r="D266" s="1774">
        <v>0.14699999999999999</v>
      </c>
      <c r="E266" s="1774">
        <v>0.15</v>
      </c>
      <c r="F266" s="1775">
        <v>0.14299999999999999</v>
      </c>
    </row>
    <row r="267" spans="1:6" ht="14.25" thickBot="1">
      <c r="A267" s="1769" t="s">
        <v>1405</v>
      </c>
      <c r="B267" s="1773" t="s">
        <v>1287</v>
      </c>
      <c r="C267" s="1774">
        <v>0.14199999999999999</v>
      </c>
      <c r="D267" s="1774">
        <v>0.14299999999999999</v>
      </c>
      <c r="E267" s="1774">
        <v>0.15</v>
      </c>
      <c r="F267" s="1782"/>
    </row>
    <row r="268" spans="1:6" ht="14.25" thickBot="1">
      <c r="A268" s="1769" t="s">
        <v>1405</v>
      </c>
      <c r="B268" s="1773" t="s">
        <v>2170</v>
      </c>
      <c r="C268" s="1774">
        <v>0.15</v>
      </c>
      <c r="D268" s="1774">
        <v>0.15</v>
      </c>
      <c r="E268" s="1774">
        <v>0.15</v>
      </c>
      <c r="F268" s="1775">
        <v>0.13</v>
      </c>
    </row>
    <row r="269" spans="1:6" ht="14.25" thickBot="1">
      <c r="A269" s="1769" t="s">
        <v>1405</v>
      </c>
      <c r="B269" s="1773" t="s">
        <v>1301</v>
      </c>
      <c r="C269" s="1774">
        <v>0.15</v>
      </c>
      <c r="D269" s="1774">
        <v>0.15</v>
      </c>
      <c r="E269" s="1774">
        <v>0.15</v>
      </c>
      <c r="F269" s="1775">
        <v>0.14299999999999999</v>
      </c>
    </row>
    <row r="270" spans="1:6" ht="14.25" thickBot="1">
      <c r="A270" s="1769" t="s">
        <v>1405</v>
      </c>
      <c r="B270" s="1773" t="s">
        <v>1308</v>
      </c>
      <c r="C270" s="1774">
        <v>0.14499999999999999</v>
      </c>
      <c r="D270" s="1774">
        <v>0.14499999999999999</v>
      </c>
      <c r="E270" s="1774">
        <v>0.15</v>
      </c>
      <c r="F270" s="1775">
        <v>0.14699999999999999</v>
      </c>
    </row>
    <row r="271" spans="1:6" ht="14.25" thickBot="1">
      <c r="A271" s="1769" t="s">
        <v>1405</v>
      </c>
      <c r="B271" s="1773" t="s">
        <v>1315</v>
      </c>
      <c r="C271" s="1774">
        <v>0.15</v>
      </c>
      <c r="D271" s="1774">
        <v>0.15</v>
      </c>
      <c r="E271" s="1774">
        <v>0.15</v>
      </c>
      <c r="F271" s="1775">
        <v>0.13800000000000001</v>
      </c>
    </row>
    <row r="272" spans="1:6" ht="14.25" thickBot="1">
      <c r="A272" s="1769" t="s">
        <v>1405</v>
      </c>
      <c r="B272" s="1773" t="s">
        <v>1322</v>
      </c>
      <c r="C272" s="1783"/>
      <c r="D272" s="1783"/>
      <c r="E272" s="1783"/>
      <c r="F272" s="1775">
        <v>0.14000000000000001</v>
      </c>
    </row>
    <row r="273" spans="1:6" ht="14.25" thickBot="1">
      <c r="A273" s="1769" t="s">
        <v>1405</v>
      </c>
      <c r="B273" s="1773" t="s">
        <v>2171</v>
      </c>
      <c r="C273" s="1774">
        <v>0.14199999999999999</v>
      </c>
      <c r="D273" s="1774">
        <v>0.14299999999999999</v>
      </c>
      <c r="E273" s="1774">
        <v>0.15</v>
      </c>
      <c r="F273" s="1775">
        <v>0.1</v>
      </c>
    </row>
    <row r="274" spans="1:6" ht="14.25" thickBot="1">
      <c r="A274" s="1769" t="s">
        <v>1405</v>
      </c>
      <c r="B274" s="1773" t="s">
        <v>2172</v>
      </c>
      <c r="C274" s="1774">
        <v>0.14799999999999999</v>
      </c>
      <c r="D274" s="1774">
        <v>0.14799999999999999</v>
      </c>
      <c r="E274" s="1774">
        <v>0.15</v>
      </c>
      <c r="F274" s="1775">
        <v>6.7000000000000004E-2</v>
      </c>
    </row>
    <row r="275" spans="1:6" ht="14.25" thickBot="1">
      <c r="A275" s="1769" t="s">
        <v>1405</v>
      </c>
      <c r="B275" s="1773" t="s">
        <v>2173</v>
      </c>
      <c r="C275" s="1774">
        <v>0.15</v>
      </c>
      <c r="D275" s="1774">
        <v>0.15</v>
      </c>
      <c r="E275" s="1774">
        <v>0.15</v>
      </c>
      <c r="F275" s="1775">
        <v>0.15</v>
      </c>
    </row>
    <row r="276" spans="1:6" ht="14.25" thickBot="1">
      <c r="A276" s="1769" t="s">
        <v>1405</v>
      </c>
      <c r="B276" s="1773" t="s">
        <v>2174</v>
      </c>
      <c r="C276" s="1774">
        <v>0.14499999999999999</v>
      </c>
      <c r="D276" s="1774">
        <v>0.14299999999999999</v>
      </c>
      <c r="E276" s="1774">
        <v>0.15</v>
      </c>
      <c r="F276" s="1775">
        <v>5.8999999999999997E-2</v>
      </c>
    </row>
    <row r="277" spans="1:6" ht="14.25" thickBot="1">
      <c r="A277" s="1769" t="s">
        <v>1405</v>
      </c>
      <c r="B277" s="1773" t="s">
        <v>2175</v>
      </c>
      <c r="C277" s="1774">
        <v>0.15</v>
      </c>
      <c r="D277" s="1774">
        <v>0.15</v>
      </c>
      <c r="E277" s="1774">
        <v>0.15</v>
      </c>
      <c r="F277" s="1775">
        <v>0.121</v>
      </c>
    </row>
    <row r="278" spans="1:6" ht="14.25" thickBot="1">
      <c r="A278" s="1769" t="s">
        <v>1405</v>
      </c>
      <c r="B278" s="1773" t="s">
        <v>2176</v>
      </c>
      <c r="C278" s="1774">
        <v>0.15</v>
      </c>
      <c r="D278" s="1774">
        <v>0.15</v>
      </c>
      <c r="E278" s="1774">
        <v>0.15</v>
      </c>
      <c r="F278" s="1775">
        <v>0.13800000000000001</v>
      </c>
    </row>
    <row r="279" spans="1:6" ht="24.75" thickBot="1">
      <c r="A279" s="1769" t="s">
        <v>1405</v>
      </c>
      <c r="B279" s="1773" t="s">
        <v>2177</v>
      </c>
      <c r="C279" s="1783"/>
      <c r="D279" s="1783"/>
      <c r="E279" s="1783"/>
      <c r="F279" s="1775">
        <v>0.05</v>
      </c>
    </row>
    <row r="280" spans="1:6" ht="24.75" thickBot="1">
      <c r="A280" s="1769" t="s">
        <v>1405</v>
      </c>
      <c r="B280" s="1773" t="s">
        <v>2178</v>
      </c>
      <c r="C280" s="1783"/>
      <c r="D280" s="1783"/>
      <c r="E280" s="1783"/>
      <c r="F280" s="1775">
        <v>0.05</v>
      </c>
    </row>
    <row r="281" spans="1:6" ht="24.75" thickBot="1">
      <c r="A281" s="1769" t="s">
        <v>1405</v>
      </c>
      <c r="B281" s="1773" t="s">
        <v>2179</v>
      </c>
      <c r="C281" s="1783"/>
      <c r="D281" s="1783"/>
      <c r="E281" s="1783"/>
      <c r="F281" s="1775">
        <v>0.05</v>
      </c>
    </row>
    <row r="282" spans="1:6" ht="24.75" thickBot="1">
      <c r="A282" s="1769" t="s">
        <v>1405</v>
      </c>
      <c r="B282" s="1773" t="s">
        <v>2180</v>
      </c>
      <c r="C282" s="1783"/>
      <c r="D282" s="1783"/>
      <c r="E282" s="1783"/>
      <c r="F282" s="1775">
        <v>0.05</v>
      </c>
    </row>
    <row r="283" spans="1:6" ht="24.75" thickBot="1">
      <c r="A283" s="1769" t="s">
        <v>1405</v>
      </c>
      <c r="B283" s="1773" t="s">
        <v>2181</v>
      </c>
      <c r="C283" s="1783"/>
      <c r="D283" s="1783"/>
      <c r="E283" s="1783"/>
      <c r="F283" s="1775">
        <v>0.05</v>
      </c>
    </row>
    <row r="284" spans="1:6" ht="24.75" thickBot="1">
      <c r="A284" s="1769" t="s">
        <v>1405</v>
      </c>
      <c r="B284" s="1773" t="s">
        <v>2182</v>
      </c>
      <c r="C284" s="1783"/>
      <c r="D284" s="1783"/>
      <c r="E284" s="1783"/>
      <c r="F284" s="1775">
        <v>0.05</v>
      </c>
    </row>
    <row r="285" spans="1:6" ht="24.75" thickBot="1">
      <c r="A285" s="1769" t="s">
        <v>1405</v>
      </c>
      <c r="B285" s="1773" t="s">
        <v>2183</v>
      </c>
      <c r="C285" s="1783"/>
      <c r="D285" s="1783"/>
      <c r="E285" s="1783"/>
      <c r="F285" s="1775">
        <v>0.05</v>
      </c>
    </row>
    <row r="286" spans="1:6" ht="24.75" thickBot="1">
      <c r="A286" s="1769" t="s">
        <v>1405</v>
      </c>
      <c r="B286" s="1773" t="s">
        <v>2184</v>
      </c>
      <c r="C286" s="1783"/>
      <c r="D286" s="1783"/>
      <c r="E286" s="1783"/>
      <c r="F286" s="1775">
        <v>0.05</v>
      </c>
    </row>
    <row r="287" spans="1:6" ht="24.75" thickBot="1">
      <c r="A287" s="1769" t="s">
        <v>1405</v>
      </c>
      <c r="B287" s="1773" t="s">
        <v>2185</v>
      </c>
      <c r="C287" s="1783"/>
      <c r="D287" s="1783"/>
      <c r="E287" s="1783"/>
      <c r="F287" s="1775">
        <v>0.05</v>
      </c>
    </row>
    <row r="288" spans="1:6" ht="24.75" thickBot="1">
      <c r="A288" s="1769" t="s">
        <v>1405</v>
      </c>
      <c r="B288" s="1773" t="s">
        <v>2186</v>
      </c>
      <c r="C288" s="1783"/>
      <c r="D288" s="1783"/>
      <c r="E288" s="1783"/>
      <c r="F288" s="1775">
        <v>0.05</v>
      </c>
    </row>
    <row r="289" spans="1:6" ht="24.75" thickBot="1">
      <c r="A289" s="1777" t="s">
        <v>1405</v>
      </c>
      <c r="B289" s="1784" t="s">
        <v>2187</v>
      </c>
      <c r="C289" s="1780"/>
      <c r="D289" s="1780"/>
      <c r="E289" s="1780"/>
      <c r="F289" s="1785">
        <v>0.05</v>
      </c>
    </row>
    <row r="290" spans="1:6" ht="14.25" thickBot="1">
      <c r="A290" s="1769" t="s">
        <v>1409</v>
      </c>
      <c r="B290" s="1770" t="s">
        <v>2188</v>
      </c>
      <c r="C290" s="1771">
        <v>0.15</v>
      </c>
      <c r="D290" s="1771">
        <v>0.15</v>
      </c>
      <c r="E290" s="1771">
        <v>0.15</v>
      </c>
      <c r="F290" s="1793"/>
    </row>
    <row r="291" spans="1:6" ht="14.25" thickBot="1">
      <c r="A291" s="1769" t="s">
        <v>1409</v>
      </c>
      <c r="B291" s="1773" t="s">
        <v>1069</v>
      </c>
      <c r="C291" s="1774">
        <v>0.15</v>
      </c>
      <c r="D291" s="1774">
        <v>0.15</v>
      </c>
      <c r="E291" s="1774">
        <v>0.15</v>
      </c>
      <c r="F291" s="1782"/>
    </row>
    <row r="292" spans="1:6" ht="14.25" thickBot="1">
      <c r="A292" s="1769" t="s">
        <v>1409</v>
      </c>
      <c r="B292" s="1773" t="s">
        <v>2189</v>
      </c>
      <c r="C292" s="1774">
        <v>0.15</v>
      </c>
      <c r="D292" s="1774">
        <v>0.15</v>
      </c>
      <c r="E292" s="1774">
        <v>0.15</v>
      </c>
      <c r="F292" s="1775">
        <v>0.14699999999999999</v>
      </c>
    </row>
    <row r="293" spans="1:6" ht="14.25" thickBot="1">
      <c r="A293" s="1769" t="s">
        <v>1409</v>
      </c>
      <c r="B293" s="1773" t="s">
        <v>2190</v>
      </c>
      <c r="C293" s="1783"/>
      <c r="D293" s="1783"/>
      <c r="E293" s="1783"/>
      <c r="F293" s="1775">
        <v>0.1</v>
      </c>
    </row>
    <row r="294" spans="1:6" ht="14.25" thickBot="1">
      <c r="A294" s="1769" t="s">
        <v>1409</v>
      </c>
      <c r="B294" s="1773" t="s">
        <v>2191</v>
      </c>
      <c r="C294" s="1774">
        <v>0.15</v>
      </c>
      <c r="D294" s="1774">
        <v>0.15</v>
      </c>
      <c r="E294" s="1774">
        <v>0.15</v>
      </c>
      <c r="F294" s="1775">
        <v>0.15</v>
      </c>
    </row>
    <row r="295" spans="1:6" ht="14.25" thickBot="1">
      <c r="A295" s="1769" t="s">
        <v>1409</v>
      </c>
      <c r="B295" s="1773" t="s">
        <v>1110</v>
      </c>
      <c r="C295" s="1774">
        <v>0.15</v>
      </c>
      <c r="D295" s="1774">
        <v>0.15</v>
      </c>
      <c r="E295" s="1774">
        <v>0.15</v>
      </c>
      <c r="F295" s="1775">
        <v>0.15</v>
      </c>
    </row>
    <row r="296" spans="1:6" ht="14.25" thickBot="1">
      <c r="A296" s="1769" t="s">
        <v>1409</v>
      </c>
      <c r="B296" s="1773" t="s">
        <v>2192</v>
      </c>
      <c r="C296" s="1774">
        <v>0.15</v>
      </c>
      <c r="D296" s="1774">
        <v>0.15</v>
      </c>
      <c r="E296" s="1774">
        <v>0.15</v>
      </c>
      <c r="F296" s="1775">
        <v>0.15</v>
      </c>
    </row>
    <row r="297" spans="1:6" ht="14.25" thickBot="1">
      <c r="A297" s="1769" t="s">
        <v>1409</v>
      </c>
      <c r="B297" s="1773" t="s">
        <v>2193</v>
      </c>
      <c r="C297" s="1774">
        <v>0.14799999999999999</v>
      </c>
      <c r="D297" s="1774">
        <v>0.14899999999999999</v>
      </c>
      <c r="E297" s="1774">
        <v>0.15</v>
      </c>
      <c r="F297" s="1775">
        <v>0.13700000000000001</v>
      </c>
    </row>
    <row r="298" spans="1:6" ht="14.25" thickBot="1">
      <c r="A298" s="1769" t="s">
        <v>1409</v>
      </c>
      <c r="B298" s="1773" t="s">
        <v>1143</v>
      </c>
      <c r="C298" s="1774">
        <v>0.13400000000000001</v>
      </c>
      <c r="D298" s="1774">
        <v>0.13400000000000001</v>
      </c>
      <c r="E298" s="1774">
        <v>0.14499999999999999</v>
      </c>
      <c r="F298" s="1775">
        <v>0.14799999999999999</v>
      </c>
    </row>
    <row r="299" spans="1:6" ht="14.25" thickBot="1">
      <c r="A299" s="1769" t="s">
        <v>1409</v>
      </c>
      <c r="B299" s="1773" t="s">
        <v>1155</v>
      </c>
      <c r="C299" s="1774">
        <v>0.15</v>
      </c>
      <c r="D299" s="1774">
        <v>0.15</v>
      </c>
      <c r="E299" s="1774">
        <v>0.15</v>
      </c>
      <c r="F299" s="1782"/>
    </row>
    <row r="300" spans="1:6" ht="14.25" thickBot="1">
      <c r="A300" s="1769" t="s">
        <v>1409</v>
      </c>
      <c r="B300" s="1773" t="s">
        <v>2194</v>
      </c>
      <c r="C300" s="1774">
        <v>0.15</v>
      </c>
      <c r="D300" s="1774">
        <v>0.15</v>
      </c>
      <c r="E300" s="1774">
        <v>0.15</v>
      </c>
      <c r="F300" s="1775">
        <v>0.15</v>
      </c>
    </row>
    <row r="301" spans="1:6" ht="14.25" thickBot="1">
      <c r="A301" s="1769" t="s">
        <v>1409</v>
      </c>
      <c r="B301" s="1773" t="s">
        <v>1175</v>
      </c>
      <c r="C301" s="1774">
        <v>0.15</v>
      </c>
      <c r="D301" s="1774">
        <v>0.15</v>
      </c>
      <c r="E301" s="1774">
        <v>0.15</v>
      </c>
      <c r="F301" s="1782"/>
    </row>
    <row r="302" spans="1:6" ht="14.25" thickBot="1">
      <c r="A302" s="1769" t="s">
        <v>1409</v>
      </c>
      <c r="B302" s="1773" t="s">
        <v>2195</v>
      </c>
      <c r="C302" s="1774">
        <v>0.15</v>
      </c>
      <c r="D302" s="1774">
        <v>0.15</v>
      </c>
      <c r="E302" s="1774">
        <v>0.15</v>
      </c>
      <c r="F302" s="1775">
        <v>0.15</v>
      </c>
    </row>
    <row r="303" spans="1:6" ht="14.25" thickBot="1">
      <c r="A303" s="1769" t="s">
        <v>1409</v>
      </c>
      <c r="B303" s="1773" t="s">
        <v>1195</v>
      </c>
      <c r="C303" s="1774">
        <v>0.15</v>
      </c>
      <c r="D303" s="1774">
        <v>0.15</v>
      </c>
      <c r="E303" s="1774">
        <v>0.15</v>
      </c>
      <c r="F303" s="1775">
        <v>0.15</v>
      </c>
    </row>
    <row r="304" spans="1:6" ht="14.25" thickBot="1">
      <c r="A304" s="1769" t="s">
        <v>1409</v>
      </c>
      <c r="B304" s="1773" t="s">
        <v>1205</v>
      </c>
      <c r="C304" s="1774">
        <v>0.15</v>
      </c>
      <c r="D304" s="1774">
        <v>0.15</v>
      </c>
      <c r="E304" s="1774">
        <v>0.15</v>
      </c>
      <c r="F304" s="1782"/>
    </row>
    <row r="305" spans="1:6" ht="14.25" thickBot="1">
      <c r="A305" s="1769" t="s">
        <v>1409</v>
      </c>
      <c r="B305" s="1773" t="s">
        <v>2196</v>
      </c>
      <c r="C305" s="1774">
        <v>0.15</v>
      </c>
      <c r="D305" s="1774">
        <v>0.15</v>
      </c>
      <c r="E305" s="1774">
        <v>0.15</v>
      </c>
      <c r="F305" s="1775">
        <v>0.14000000000000001</v>
      </c>
    </row>
    <row r="306" spans="1:6" ht="14.25" thickBot="1">
      <c r="A306" s="1769" t="s">
        <v>1409</v>
      </c>
      <c r="B306" s="1773" t="s">
        <v>1225</v>
      </c>
      <c r="C306" s="1774">
        <v>0.15</v>
      </c>
      <c r="D306" s="1774">
        <v>0.15</v>
      </c>
      <c r="E306" s="1774">
        <v>0.15</v>
      </c>
      <c r="F306" s="1782"/>
    </row>
    <row r="307" spans="1:6" ht="14.25" thickBot="1">
      <c r="A307" s="1769" t="s">
        <v>1409</v>
      </c>
      <c r="B307" s="1773" t="s">
        <v>2197</v>
      </c>
      <c r="C307" s="1774">
        <v>0.15</v>
      </c>
      <c r="D307" s="1774">
        <v>0.15</v>
      </c>
      <c r="E307" s="1774">
        <v>0.15</v>
      </c>
      <c r="F307" s="1775">
        <v>0.14299999999999999</v>
      </c>
    </row>
    <row r="308" spans="1:6" ht="14.25" thickBot="1">
      <c r="A308" s="1769" t="s">
        <v>1409</v>
      </c>
      <c r="B308" s="1773" t="s">
        <v>1245</v>
      </c>
      <c r="C308" s="1774">
        <v>0.15</v>
      </c>
      <c r="D308" s="1774">
        <v>0.15</v>
      </c>
      <c r="E308" s="1774">
        <v>0.15</v>
      </c>
      <c r="F308" s="1775">
        <v>0.15</v>
      </c>
    </row>
    <row r="309" spans="1:6" ht="14.25" thickBot="1">
      <c r="A309" s="1769" t="s">
        <v>1409</v>
      </c>
      <c r="B309" s="1773" t="s">
        <v>1255</v>
      </c>
      <c r="C309" s="1774">
        <v>0.15</v>
      </c>
      <c r="D309" s="1774">
        <v>0.15</v>
      </c>
      <c r="E309" s="1774">
        <v>0.15</v>
      </c>
      <c r="F309" s="1782"/>
    </row>
    <row r="310" spans="1:6" ht="14.25" thickBot="1">
      <c r="A310" s="1769" t="s">
        <v>1409</v>
      </c>
      <c r="B310" s="1773" t="s">
        <v>2198</v>
      </c>
      <c r="C310" s="1774">
        <v>0.15</v>
      </c>
      <c r="D310" s="1774">
        <v>0.15</v>
      </c>
      <c r="E310" s="1774">
        <v>0.15</v>
      </c>
      <c r="F310" s="1775">
        <v>0.13700000000000001</v>
      </c>
    </row>
    <row r="311" spans="1:6" ht="14.25" thickBot="1">
      <c r="A311" s="1769" t="s">
        <v>1409</v>
      </c>
      <c r="B311" s="1773" t="s">
        <v>2199</v>
      </c>
      <c r="C311" s="1774">
        <v>0.15</v>
      </c>
      <c r="D311" s="1774">
        <v>0.15</v>
      </c>
      <c r="E311" s="1774">
        <v>0.15</v>
      </c>
      <c r="F311" s="1775">
        <v>0.15</v>
      </c>
    </row>
    <row r="312" spans="1:6" ht="14.25" thickBot="1">
      <c r="A312" s="1769" t="s">
        <v>1409</v>
      </c>
      <c r="B312" s="1773" t="s">
        <v>1281</v>
      </c>
      <c r="C312" s="1774">
        <v>0.15</v>
      </c>
      <c r="D312" s="1774">
        <v>0.15</v>
      </c>
      <c r="E312" s="1774">
        <v>0.15</v>
      </c>
      <c r="F312" s="1775">
        <v>0.1</v>
      </c>
    </row>
    <row r="313" spans="1:6" ht="14.25" thickBot="1">
      <c r="A313" s="1769" t="s">
        <v>1409</v>
      </c>
      <c r="B313" s="1773" t="s">
        <v>2200</v>
      </c>
      <c r="C313" s="1774">
        <v>0.15</v>
      </c>
      <c r="D313" s="1774">
        <v>0.15</v>
      </c>
      <c r="E313" s="1774">
        <v>0.15</v>
      </c>
      <c r="F313" s="1775">
        <v>0.15</v>
      </c>
    </row>
    <row r="314" spans="1:6" ht="24.75" thickBot="1">
      <c r="A314" s="1769" t="s">
        <v>1409</v>
      </c>
      <c r="B314" s="1773" t="s">
        <v>2201</v>
      </c>
      <c r="C314" s="1783"/>
      <c r="D314" s="1783"/>
      <c r="E314" s="1783"/>
      <c r="F314" s="1775">
        <v>0.05</v>
      </c>
    </row>
    <row r="315" spans="1:6" ht="24.75" thickBot="1">
      <c r="A315" s="1769" t="s">
        <v>1409</v>
      </c>
      <c r="B315" s="1773" t="s">
        <v>2202</v>
      </c>
      <c r="C315" s="1783"/>
      <c r="D315" s="1783"/>
      <c r="E315" s="1783"/>
      <c r="F315" s="1775">
        <v>0.05</v>
      </c>
    </row>
    <row r="316" spans="1:6" ht="24.75" thickBot="1">
      <c r="A316" s="1777" t="s">
        <v>1409</v>
      </c>
      <c r="B316" s="1784" t="s">
        <v>2203</v>
      </c>
      <c r="C316" s="1780"/>
      <c r="D316" s="1780"/>
      <c r="E316" s="1780"/>
      <c r="F316" s="1785">
        <v>0.05</v>
      </c>
    </row>
    <row r="317" spans="1:6" ht="14.25" thickBot="1">
      <c r="A317" s="1769" t="s">
        <v>2204</v>
      </c>
      <c r="B317" s="1770" t="s">
        <v>2205</v>
      </c>
      <c r="C317" s="1771">
        <v>0.15</v>
      </c>
      <c r="D317" s="1771">
        <v>0.15</v>
      </c>
      <c r="E317" s="1771">
        <v>0.15</v>
      </c>
      <c r="F317" s="1772">
        <v>0.15</v>
      </c>
    </row>
    <row r="318" spans="1:6" ht="14.25" thickBot="1">
      <c r="A318" s="1769" t="s">
        <v>2204</v>
      </c>
      <c r="B318" s="1773" t="s">
        <v>2206</v>
      </c>
      <c r="C318" s="1774">
        <v>0.107</v>
      </c>
      <c r="D318" s="1774">
        <v>0.11</v>
      </c>
      <c r="E318" s="1774">
        <v>0.112</v>
      </c>
      <c r="F318" s="1782"/>
    </row>
    <row r="319" spans="1:6" ht="14.25" thickBot="1">
      <c r="A319" s="1769" t="s">
        <v>2204</v>
      </c>
      <c r="B319" s="1773" t="s">
        <v>2207</v>
      </c>
      <c r="C319" s="1774">
        <v>0.15</v>
      </c>
      <c r="D319" s="1774">
        <v>0.15</v>
      </c>
      <c r="E319" s="1774">
        <v>0.15</v>
      </c>
      <c r="F319" s="1775">
        <v>0.15</v>
      </c>
    </row>
    <row r="320" spans="1:6" ht="14.25" thickBot="1">
      <c r="A320" s="1769" t="s">
        <v>2204</v>
      </c>
      <c r="B320" s="1773" t="s">
        <v>1097</v>
      </c>
      <c r="C320" s="1774">
        <v>0.15</v>
      </c>
      <c r="D320" s="1774">
        <v>0.15</v>
      </c>
      <c r="E320" s="1774">
        <v>0.15</v>
      </c>
      <c r="F320" s="1782"/>
    </row>
    <row r="321" spans="1:6" ht="14.25" thickBot="1">
      <c r="A321" s="1769" t="s">
        <v>2204</v>
      </c>
      <c r="B321" s="1773" t="s">
        <v>2208</v>
      </c>
      <c r="C321" s="1774">
        <v>0.15</v>
      </c>
      <c r="D321" s="1774">
        <v>0.15</v>
      </c>
      <c r="E321" s="1774">
        <v>0.15</v>
      </c>
      <c r="F321" s="1782"/>
    </row>
    <row r="322" spans="1:6" ht="14.25" thickBot="1">
      <c r="A322" s="1769" t="s">
        <v>2204</v>
      </c>
      <c r="B322" s="1773" t="s">
        <v>2209</v>
      </c>
      <c r="C322" s="1774">
        <v>0.15</v>
      </c>
      <c r="D322" s="1774">
        <v>0.15</v>
      </c>
      <c r="E322" s="1774">
        <v>0.15</v>
      </c>
      <c r="F322" s="1775">
        <v>0.15</v>
      </c>
    </row>
    <row r="323" spans="1:6" ht="14.25" thickBot="1">
      <c r="A323" s="1769" t="s">
        <v>2204</v>
      </c>
      <c r="B323" s="1773" t="s">
        <v>2210</v>
      </c>
      <c r="C323" s="1774">
        <v>0.15</v>
      </c>
      <c r="D323" s="1774">
        <v>0.15</v>
      </c>
      <c r="E323" s="1774">
        <v>0.15</v>
      </c>
      <c r="F323" s="1782"/>
    </row>
    <row r="324" spans="1:6" ht="14.25" thickBot="1">
      <c r="A324" s="1769" t="s">
        <v>2204</v>
      </c>
      <c r="B324" s="1773" t="s">
        <v>2211</v>
      </c>
      <c r="C324" s="1774">
        <v>0.15</v>
      </c>
      <c r="D324" s="1774">
        <v>0.15</v>
      </c>
      <c r="E324" s="1774">
        <v>0.15</v>
      </c>
      <c r="F324" s="1782"/>
    </row>
    <row r="325" spans="1:6" ht="14.25" thickBot="1">
      <c r="A325" s="1769" t="s">
        <v>2204</v>
      </c>
      <c r="B325" s="1773" t="s">
        <v>2212</v>
      </c>
      <c r="C325" s="1774">
        <v>0.15</v>
      </c>
      <c r="D325" s="1774">
        <v>0.15</v>
      </c>
      <c r="E325" s="1774">
        <v>0.15</v>
      </c>
      <c r="F325" s="1775">
        <v>0.14699999999999999</v>
      </c>
    </row>
    <row r="326" spans="1:6" ht="14.25" thickBot="1">
      <c r="A326" s="1769" t="s">
        <v>2204</v>
      </c>
      <c r="B326" s="1773" t="s">
        <v>1166</v>
      </c>
      <c r="C326" s="1774">
        <v>0.15</v>
      </c>
      <c r="D326" s="1774">
        <v>0.15</v>
      </c>
      <c r="E326" s="1774">
        <v>0.15</v>
      </c>
      <c r="F326" s="1782"/>
    </row>
    <row r="327" spans="1:6" ht="14.25" thickBot="1">
      <c r="A327" s="1769" t="s">
        <v>2204</v>
      </c>
      <c r="B327" s="1773" t="s">
        <v>2213</v>
      </c>
      <c r="C327" s="1774">
        <v>0.15</v>
      </c>
      <c r="D327" s="1774">
        <v>0.15</v>
      </c>
      <c r="E327" s="1774">
        <v>0.15</v>
      </c>
      <c r="F327" s="1775">
        <v>0.15</v>
      </c>
    </row>
    <row r="328" spans="1:6" ht="14.25" thickBot="1">
      <c r="A328" s="1769" t="s">
        <v>2204</v>
      </c>
      <c r="B328" s="1773" t="s">
        <v>1186</v>
      </c>
      <c r="C328" s="1774">
        <v>0.15</v>
      </c>
      <c r="D328" s="1774">
        <v>0.15</v>
      </c>
      <c r="E328" s="1774">
        <v>0.15</v>
      </c>
      <c r="F328" s="1775">
        <v>0.14099999999999999</v>
      </c>
    </row>
    <row r="329" spans="1:6" ht="14.25" thickBot="1">
      <c r="A329" s="1769" t="s">
        <v>2204</v>
      </c>
      <c r="B329" s="1773" t="s">
        <v>1196</v>
      </c>
      <c r="C329" s="1774">
        <v>0.15</v>
      </c>
      <c r="D329" s="1774">
        <v>0.15</v>
      </c>
      <c r="E329" s="1774">
        <v>0.15</v>
      </c>
      <c r="F329" s="1775">
        <v>0.15</v>
      </c>
    </row>
    <row r="330" spans="1:6" ht="14.25" thickBot="1">
      <c r="A330" s="1769" t="s">
        <v>2204</v>
      </c>
      <c r="B330" s="1773" t="s">
        <v>1206</v>
      </c>
      <c r="C330" s="1774">
        <v>0.15</v>
      </c>
      <c r="D330" s="1774">
        <v>0.15</v>
      </c>
      <c r="E330" s="1774">
        <v>0.15</v>
      </c>
      <c r="F330" s="1782"/>
    </row>
    <row r="331" spans="1:6" ht="14.25" thickBot="1">
      <c r="A331" s="1769" t="s">
        <v>2204</v>
      </c>
      <c r="B331" s="1773" t="s">
        <v>2214</v>
      </c>
      <c r="C331" s="1774">
        <v>0.15</v>
      </c>
      <c r="D331" s="1774">
        <v>0.15</v>
      </c>
      <c r="E331" s="1774">
        <v>0.15</v>
      </c>
      <c r="F331" s="1775">
        <v>0.15</v>
      </c>
    </row>
    <row r="332" spans="1:6" ht="14.25" thickBot="1">
      <c r="A332" s="1769" t="s">
        <v>2204</v>
      </c>
      <c r="B332" s="1773" t="s">
        <v>1226</v>
      </c>
      <c r="C332" s="1774">
        <v>0.15</v>
      </c>
      <c r="D332" s="1774">
        <v>0.15</v>
      </c>
      <c r="E332" s="1774">
        <v>0.15</v>
      </c>
      <c r="F332" s="1775">
        <v>0.15</v>
      </c>
    </row>
    <row r="333" spans="1:6" ht="14.25" thickBot="1">
      <c r="A333" s="1769" t="s">
        <v>2204</v>
      </c>
      <c r="B333" s="1773" t="s">
        <v>2215</v>
      </c>
      <c r="C333" s="1774">
        <v>0.15</v>
      </c>
      <c r="D333" s="1774">
        <v>0.15</v>
      </c>
      <c r="E333" s="1774">
        <v>0.15</v>
      </c>
      <c r="F333" s="1775">
        <v>0.14099999999999999</v>
      </c>
    </row>
    <row r="334" spans="1:6" ht="14.25" thickBot="1">
      <c r="A334" s="1769" t="s">
        <v>2204</v>
      </c>
      <c r="B334" s="1773" t="s">
        <v>1246</v>
      </c>
      <c r="C334" s="1774">
        <v>0.15</v>
      </c>
      <c r="D334" s="1774">
        <v>0.15</v>
      </c>
      <c r="E334" s="1774">
        <v>0.15</v>
      </c>
      <c r="F334" s="1775">
        <v>0.15</v>
      </c>
    </row>
    <row r="335" spans="1:6" ht="14.25" thickBot="1">
      <c r="A335" s="1769" t="s">
        <v>2204</v>
      </c>
      <c r="B335" s="1773" t="s">
        <v>1256</v>
      </c>
      <c r="C335" s="1774">
        <v>0.15</v>
      </c>
      <c r="D335" s="1774">
        <v>0.15</v>
      </c>
      <c r="E335" s="1774">
        <v>0.15</v>
      </c>
      <c r="F335" s="1782"/>
    </row>
    <row r="336" spans="1:6" ht="14.25" thickBot="1">
      <c r="A336" s="1769" t="s">
        <v>2204</v>
      </c>
      <c r="B336" s="1773" t="s">
        <v>2216</v>
      </c>
      <c r="C336" s="1774">
        <v>0.15</v>
      </c>
      <c r="D336" s="1774">
        <v>0.15</v>
      </c>
      <c r="E336" s="1774">
        <v>0.15</v>
      </c>
      <c r="F336" s="1775">
        <v>0.11799999999999999</v>
      </c>
    </row>
    <row r="337" spans="1:6" ht="14.25" thickBot="1">
      <c r="A337" s="1777" t="s">
        <v>2204</v>
      </c>
      <c r="B337" s="1784" t="s">
        <v>1274</v>
      </c>
      <c r="C337" s="1780"/>
      <c r="D337" s="1780"/>
      <c r="E337" s="1780"/>
      <c r="F337" s="1785">
        <v>0.14299999999999999</v>
      </c>
    </row>
    <row r="338" spans="1:6" ht="14.25" thickBot="1">
      <c r="A338" s="1769" t="s">
        <v>2217</v>
      </c>
      <c r="B338" s="1770" t="s">
        <v>2218</v>
      </c>
      <c r="C338" s="1771">
        <v>0.15</v>
      </c>
      <c r="D338" s="1771">
        <v>0.15</v>
      </c>
      <c r="E338" s="1771">
        <v>0.15</v>
      </c>
      <c r="F338" s="1793"/>
    </row>
    <row r="339" spans="1:6" ht="14.25" thickBot="1">
      <c r="A339" s="1769" t="s">
        <v>2217</v>
      </c>
      <c r="B339" s="1773" t="s">
        <v>2219</v>
      </c>
      <c r="C339" s="1774">
        <v>0.15</v>
      </c>
      <c r="D339" s="1774">
        <v>0.15</v>
      </c>
      <c r="E339" s="1774">
        <v>0.15</v>
      </c>
      <c r="F339" s="1782"/>
    </row>
    <row r="340" spans="1:6" ht="14.25" thickBot="1">
      <c r="A340" s="1769" t="s">
        <v>2217</v>
      </c>
      <c r="B340" s="1773" t="s">
        <v>2220</v>
      </c>
      <c r="C340" s="1774">
        <v>0.15</v>
      </c>
      <c r="D340" s="1774">
        <v>0.15</v>
      </c>
      <c r="E340" s="1774">
        <v>0.15</v>
      </c>
      <c r="F340" s="1782"/>
    </row>
    <row r="341" spans="1:6" ht="14.25" thickBot="1">
      <c r="A341" s="1769" t="s">
        <v>2221</v>
      </c>
      <c r="B341" s="1773" t="s">
        <v>2222</v>
      </c>
      <c r="C341" s="1774">
        <v>0.15</v>
      </c>
      <c r="D341" s="1774">
        <v>0.15</v>
      </c>
      <c r="E341" s="1774">
        <v>0.15</v>
      </c>
      <c r="F341" s="1775">
        <v>0.15</v>
      </c>
    </row>
    <row r="342" spans="1:6" ht="14.25" thickBot="1">
      <c r="A342" s="1769" t="s">
        <v>2217</v>
      </c>
      <c r="B342" s="1773" t="s">
        <v>2223</v>
      </c>
      <c r="C342" s="1774">
        <v>0.15</v>
      </c>
      <c r="D342" s="1774">
        <v>0.15</v>
      </c>
      <c r="E342" s="1774">
        <v>0.15</v>
      </c>
      <c r="F342" s="1775">
        <v>0.15</v>
      </c>
    </row>
    <row r="343" spans="1:6" ht="14.25" thickBot="1">
      <c r="A343" s="1769" t="s">
        <v>2217</v>
      </c>
      <c r="B343" s="1773" t="s">
        <v>2224</v>
      </c>
      <c r="C343" s="1774">
        <v>0.15</v>
      </c>
      <c r="D343" s="1774">
        <v>0.15</v>
      </c>
      <c r="E343" s="1774">
        <v>0.15</v>
      </c>
      <c r="F343" s="1775">
        <v>0.15</v>
      </c>
    </row>
    <row r="344" spans="1:6" ht="14.25" thickBot="1">
      <c r="A344" s="1777" t="s">
        <v>2217</v>
      </c>
      <c r="B344" s="1784" t="s">
        <v>2225</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S5" sqref="S5:V5"/>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608" t="s">
        <v>2555</v>
      </c>
      <c r="C1" s="3608"/>
      <c r="D1" s="3608"/>
      <c r="E1" s="3608"/>
      <c r="F1" s="3608"/>
      <c r="G1" s="3607" t="s">
        <v>2556</v>
      </c>
      <c r="H1" s="3607"/>
      <c r="I1" s="3607"/>
      <c r="J1" s="3607"/>
      <c r="K1" s="3607"/>
      <c r="L1" s="3607"/>
      <c r="N1" s="3607" t="s">
        <v>2557</v>
      </c>
      <c r="O1" s="3607"/>
      <c r="P1" s="3607"/>
      <c r="Q1" s="3607"/>
      <c r="S1" s="3607" t="s">
        <v>2558</v>
      </c>
      <c r="T1" s="3607"/>
      <c r="U1" s="3607"/>
      <c r="V1" s="3607"/>
      <c r="X1" s="3606" t="s">
        <v>2618</v>
      </c>
      <c r="Y1" s="3607"/>
      <c r="Z1" s="3607"/>
      <c r="AA1" s="3607"/>
      <c r="AB1" s="3607"/>
      <c r="AD1" s="3606" t="s">
        <v>2622</v>
      </c>
      <c r="AE1" s="3607"/>
      <c r="AF1" s="3607"/>
      <c r="AG1" s="3607"/>
      <c r="AH1" s="3607"/>
    </row>
    <row r="2" spans="1:34" s="2865" customFormat="1" ht="14.25" thickBot="1">
      <c r="B2" s="2866" t="s">
        <v>2559</v>
      </c>
      <c r="C2" s="2866" t="s">
        <v>2620</v>
      </c>
      <c r="D2" s="2867" t="s">
        <v>1634</v>
      </c>
      <c r="E2" s="2867" t="s">
        <v>1937</v>
      </c>
      <c r="F2" s="2866" t="s">
        <v>2621</v>
      </c>
      <c r="G2" s="2868"/>
      <c r="I2" s="2866" t="s">
        <v>2916</v>
      </c>
      <c r="J2" s="2867" t="s">
        <v>2918</v>
      </c>
      <c r="K2" s="2867" t="s">
        <v>2919</v>
      </c>
      <c r="L2" s="2866" t="s">
        <v>2920</v>
      </c>
      <c r="N2" s="2866" t="s">
        <v>2559</v>
      </c>
      <c r="O2" s="2867" t="s">
        <v>2917</v>
      </c>
      <c r="P2" s="2867" t="s">
        <v>1937</v>
      </c>
      <c r="Q2" s="2866" t="s">
        <v>2621</v>
      </c>
      <c r="S2" s="2866" t="s">
        <v>2559</v>
      </c>
      <c r="T2" s="2867" t="s">
        <v>2917</v>
      </c>
      <c r="U2" s="2867" t="s">
        <v>1937</v>
      </c>
      <c r="V2" s="2866" t="s">
        <v>2621</v>
      </c>
      <c r="X2" s="2866" t="s">
        <v>2559</v>
      </c>
      <c r="Y2" s="2866" t="s">
        <v>2620</v>
      </c>
      <c r="Z2" s="2867" t="s">
        <v>1634</v>
      </c>
      <c r="AA2" s="2867" t="s">
        <v>1937</v>
      </c>
      <c r="AB2" s="2866" t="s">
        <v>2621</v>
      </c>
      <c r="AD2" s="2866" t="s">
        <v>2559</v>
      </c>
      <c r="AE2" s="2866" t="s">
        <v>2620</v>
      </c>
      <c r="AF2" s="2867" t="s">
        <v>1634</v>
      </c>
      <c r="AG2" s="2867" t="s">
        <v>1937</v>
      </c>
      <c r="AH2" s="2866" t="s">
        <v>2621</v>
      </c>
    </row>
    <row r="3" spans="1:34" s="2875" customFormat="1" ht="14.25">
      <c r="A3" s="2869" t="s">
        <v>2927</v>
      </c>
      <c r="B3" s="2870"/>
      <c r="C3" s="2870"/>
      <c r="D3" s="2871"/>
      <c r="E3" s="2871"/>
      <c r="F3" s="2870"/>
      <c r="G3" s="2872"/>
      <c r="H3" s="2873"/>
      <c r="I3" s="2874">
        <f>ROUND(AVERAGE($I4:$I33),2)</f>
        <v>1.68</v>
      </c>
      <c r="J3" s="2874">
        <f>ROUND(AVERAGE($J4:$J33),2)</f>
        <v>1.1000000000000001</v>
      </c>
      <c r="K3" s="2874">
        <f>ROUND(AVERAGE($K4:$K33),2)</f>
        <v>1.85</v>
      </c>
      <c r="L3" s="2874">
        <f>ROUND(AVERAGE($L4:$L33),2)</f>
        <v>1.19</v>
      </c>
      <c r="N3" s="2872"/>
      <c r="S3" s="2872"/>
      <c r="W3" s="2876"/>
      <c r="X3" s="2877">
        <f>ROUND(SUMPRODUCT(PRODUCT(1+N3:N$32)),4)</f>
        <v>1.571</v>
      </c>
      <c r="Y3" s="2877">
        <f>ROUND(SUMPRODUCT(PRODUCT(1+O3:O$32)),4)</f>
        <v>1.3420000000000001</v>
      </c>
      <c r="Z3" s="2877">
        <f t="shared" ref="Z3:Z30" si="0">Y3</f>
        <v>1.3420000000000001</v>
      </c>
      <c r="AA3" s="2877">
        <f>ROUND(SUMPRODUCT(PRODUCT(1+P3:P$32)),4)</f>
        <v>1.6415999999999999</v>
      </c>
      <c r="AB3" s="2877">
        <f>ROUND(SUMPRODUCT(PRODUCT(1+Q3:Q$32)),4)</f>
        <v>1.389</v>
      </c>
      <c r="AD3" s="2878">
        <f>ROUND(AVERAGE(I3:I$33)/100,4)</f>
        <v>1.6799999999999999E-2</v>
      </c>
      <c r="AE3" s="2878">
        <f>ROUND(AVERAGE(J3:J$33)/100,4)</f>
        <v>1.0999999999999999E-2</v>
      </c>
      <c r="AF3" s="2878">
        <f t="shared" ref="AF3:AF31" si="1">AE3</f>
        <v>1.0999999999999999E-2</v>
      </c>
      <c r="AG3" s="2878">
        <f>ROUND(AVERAGE(K3:K$33)/100,4)</f>
        <v>1.8499999999999999E-2</v>
      </c>
      <c r="AH3" s="2878">
        <f>ROUND(AVERAGE(L3:L$33)/100,4)</f>
        <v>1.1900000000000001E-2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2995</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f>B5/B6-1</f>
        <v>0</v>
      </c>
      <c r="T5" s="2892">
        <f>C5/C6-1</f>
        <v>0</v>
      </c>
      <c r="U5" s="2892">
        <f>E5/E6-1</f>
        <v>0</v>
      </c>
      <c r="V5" s="2892">
        <f>F5/F6-1</f>
        <v>0</v>
      </c>
      <c r="W5" s="2895" t="s">
        <v>2928</v>
      </c>
      <c r="X5" s="2896">
        <f>ROUND(IF(项目基本情况!B5="出让",SUMPRODUCT(PRODUCT(1+N5:N$33)),SUMPRODUCT(PRODUCT(1+N5:N$32))),4)</f>
        <v>1.571</v>
      </c>
      <c r="Y5" s="2896">
        <f>ROUND(IF(项目基本情况!B5="出让",SUMPRODUCT(PRODUCT(1+O5:O$33)),SUMPRODUCT(PRODUCT(1+O5:O$32))),4)</f>
        <v>1.3420000000000001</v>
      </c>
      <c r="Z5" s="2896">
        <f t="shared" ref="Z5" si="11">Y5</f>
        <v>1.3420000000000001</v>
      </c>
      <c r="AA5" s="2896">
        <f>ROUND(IF(项目基本情况!B5="出让",SUMPRODUCT(PRODUCT(1+P5:P$33)),SUMPRODUCT(PRODUCT(1+P5:P$32))),4)</f>
        <v>1.6415999999999999</v>
      </c>
      <c r="AB5" s="2896">
        <f>ROUND(IF(项目基本情况!B5="出让",SUMPRODUCT(PRODUCT(1+Q5:Q$33)),SUMPRODUCT(PRODUCT(1+Q5:Q$32))),4)</f>
        <v>1.389</v>
      </c>
      <c r="AD5" s="2897">
        <f>ROUND(AVERAGE(I5:I$33)/100,4)</f>
        <v>1.6799999999999999E-2</v>
      </c>
      <c r="AE5" s="2897">
        <f>ROUND(AVERAGE(J5:J$33)/100,4)</f>
        <v>1.0999999999999999E-2</v>
      </c>
      <c r="AF5" s="2897">
        <f t="shared" ref="AF5" si="12">AE5</f>
        <v>1.0999999999999999E-2</v>
      </c>
      <c r="AG5" s="2897">
        <f>ROUND(AVERAGE(K5:K$33)/100,4)</f>
        <v>1.8499999999999999E-2</v>
      </c>
      <c r="AH5" s="2897">
        <f>ROUND(AVERAGE(L5:L$33)/100,4)</f>
        <v>1.1900000000000001E-2</v>
      </c>
    </row>
    <row r="6" spans="1:34" s="2905" customFormat="1">
      <c r="A6" s="2898" t="s">
        <v>2996</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4</v>
      </c>
      <c r="I6" s="2862">
        <v>0</v>
      </c>
      <c r="J6" s="2862">
        <v>0</v>
      </c>
      <c r="K6" s="2862">
        <v>0</v>
      </c>
      <c r="L6" s="2863">
        <v>0</v>
      </c>
      <c r="M6" s="2886"/>
      <c r="N6" s="2901">
        <f t="shared" ref="N6" si="18">I6/100</f>
        <v>0</v>
      </c>
      <c r="O6" s="2887">
        <f t="shared" ref="O6" si="19">J6/100</f>
        <v>0</v>
      </c>
      <c r="P6" s="2887">
        <f t="shared" ref="P6" si="20">K6/100</f>
        <v>0</v>
      </c>
      <c r="Q6" s="2887">
        <f t="shared" ref="Q6" si="21">L6/100</f>
        <v>0</v>
      </c>
      <c r="R6" s="2902"/>
      <c r="S6" s="2903"/>
      <c r="T6" s="2904"/>
      <c r="U6" s="2904"/>
      <c r="V6" s="2904"/>
      <c r="W6" s="2886"/>
      <c r="X6" s="2886">
        <f>ROUND(IF(项目基本情况!B6="出让",SUMPRODUCT(PRODUCT(1+N6:N$33)),SUMPRODUCT(PRODUCT(1+N6:N$32))),4)</f>
        <v>1.571</v>
      </c>
      <c r="Y6" s="2886">
        <f>ROUND(IF(项目基本情况!B6="出让",SUMPRODUCT(PRODUCT(1+O6:O$33)),SUMPRODUCT(PRODUCT(1+O6:O$32))),4)</f>
        <v>1.3420000000000001</v>
      </c>
      <c r="Z6" s="2886">
        <f t="shared" ref="Z6" si="22">Y6</f>
        <v>1.3420000000000001</v>
      </c>
      <c r="AA6" s="2886">
        <f>ROUND(IF(项目基本情况!B6="出让",SUMPRODUCT(PRODUCT(1+P6:P$33)),SUMPRODUCT(PRODUCT(1+P6:P$32))),4)</f>
        <v>1.6415999999999999</v>
      </c>
      <c r="AB6" s="2886">
        <f>ROUND(IF(项目基本情况!B6="出让",SUMPRODUCT(PRODUCT(1+Q6:Q$33)),SUMPRODUCT(PRODUCT(1+Q6:Q$32))),4)</f>
        <v>1.389</v>
      </c>
      <c r="AC6" s="2886"/>
      <c r="AD6" s="2887">
        <f>ROUND(AVERAGE(I6:I$33)/100,4)</f>
        <v>1.7399999999999999E-2</v>
      </c>
      <c r="AE6" s="2887">
        <f>ROUND(AVERAGE(J6:J$33)/100,4)</f>
        <v>1.14E-2</v>
      </c>
      <c r="AF6" s="2887">
        <f t="shared" ref="AF6" si="23">AE6</f>
        <v>1.14E-2</v>
      </c>
      <c r="AG6" s="2887">
        <f>ROUND(AVERAGE(K6:K$33)/100,4)</f>
        <v>1.9199999999999998E-2</v>
      </c>
      <c r="AH6" s="2887">
        <f>ROUND(AVERAGE(L6:L$33)/100,4)</f>
        <v>1.23E-2</v>
      </c>
    </row>
    <row r="7" spans="1:34" s="2905" customFormat="1">
      <c r="A7" s="2898" t="s">
        <v>2994</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ROUND(IF(项目基本情况!B7="出让",SUMPRODUCT(PRODUCT(1+N7:N$33)),SUMPRODUCT(PRODUCT(1+N7:N$32))),4)</f>
        <v>1.571</v>
      </c>
      <c r="Y7" s="2886">
        <f>ROUND(IF(项目基本情况!B7="出让",SUMPRODUCT(PRODUCT(1+O7:O$33)),SUMPRODUCT(PRODUCT(1+O7:O$32))),4)</f>
        <v>1.3420000000000001</v>
      </c>
      <c r="Z7" s="2886">
        <f t="shared" ref="Z7" si="33">Y7</f>
        <v>1.3420000000000001</v>
      </c>
      <c r="AA7" s="2886">
        <f>ROUND(IF(项目基本情况!B7="出让",SUMPRODUCT(PRODUCT(1+P7:P$33)),SUMPRODUCT(PRODUCT(1+P7:P$32))),4)</f>
        <v>1.6415999999999999</v>
      </c>
      <c r="AB7" s="2886">
        <f>ROUND(IF(项目基本情况!B7="出让",SUMPRODUCT(PRODUCT(1+Q7:Q$33)),SUMPRODUCT(PRODUCT(1+Q7:Q$32))),4)</f>
        <v>1.389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2957</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ROUND(IF(项目基本情况!B8="出让",SUMPRODUCT(PRODUCT(1+N8:N$33)),SUMPRODUCT(PRODUCT(1+N8:N$32))),4)</f>
        <v>1.5652999999999999</v>
      </c>
      <c r="Y8" s="2886">
        <f>ROUND(IF(项目基本情况!B8="出让",SUMPRODUCT(PRODUCT(1+O8:O$33)),SUMPRODUCT(PRODUCT(1+O8:O$32))),4)</f>
        <v>1.3472</v>
      </c>
      <c r="Z8" s="2886">
        <f t="shared" ref="Z8" si="44">Y8</f>
        <v>1.3472</v>
      </c>
      <c r="AA8" s="2886">
        <f>ROUND(IF(项目基本情况!B8="出让",SUMPRODUCT(PRODUCT(1+P8:P$33)),SUMPRODUCT(PRODUCT(1+P8:P$32))),4)</f>
        <v>1.6335999999999999</v>
      </c>
      <c r="AB8" s="2886">
        <f>ROUND(IF(项目基本情况!B8="出让",SUMPRODUCT(PRODUCT(1+Q8:Q$33)),SUMPRODUCT(PRODUCT(1+Q8:Q$32))),4)</f>
        <v>1.3880999999999999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2955</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ROUND(IF(项目基本情况!B8="出让",SUMPRODUCT(PRODUCT(1+N9:N$33)),SUMPRODUCT(PRODUCT(1+N9:N$32))),4)</f>
        <v>1.5605</v>
      </c>
      <c r="Y9" s="2886">
        <f>ROUND(IF(项目基本情况!B8="出让",SUMPRODUCT(PRODUCT(1+O9:O$33)),SUMPRODUCT(PRODUCT(1+O9:O$32))),4)</f>
        <v>1.3577999999999999</v>
      </c>
      <c r="Z9" s="2886">
        <f t="shared" ref="Z9" si="55">Y9</f>
        <v>1.3577999999999999</v>
      </c>
      <c r="AA9" s="2886">
        <f>ROUND(IF(项目基本情况!B8="出让",SUMPRODUCT(PRODUCT(1+P9:P$33)),SUMPRODUCT(PRODUCT(1+P9:P$32))),4)</f>
        <v>1.6254999999999999</v>
      </c>
      <c r="AB9" s="2886">
        <f>ROUND(IF(项目基本情况!B8="出让",SUMPRODUCT(PRODUCT(1+Q9:Q$33)),SUMPRODUCT(PRODUCT(1+Q9:Q$32))),4)</f>
        <v>1.3815999999999999</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2952</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ROUND(IF(项目基本情况!B8="出让",SUMPRODUCT(PRODUCT(1+N10:N$33)),SUMPRODUCT(PRODUCT(1+N10:N$32))),4)</f>
        <v>1.5586</v>
      </c>
      <c r="Y10" s="2886">
        <f>ROUND(IF(项目基本情况!B8="出让",SUMPRODUCT(PRODUCT(1+O10:O$33)),SUMPRODUCT(PRODUCT(1+O10:O$32))),4)</f>
        <v>1.3633</v>
      </c>
      <c r="Z10" s="2886">
        <f t="shared" ref="Z10" si="66">Y10</f>
        <v>1.3633</v>
      </c>
      <c r="AA10" s="2886">
        <f>ROUND(IF(项目基本情况!B8="出让",SUMPRODUCT(PRODUCT(1+P10:P$33)),SUMPRODUCT(PRODUCT(1+P10:P$32))),4)</f>
        <v>1.6221000000000001</v>
      </c>
      <c r="AB10" s="2886">
        <f>ROUND(IF(项目基本情况!B8="出让",SUMPRODUCT(PRODUCT(1+Q10:Q$33)),SUMPRODUCT(PRODUCT(1+Q10:Q$32))),4)</f>
        <v>1.3777999999999999</v>
      </c>
      <c r="AC10" s="2886"/>
      <c r="AD10" s="2887">
        <f>ROUND(AVERAGE(I10:I$33)/100,4)</f>
        <v>0.02</v>
      </c>
      <c r="AE10" s="2887">
        <f>ROUND(AVERAGE(J10:J$33)/100,4)</f>
        <v>1.4E-2</v>
      </c>
      <c r="AF10" s="2887">
        <f t="shared" ref="AF10" si="67">AE10</f>
        <v>1.4E-2</v>
      </c>
      <c r="AG10" s="2887">
        <f>ROUND(AVERAGE(K10:K$33)/100,4)</f>
        <v>2.1899999999999999E-2</v>
      </c>
      <c r="AH10" s="2887">
        <f>ROUND(AVERAGE(L10:L$33)/100,4)</f>
        <v>1.4E-2</v>
      </c>
    </row>
    <row r="11" spans="1:34" s="2905" customFormat="1" ht="13.5" thickBot="1">
      <c r="A11" s="2898" t="s">
        <v>2951</v>
      </c>
      <c r="B11" s="2899">
        <f t="shared" ref="B11" si="68">B12*(1+N11)</f>
        <v>477.19997390765138</v>
      </c>
      <c r="C11" s="2899">
        <f t="shared" ref="C11" si="69">C12*(1+O11)</f>
        <v>351.84874729536665</v>
      </c>
      <c r="D11" s="2899">
        <f t="shared" ref="D11" si="70">C11</f>
        <v>351.84874729536665</v>
      </c>
      <c r="E11" s="2899">
        <f t="shared" ref="E11" si="71">E12*(1+P11)</f>
        <v>682.29768951465201</v>
      </c>
      <c r="F11" s="2899">
        <f t="shared" ref="F11" si="72">F12*(1+Q11)</f>
        <v>315.26985675409043</v>
      </c>
      <c r="G11" s="2882">
        <v>2019</v>
      </c>
      <c r="H11" s="2900">
        <v>3</v>
      </c>
      <c r="I11" s="2900">
        <v>0.61</v>
      </c>
      <c r="J11" s="2900">
        <v>0.67</v>
      </c>
      <c r="K11" s="2900">
        <v>0.6</v>
      </c>
      <c r="L11" s="2906">
        <v>1.03</v>
      </c>
      <c r="M11" s="2886"/>
      <c r="N11" s="2901">
        <f t="shared" ref="N11" si="73">I11/100</f>
        <v>6.0999999999999995E-3</v>
      </c>
      <c r="O11" s="2887">
        <f t="shared" ref="O11" si="74">J11/100</f>
        <v>6.7000000000000002E-3</v>
      </c>
      <c r="P11" s="2887">
        <f t="shared" ref="P11" si="75">K11/100</f>
        <v>6.0000000000000001E-3</v>
      </c>
      <c r="Q11" s="2887">
        <f t="shared" ref="Q11" si="76">L11/100</f>
        <v>1.03E-2</v>
      </c>
      <c r="R11" s="2902"/>
      <c r="S11" s="2903"/>
      <c r="T11" s="2904"/>
      <c r="U11" s="2904"/>
      <c r="V11" s="2904"/>
      <c r="W11" s="2886"/>
      <c r="X11" s="2886">
        <f>ROUND(IF(项目基本情况!B8="出让",SUMPRODUCT(PRODUCT(1+N11:N$33)),SUMPRODUCT(PRODUCT(1+N11:N$32))),4)</f>
        <v>1.5516000000000001</v>
      </c>
      <c r="Y11" s="2886">
        <f>ROUND(IF(项目基本情况!B8="出让",SUMPRODUCT(PRODUCT(1+O11:O$33)),SUMPRODUCT(PRODUCT(1+O11:O$32))),4)</f>
        <v>1.3649</v>
      </c>
      <c r="Z11" s="2886">
        <f t="shared" ref="Z11" si="77">Y11</f>
        <v>1.3649</v>
      </c>
      <c r="AA11" s="2886">
        <f>ROUND(IF(项目基本情况!B8="出让",SUMPRODUCT(PRODUCT(1+P11:P$33)),SUMPRODUCT(PRODUCT(1+P11:P$32))),4)</f>
        <v>1.6133999999999999</v>
      </c>
      <c r="AB11" s="2886">
        <f>ROUND(IF(项目基本情况!B8="出让",SUMPRODUCT(PRODUCT(1+Q11:Q$33)),SUMPRODUCT(PRODUCT(1+Q11:Q$32))),4)</f>
        <v>1.3713</v>
      </c>
      <c r="AC11" s="2886"/>
      <c r="AD11" s="2887">
        <f>ROUND(AVERAGE(I11:I$33)/100,4)</f>
        <v>2.07E-2</v>
      </c>
      <c r="AE11" s="2887">
        <f>ROUND(AVERAGE(J11:J$33)/100,4)</f>
        <v>1.47E-2</v>
      </c>
      <c r="AF11" s="2887">
        <f t="shared" ref="AF11" si="78">AE11</f>
        <v>1.47E-2</v>
      </c>
      <c r="AG11" s="2887">
        <f>ROUND(AVERAGE(K11:K$33)/100,4)</f>
        <v>2.2599999999999999E-2</v>
      </c>
      <c r="AH11" s="2887">
        <f>ROUND(AVERAGE(L11:L$33)/100,4)</f>
        <v>1.44E-2</v>
      </c>
    </row>
    <row r="12" spans="1:34" s="2905" customFormat="1">
      <c r="A12" s="2898" t="s">
        <v>2948</v>
      </c>
      <c r="B12" s="2899">
        <f t="shared" ref="B12:B17" si="79">B13*(1+N12)</f>
        <v>474.30670301923408</v>
      </c>
      <c r="C12" s="2899">
        <f t="shared" ref="C12" si="80">C13*(1+O12)</f>
        <v>349.50705005996491</v>
      </c>
      <c r="D12" s="2899">
        <f t="shared" ref="D12" si="81">C12</f>
        <v>349.50705005996491</v>
      </c>
      <c r="E12" s="2899">
        <f t="shared" ref="E12" si="82">E13*(1+P12)</f>
        <v>678.22831959706957</v>
      </c>
      <c r="F12" s="2899">
        <f t="shared" ref="F12" si="83">F13*(1+Q12)</f>
        <v>312.0556832169558</v>
      </c>
      <c r="G12" s="2882">
        <v>2019</v>
      </c>
      <c r="H12" s="2907">
        <v>2</v>
      </c>
      <c r="I12" s="2907">
        <v>1.53</v>
      </c>
      <c r="J12" s="2907">
        <v>1.01</v>
      </c>
      <c r="K12" s="2907">
        <v>1.62</v>
      </c>
      <c r="L12" s="2908">
        <v>1.25</v>
      </c>
      <c r="M12" s="2886"/>
      <c r="N12" s="2901">
        <f t="shared" ref="N12" si="84">I12/100</f>
        <v>1.5300000000000001E-2</v>
      </c>
      <c r="O12" s="2887">
        <f t="shared" ref="O12" si="85">J12/100</f>
        <v>1.01E-2</v>
      </c>
      <c r="P12" s="2887">
        <f t="shared" ref="P12" si="86">K12/100</f>
        <v>1.6200000000000003E-2</v>
      </c>
      <c r="Q12" s="2887">
        <f t="shared" ref="Q12" si="87">L12/100</f>
        <v>1.2500000000000001E-2</v>
      </c>
      <c r="R12" s="2902"/>
      <c r="S12" s="2903"/>
      <c r="T12" s="2904"/>
      <c r="U12" s="2904"/>
      <c r="V12" s="2904"/>
      <c r="W12" s="2886"/>
      <c r="X12" s="2886">
        <f>ROUND(IF(项目基本情况!B8="出让",SUMPRODUCT(PRODUCT(1+N12:N$33)),SUMPRODUCT(PRODUCT(1+N12:N$32))),4)</f>
        <v>1.5422</v>
      </c>
      <c r="Y12" s="2886">
        <f>ROUND(IF(项目基本情况!B8="出让",SUMPRODUCT(PRODUCT(1+O12:O$33)),SUMPRODUCT(PRODUCT(1+O12:O$32))),4)</f>
        <v>1.3557999999999999</v>
      </c>
      <c r="Z12" s="2886">
        <f t="shared" ref="Z12" si="88">Y12</f>
        <v>1.3557999999999999</v>
      </c>
      <c r="AA12" s="2886">
        <f>ROUND(IF(项目基本情况!B8="出让",SUMPRODUCT(PRODUCT(1+P12:P$33)),SUMPRODUCT(PRODUCT(1+P12:P$32))),4)</f>
        <v>1.6036999999999999</v>
      </c>
      <c r="AB12" s="2886">
        <f>ROUND(IF(项目基本情况!B8="出让",SUMPRODUCT(PRODUCT(1+Q12:Q$33)),SUMPRODUCT(PRODUCT(1+Q12:Q$32))),4)</f>
        <v>1.3573</v>
      </c>
      <c r="AC12" s="2886"/>
      <c r="AD12" s="2887">
        <f>ROUND(AVERAGE(I12:I$33)/100,4)</f>
        <v>2.1299999999999999E-2</v>
      </c>
      <c r="AE12" s="2887">
        <f>ROUND(AVERAGE(J12:J$33)/100,4)</f>
        <v>1.4999999999999999E-2</v>
      </c>
      <c r="AF12" s="2887">
        <f t="shared" ref="AF12" si="89">AE12</f>
        <v>1.4999999999999999E-2</v>
      </c>
      <c r="AG12" s="2887">
        <f>ROUND(AVERAGE(K12:K$33)/100,4)</f>
        <v>2.3300000000000001E-2</v>
      </c>
      <c r="AH12" s="2887">
        <f>ROUND(AVERAGE(L12:L$33)/100,4)</f>
        <v>1.46E-2</v>
      </c>
    </row>
    <row r="13" spans="1:34" s="2905" customFormat="1" ht="13.5" thickBot="1">
      <c r="A13" s="2898" t="s">
        <v>2947</v>
      </c>
      <c r="B13" s="2899">
        <f t="shared" si="79"/>
        <v>467.15916775261894</v>
      </c>
      <c r="C13" s="2899">
        <f t="shared" ref="C13" si="90">C14*(1+O13)</f>
        <v>346.01232557169084</v>
      </c>
      <c r="D13" s="2899">
        <f t="shared" ref="D13" si="91">C13</f>
        <v>346.01232557169084</v>
      </c>
      <c r="E13" s="2899">
        <f t="shared" ref="E13" si="92">E14*(1+P13)</f>
        <v>667.41617752122568</v>
      </c>
      <c r="F13" s="2899">
        <f t="shared" ref="F13" si="93">F14*(1+Q13)</f>
        <v>308.20314391798104</v>
      </c>
      <c r="G13" s="2882">
        <v>2019</v>
      </c>
      <c r="H13" s="2900">
        <v>1</v>
      </c>
      <c r="I13" s="2900">
        <v>0.6</v>
      </c>
      <c r="J13" s="2900">
        <v>0.37</v>
      </c>
      <c r="K13" s="2900">
        <v>0.63</v>
      </c>
      <c r="L13" s="2906">
        <v>1.1299999999999999</v>
      </c>
      <c r="M13" s="2886"/>
      <c r="N13" s="2901">
        <f t="shared" ref="N13" si="94">I13/100</f>
        <v>6.0000000000000001E-3</v>
      </c>
      <c r="O13" s="2887">
        <f t="shared" ref="O13" si="95">J13/100</f>
        <v>3.7000000000000002E-3</v>
      </c>
      <c r="P13" s="2887">
        <f t="shared" ref="P13" si="96">K13/100</f>
        <v>6.3E-3</v>
      </c>
      <c r="Q13" s="2887">
        <f t="shared" ref="Q13" si="97">L13/100</f>
        <v>1.1299999999999999E-2</v>
      </c>
      <c r="R13" s="2902"/>
      <c r="S13" s="2903">
        <f>B13/B14-1</f>
        <v>6.0000000000000053E-3</v>
      </c>
      <c r="T13" s="2904">
        <f>C13/C14-1</f>
        <v>3.7000000000000366E-3</v>
      </c>
      <c r="U13" s="2904">
        <f>E13/E14-1</f>
        <v>6.2999999999999723E-3</v>
      </c>
      <c r="V13" s="2904">
        <f>F13/F14-1</f>
        <v>1.1300000000000088E-2</v>
      </c>
      <c r="W13" s="2886"/>
      <c r="X13" s="2886">
        <f>ROUND(IF(项目基本情况!B8="出让",SUMPRODUCT(PRODUCT(1+N13:N$33)),SUMPRODUCT(PRODUCT(1+N13:N$32))),4)</f>
        <v>1.5189999999999999</v>
      </c>
      <c r="Y13" s="2886">
        <f>ROUND(IF(项目基本情况!B8="出让",SUMPRODUCT(PRODUCT(1+O13:O$33)),SUMPRODUCT(PRODUCT(1+O13:O$32))),4)</f>
        <v>1.3423</v>
      </c>
      <c r="Z13" s="2886">
        <f t="shared" ref="Z13" si="98">Y13</f>
        <v>1.3423</v>
      </c>
      <c r="AA13" s="2886">
        <f>ROUND(IF(项目基本情况!B8="出让",SUMPRODUCT(PRODUCT(1+P13:P$33)),SUMPRODUCT(PRODUCT(1+P13:P$32))),4)</f>
        <v>1.5782</v>
      </c>
      <c r="AB13" s="2886">
        <f>ROUND(IF(项目基本情况!B8="出让",SUMPRODUCT(PRODUCT(1+Q13:Q$33)),SUMPRODUCT(PRODUCT(1+Q13:Q$32))),4)</f>
        <v>1.3405</v>
      </c>
      <c r="AC13" s="2886"/>
      <c r="AD13" s="2887">
        <f>ROUND(AVERAGE(I13:I$33)/100,4)</f>
        <v>2.1600000000000001E-2</v>
      </c>
      <c r="AE13" s="2887">
        <f>ROUND(AVERAGE(J13:J$33)/100,4)</f>
        <v>1.5299999999999999E-2</v>
      </c>
      <c r="AF13" s="2887">
        <f t="shared" ref="AF13" si="99">AE13</f>
        <v>1.5299999999999999E-2</v>
      </c>
      <c r="AG13" s="2887">
        <f>ROUND(AVERAGE(K13:K$33)/100,4)</f>
        <v>2.3699999999999999E-2</v>
      </c>
      <c r="AH13" s="2887">
        <f>ROUND(AVERAGE(L13:L$33)/100,4)</f>
        <v>1.47E-2</v>
      </c>
    </row>
    <row r="14" spans="1:34" s="2905" customFormat="1">
      <c r="A14" s="2898" t="s">
        <v>2944</v>
      </c>
      <c r="B14" s="2909">
        <f t="shared" si="79"/>
        <v>464.37293017158942</v>
      </c>
      <c r="C14" s="2909">
        <f t="shared" ref="C14" si="100">C15*(1+O14)</f>
        <v>344.73679941385956</v>
      </c>
      <c r="D14" s="2909">
        <f t="shared" ref="D14" si="101">C14</f>
        <v>344.73679941385956</v>
      </c>
      <c r="E14" s="2909">
        <f t="shared" ref="E14" si="102">E15*(1+P14)</f>
        <v>663.2377795103107</v>
      </c>
      <c r="F14" s="2910">
        <f t="shared" ref="F14" si="103">F15*(1+Q14)</f>
        <v>304.75936311478398</v>
      </c>
      <c r="G14" s="3610">
        <v>2018</v>
      </c>
      <c r="H14" s="2907">
        <v>4</v>
      </c>
      <c r="I14" s="2907">
        <v>0.96</v>
      </c>
      <c r="J14" s="2907">
        <v>1.03</v>
      </c>
      <c r="K14" s="2907">
        <v>0.92</v>
      </c>
      <c r="L14" s="2908">
        <v>1.29</v>
      </c>
      <c r="M14" s="2886"/>
      <c r="N14" s="2901">
        <f t="shared" ref="N14" si="104">I14/100</f>
        <v>9.5999999999999992E-3</v>
      </c>
      <c r="O14" s="2887">
        <f t="shared" ref="O14" si="105">J14/100</f>
        <v>1.03E-2</v>
      </c>
      <c r="P14" s="2887">
        <f t="shared" ref="P14" si="106">K14/100</f>
        <v>9.1999999999999998E-3</v>
      </c>
      <c r="Q14" s="2887">
        <f t="shared" ref="Q14" si="107">L14/100</f>
        <v>1.29E-2</v>
      </c>
      <c r="R14" s="2902"/>
      <c r="S14" s="2911"/>
      <c r="T14" s="2912"/>
      <c r="U14" s="2912"/>
      <c r="V14" s="2912"/>
      <c r="W14" s="2886"/>
      <c r="X14" s="2886">
        <f>ROUND(SUMPRODUCT(PRODUCT(1+N14:N$32)),4)</f>
        <v>1.5099</v>
      </c>
      <c r="Y14" s="2886">
        <f>ROUND(SUMPRODUCT(PRODUCT(1+O14:O$32)),4)</f>
        <v>1.3372999999999999</v>
      </c>
      <c r="Z14" s="2886">
        <f t="shared" ref="Z14" si="108">Y14</f>
        <v>1.3372999999999999</v>
      </c>
      <c r="AA14" s="2886">
        <f>ROUND(SUMPRODUCT(PRODUCT(1+P14:P$32)),4)</f>
        <v>1.5683</v>
      </c>
      <c r="AB14" s="2886">
        <f>ROUND(SUMPRODUCT(PRODUCT(1+Q14:Q$32)),4)</f>
        <v>1.3255999999999999</v>
      </c>
      <c r="AC14" s="2886"/>
      <c r="AD14" s="2887">
        <f>ROUND(AVERAGE(I14:I$33)/100,4)</f>
        <v>2.24E-2</v>
      </c>
      <c r="AE14" s="2887">
        <f>ROUND(AVERAGE(J14:J$33)/100,4)</f>
        <v>1.5800000000000002E-2</v>
      </c>
      <c r="AF14" s="2887">
        <f t="shared" ref="AF14" si="109">AE14</f>
        <v>1.5800000000000002E-2</v>
      </c>
      <c r="AG14" s="2887">
        <f>ROUND(AVERAGE(K14:K$33)/100,4)</f>
        <v>2.4500000000000001E-2</v>
      </c>
      <c r="AH14" s="2887">
        <f>ROUND(AVERAGE(L14:L$33)/100,4)</f>
        <v>1.49E-2</v>
      </c>
    </row>
    <row r="15" spans="1:34" s="2905" customFormat="1" ht="14.45" customHeight="1">
      <c r="A15" s="2898" t="s">
        <v>2937</v>
      </c>
      <c r="B15" s="2899">
        <f t="shared" si="79"/>
        <v>459.95733971036987</v>
      </c>
      <c r="C15" s="2899">
        <f t="shared" ref="C15" si="110">C16*(1+O15)</f>
        <v>341.22221064422405</v>
      </c>
      <c r="D15" s="2899">
        <f t="shared" ref="D15" si="111">C15</f>
        <v>341.22221064422405</v>
      </c>
      <c r="E15" s="2899">
        <f t="shared" ref="E15" si="112">E16*(1+P15)</f>
        <v>657.19161663724799</v>
      </c>
      <c r="F15" s="2899">
        <f t="shared" ref="F15" si="113">F16*(1+Q15)</f>
        <v>300.87803644464805</v>
      </c>
      <c r="G15" s="3610"/>
      <c r="H15" s="2900">
        <v>3</v>
      </c>
      <c r="I15" s="2900">
        <v>1.51</v>
      </c>
      <c r="J15" s="2900">
        <v>1.41</v>
      </c>
      <c r="K15" s="2900">
        <v>1.52</v>
      </c>
      <c r="L15" s="2906">
        <v>1.74</v>
      </c>
      <c r="M15" s="2886"/>
      <c r="N15" s="2901">
        <f t="shared" ref="N15" si="114">I15/100</f>
        <v>1.5100000000000001E-2</v>
      </c>
      <c r="O15" s="2887">
        <f t="shared" ref="O15" si="115">J15/100</f>
        <v>1.41E-2</v>
      </c>
      <c r="P15" s="2887">
        <f t="shared" ref="P15" si="116">K15/100</f>
        <v>1.52E-2</v>
      </c>
      <c r="Q15" s="2887">
        <f t="shared" ref="Q15" si="117">L15/100</f>
        <v>1.7399999999999999E-2</v>
      </c>
      <c r="R15" s="2902"/>
      <c r="S15" s="2901"/>
      <c r="T15" s="2887"/>
      <c r="U15" s="2887"/>
      <c r="V15" s="2887"/>
      <c r="W15" s="2886"/>
      <c r="X15" s="2886">
        <f>ROUND(SUMPRODUCT(PRODUCT(1+N15:N$32)),4)</f>
        <v>1.4956</v>
      </c>
      <c r="Y15" s="2886">
        <f>ROUND(SUMPRODUCT(PRODUCT(1+O15:O$32)),4)</f>
        <v>1.3237000000000001</v>
      </c>
      <c r="Z15" s="2886">
        <f t="shared" ref="Z15" si="118">Y15</f>
        <v>1.3237000000000001</v>
      </c>
      <c r="AA15" s="2886">
        <f>ROUND(SUMPRODUCT(PRODUCT(1+P15:P$32)),4)</f>
        <v>1.554</v>
      </c>
      <c r="AB15" s="2886">
        <f>ROUND(SUMPRODUCT(PRODUCT(1+Q15:Q$32)),4)</f>
        <v>1.3087</v>
      </c>
      <c r="AC15" s="2886"/>
      <c r="AD15" s="2887">
        <f>ROUND(AVERAGE(I15:I$33)/100,4)</f>
        <v>2.3099999999999999E-2</v>
      </c>
      <c r="AE15" s="2887">
        <f>ROUND(AVERAGE(J15:J$33)/100,4)</f>
        <v>1.61E-2</v>
      </c>
      <c r="AF15" s="2887">
        <f t="shared" ref="AF15" si="119">AE15</f>
        <v>1.61E-2</v>
      </c>
      <c r="AG15" s="2887">
        <f>ROUND(AVERAGE(K15:K$33)/100,4)</f>
        <v>2.53E-2</v>
      </c>
      <c r="AH15" s="2887">
        <f>ROUND(AVERAGE(L15:L$33)/100,4)</f>
        <v>1.4999999999999999E-2</v>
      </c>
    </row>
    <row r="16" spans="1:34" s="2905" customFormat="1" ht="14.45" customHeight="1">
      <c r="A16" s="2898" t="s">
        <v>2938</v>
      </c>
      <c r="B16" s="2899">
        <f t="shared" si="79"/>
        <v>453.11529869999993</v>
      </c>
      <c r="C16" s="2899">
        <f t="shared" ref="C16" si="120">C17*(1+O16)</f>
        <v>336.47787264000004</v>
      </c>
      <c r="D16" s="2899">
        <f t="shared" ref="D16" si="121">C16</f>
        <v>336.47787264000004</v>
      </c>
      <c r="E16" s="2899">
        <f t="shared" ref="E16" si="122">E17*(1+P16)</f>
        <v>647.35186823999993</v>
      </c>
      <c r="F16" s="2899">
        <f t="shared" ref="F16" si="123">F17*(1+Q16)</f>
        <v>295.73229452000004</v>
      </c>
      <c r="G16" s="3610"/>
      <c r="H16" s="2913">
        <v>2</v>
      </c>
      <c r="I16" s="2913">
        <v>1.49</v>
      </c>
      <c r="J16" s="2913">
        <v>0.96</v>
      </c>
      <c r="K16" s="2913">
        <v>1.58</v>
      </c>
      <c r="L16" s="2914">
        <v>2.44</v>
      </c>
      <c r="M16" s="2886"/>
      <c r="N16" s="2901">
        <f t="shared" ref="N16" si="124">I16/100</f>
        <v>1.49E-2</v>
      </c>
      <c r="O16" s="2887">
        <f t="shared" ref="O16" si="125">J16/100</f>
        <v>9.5999999999999992E-3</v>
      </c>
      <c r="P16" s="2887">
        <f t="shared" ref="P16" si="126">K16/100</f>
        <v>1.5800000000000002E-2</v>
      </c>
      <c r="Q16" s="2887">
        <f t="shared" ref="Q16" si="127">L16/100</f>
        <v>2.4399999999999998E-2</v>
      </c>
      <c r="R16" s="2902"/>
      <c r="S16" s="2901"/>
      <c r="T16" s="2887"/>
      <c r="U16" s="2887"/>
      <c r="V16" s="2887"/>
      <c r="W16" s="2886"/>
      <c r="X16" s="2886">
        <f>ROUND(SUMPRODUCT(PRODUCT(1+N16:N$32)),4)</f>
        <v>1.4733000000000001</v>
      </c>
      <c r="Y16" s="2886">
        <f>ROUND(SUMPRODUCT(PRODUCT(1+O16:O$32)),4)</f>
        <v>1.3052999999999999</v>
      </c>
      <c r="Z16" s="2886">
        <f t="shared" ref="Z16" si="128">Y16</f>
        <v>1.3052999999999999</v>
      </c>
      <c r="AA16" s="2886">
        <f>ROUND(SUMPRODUCT(PRODUCT(1+P16:P$32)),4)</f>
        <v>1.5306999999999999</v>
      </c>
      <c r="AB16" s="2886">
        <f>ROUND(SUMPRODUCT(PRODUCT(1+Q16:Q$32)),4)</f>
        <v>1.2863</v>
      </c>
      <c r="AC16" s="2886"/>
      <c r="AD16" s="2887">
        <f>ROUND(AVERAGE(I16:I$33)/100,4)</f>
        <v>2.35E-2</v>
      </c>
      <c r="AE16" s="2887">
        <f>ROUND(AVERAGE(J16:J$33)/100,4)</f>
        <v>1.6199999999999999E-2</v>
      </c>
      <c r="AF16" s="2887">
        <f t="shared" ref="AF16" si="129">AE16</f>
        <v>1.6199999999999999E-2</v>
      </c>
      <c r="AG16" s="2887">
        <f>ROUND(AVERAGE(K16:K$33)/100,4)</f>
        <v>2.5899999999999999E-2</v>
      </c>
      <c r="AH16" s="2887">
        <f>ROUND(AVERAGE(L16:L$33)/100,4)</f>
        <v>1.49E-2</v>
      </c>
    </row>
    <row r="17" spans="1:34" s="2905" customFormat="1" ht="15" customHeight="1" thickBot="1">
      <c r="A17" s="2898" t="s">
        <v>2934</v>
      </c>
      <c r="B17" s="2899">
        <f t="shared" si="79"/>
        <v>446.46299999999997</v>
      </c>
      <c r="C17" s="2899">
        <f t="shared" ref="C17" si="130">C18*(1+O17)</f>
        <v>333.27840000000003</v>
      </c>
      <c r="D17" s="2899">
        <f t="shared" ref="D17:D22" si="131">C17</f>
        <v>333.27840000000003</v>
      </c>
      <c r="E17" s="2899">
        <f t="shared" ref="E17" si="132">E18*(1+P17)</f>
        <v>637.28279999999995</v>
      </c>
      <c r="F17" s="2899">
        <f t="shared" ref="F17" si="133">F18*(1+Q17)</f>
        <v>288.68830000000003</v>
      </c>
      <c r="G17" s="3616"/>
      <c r="H17" s="2900">
        <v>1</v>
      </c>
      <c r="I17" s="2900">
        <v>1.7</v>
      </c>
      <c r="J17" s="2900">
        <v>1.92</v>
      </c>
      <c r="K17" s="2900">
        <v>1.64</v>
      </c>
      <c r="L17" s="2906">
        <v>2.0099999999999998</v>
      </c>
      <c r="M17" s="2886"/>
      <c r="N17" s="2901">
        <f t="shared" ref="N17:N22" si="134">I17/100</f>
        <v>1.7000000000000001E-2</v>
      </c>
      <c r="O17" s="2887">
        <f t="shared" ref="O17" si="135">J17/100</f>
        <v>1.9199999999999998E-2</v>
      </c>
      <c r="P17" s="2887">
        <f t="shared" ref="P17" si="136">K17/100</f>
        <v>1.6399999999999998E-2</v>
      </c>
      <c r="Q17" s="2887">
        <f t="shared" ref="Q17" si="137">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ROUND(SUMPRODUCT(PRODUCT(1+N17:N$32)),4)</f>
        <v>1.4517</v>
      </c>
      <c r="Y17" s="2886">
        <f>ROUND(SUMPRODUCT(PRODUCT(1+O17:O$32)),4)</f>
        <v>1.2928999999999999</v>
      </c>
      <c r="Z17" s="2886">
        <f t="shared" ref="Z17" si="138">Y17</f>
        <v>1.2928999999999999</v>
      </c>
      <c r="AA17" s="2886">
        <f>ROUND(SUMPRODUCT(PRODUCT(1+P17:P$32)),4)</f>
        <v>1.5068999999999999</v>
      </c>
      <c r="AB17" s="2886">
        <f>ROUND(SUMPRODUCT(PRODUCT(1+Q17:Q$32)),4)</f>
        <v>1.2557</v>
      </c>
      <c r="AC17" s="2886"/>
      <c r="AD17" s="2887">
        <f>ROUND(AVERAGE(I17:I$33)/100,4)</f>
        <v>2.4E-2</v>
      </c>
      <c r="AE17" s="2887">
        <f>ROUND(AVERAGE(J17:J$33)/100,4)</f>
        <v>1.66E-2</v>
      </c>
      <c r="AF17" s="2887">
        <f t="shared" ref="AF17" si="139">AE17</f>
        <v>1.66E-2</v>
      </c>
      <c r="AG17" s="2887">
        <f>ROUND(AVERAGE(K17:K$33)/100,4)</f>
        <v>2.6499999999999999E-2</v>
      </c>
      <c r="AH17" s="2887">
        <f>ROUND(AVERAGE(L17:L$33)/100,4)</f>
        <v>1.43E-2</v>
      </c>
    </row>
    <row r="18" spans="1:34">
      <c r="A18" s="2898" t="s">
        <v>2926</v>
      </c>
      <c r="B18" s="2915">
        <v>439</v>
      </c>
      <c r="C18" s="2915">
        <v>327</v>
      </c>
      <c r="D18" s="2915">
        <f t="shared" si="131"/>
        <v>327</v>
      </c>
      <c r="E18" s="2915">
        <v>627</v>
      </c>
      <c r="F18" s="2916">
        <v>283</v>
      </c>
      <c r="G18" s="3615">
        <v>2017</v>
      </c>
      <c r="H18" s="2907">
        <v>4</v>
      </c>
      <c r="I18" s="2907">
        <v>1.71</v>
      </c>
      <c r="J18" s="2907">
        <v>1.78</v>
      </c>
      <c r="K18" s="2907">
        <v>1.71</v>
      </c>
      <c r="L18" s="2908">
        <v>1.43</v>
      </c>
      <c r="N18" s="2917">
        <f t="shared" si="134"/>
        <v>1.7100000000000001E-2</v>
      </c>
      <c r="O18" s="2918">
        <f t="shared" ref="O18" si="140">J18/100</f>
        <v>1.78E-2</v>
      </c>
      <c r="P18" s="2918">
        <f t="shared" ref="P18" si="141">K18/100</f>
        <v>1.7100000000000001E-2</v>
      </c>
      <c r="Q18" s="2918">
        <f t="shared" ref="Q18" si="142">L18/100</f>
        <v>1.43E-2</v>
      </c>
      <c r="R18" s="2902"/>
      <c r="S18" s="2911"/>
      <c r="T18" s="2912"/>
      <c r="U18" s="2912"/>
      <c r="V18" s="2912"/>
      <c r="X18" s="2886">
        <f>ROUND(SUMPRODUCT(PRODUCT(1+N18:N$32)),4)</f>
        <v>1.4274</v>
      </c>
      <c r="Y18" s="2886">
        <f>ROUND(SUMPRODUCT(PRODUCT(1+O18:O$32)),4)</f>
        <v>1.2685</v>
      </c>
      <c r="Z18" s="2886">
        <f t="shared" si="0"/>
        <v>1.2685</v>
      </c>
      <c r="AA18" s="2886">
        <f>ROUND(SUMPRODUCT(PRODUCT(1+P18:P$32)),4)</f>
        <v>1.4825999999999999</v>
      </c>
      <c r="AB18" s="2886">
        <f>ROUND(SUMPRODUCT(PRODUCT(1+Q18:Q$32)),4)</f>
        <v>1.2309000000000001</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2929</v>
      </c>
      <c r="B19" s="2899">
        <f t="shared" ref="B19:C21" si="143">B20*(1+N19)</f>
        <v>431.80730811680002</v>
      </c>
      <c r="C19" s="2899">
        <f t="shared" si="143"/>
        <v>320.57880516480003</v>
      </c>
      <c r="D19" s="2899">
        <f t="shared" si="131"/>
        <v>320.57880516480003</v>
      </c>
      <c r="E19" s="2899">
        <f t="shared" ref="E19:F21" si="144">E20*(1+P19)</f>
        <v>615.96110553196797</v>
      </c>
      <c r="F19" s="2899">
        <f t="shared" si="144"/>
        <v>279.46777300108801</v>
      </c>
      <c r="G19" s="3610"/>
      <c r="H19" s="2900">
        <v>3</v>
      </c>
      <c r="I19" s="2900">
        <v>2.98</v>
      </c>
      <c r="J19" s="2900">
        <v>2.11</v>
      </c>
      <c r="K19" s="2900">
        <v>3.24</v>
      </c>
      <c r="L19" s="2906">
        <v>1.72</v>
      </c>
      <c r="M19" s="2886"/>
      <c r="N19" s="2901">
        <f t="shared" si="134"/>
        <v>2.98E-2</v>
      </c>
      <c r="O19" s="2919">
        <f t="shared" ref="O19:O20" si="145">J19/100</f>
        <v>2.1099999999999997E-2</v>
      </c>
      <c r="P19" s="2919">
        <f t="shared" ref="P19:P20" si="146">K19/100</f>
        <v>3.2400000000000005E-2</v>
      </c>
      <c r="Q19" s="2919">
        <f t="shared" ref="Q19:Q20" si="147">L19/100</f>
        <v>1.72E-2</v>
      </c>
      <c r="R19" s="2902"/>
      <c r="S19" s="2901"/>
      <c r="T19" s="2887"/>
      <c r="U19" s="2887"/>
      <c r="V19" s="2887"/>
      <c r="W19" s="2886"/>
      <c r="X19" s="2886">
        <f>ROUND(SUMPRODUCT(PRODUCT(1+N19:N$32)),4)</f>
        <v>1.4034</v>
      </c>
      <c r="Y19" s="2886">
        <f>ROUND(SUMPRODUCT(PRODUCT(1+O19:O$32)),4)</f>
        <v>1.2463</v>
      </c>
      <c r="Z19" s="2886">
        <f t="shared" si="0"/>
        <v>1.2463</v>
      </c>
      <c r="AA19" s="2886">
        <f>ROUND(SUMPRODUCT(PRODUCT(1+P19:P$32)),4)</f>
        <v>1.4577</v>
      </c>
      <c r="AB19" s="2886">
        <f>ROUND(SUMPRODUCT(PRODUCT(1+Q19:Q$32)),4)</f>
        <v>1.2136</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2560</v>
      </c>
      <c r="B20" s="2899">
        <f t="shared" si="143"/>
        <v>419.31181600000002</v>
      </c>
      <c r="C20" s="2899">
        <f t="shared" si="143"/>
        <v>313.95436800000004</v>
      </c>
      <c r="D20" s="2899">
        <f t="shared" si="131"/>
        <v>313.95436800000004</v>
      </c>
      <c r="E20" s="2899">
        <f t="shared" si="144"/>
        <v>596.63028431999999</v>
      </c>
      <c r="F20" s="2899">
        <f t="shared" si="144"/>
        <v>274.74220703999998</v>
      </c>
      <c r="G20" s="3610"/>
      <c r="H20" s="2913">
        <v>2</v>
      </c>
      <c r="I20" s="2913">
        <v>3.4</v>
      </c>
      <c r="J20" s="2913">
        <v>2</v>
      </c>
      <c r="K20" s="2913">
        <v>3.82</v>
      </c>
      <c r="L20" s="2914">
        <v>1.68</v>
      </c>
      <c r="N20" s="2901">
        <f t="shared" si="134"/>
        <v>3.4000000000000002E-2</v>
      </c>
      <c r="O20" s="2919">
        <f t="shared" si="145"/>
        <v>0.02</v>
      </c>
      <c r="P20" s="2919">
        <f t="shared" si="146"/>
        <v>3.8199999999999998E-2</v>
      </c>
      <c r="Q20" s="2919">
        <f t="shared" si="147"/>
        <v>1.6799999999999999E-2</v>
      </c>
      <c r="S20" s="2901"/>
      <c r="T20" s="2887"/>
      <c r="U20" s="2887"/>
      <c r="V20" s="2887"/>
      <c r="X20" s="2886">
        <f>ROUND(SUMPRODUCT(PRODUCT(1+N20:N$32)),4)</f>
        <v>1.3628</v>
      </c>
      <c r="Y20" s="2886">
        <f>ROUND(SUMPRODUCT(PRODUCT(1+O20:O$32)),4)</f>
        <v>1.2205999999999999</v>
      </c>
      <c r="Z20" s="2886">
        <f t="shared" si="0"/>
        <v>1.2205999999999999</v>
      </c>
      <c r="AA20" s="2886">
        <f>ROUND(SUMPRODUCT(PRODUCT(1+P20:P$32)),4)</f>
        <v>1.4118999999999999</v>
      </c>
      <c r="AB20" s="2886">
        <f>ROUND(SUMPRODUCT(PRODUCT(1+Q20:Q$32)),4)</f>
        <v>1.1930000000000001</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2561</v>
      </c>
      <c r="B21" s="2899">
        <f t="shared" si="143"/>
        <v>405.524</v>
      </c>
      <c r="C21" s="2899">
        <f t="shared" si="143"/>
        <v>307.79840000000002</v>
      </c>
      <c r="D21" s="2899">
        <f t="shared" si="131"/>
        <v>307.79840000000002</v>
      </c>
      <c r="E21" s="2899">
        <f t="shared" si="144"/>
        <v>574.67759999999998</v>
      </c>
      <c r="F21" s="2899">
        <f t="shared" si="144"/>
        <v>270.20280000000002</v>
      </c>
      <c r="G21" s="3616"/>
      <c r="H21" s="2900">
        <v>1</v>
      </c>
      <c r="I21" s="2900">
        <v>3.45</v>
      </c>
      <c r="J21" s="2900">
        <v>1.92</v>
      </c>
      <c r="K21" s="2900">
        <v>3.92</v>
      </c>
      <c r="L21" s="2906">
        <v>1.58</v>
      </c>
      <c r="M21" s="2886"/>
      <c r="N21" s="2903">
        <f t="shared" si="134"/>
        <v>3.4500000000000003E-2</v>
      </c>
      <c r="O21" s="2904">
        <f t="shared" ref="O21" si="148">J21/100</f>
        <v>1.9199999999999998E-2</v>
      </c>
      <c r="P21" s="2904">
        <f t="shared" ref="P21" si="149">K21/100</f>
        <v>3.9199999999999999E-2</v>
      </c>
      <c r="Q21" s="2904">
        <f t="shared" ref="Q21" si="150">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ROUND(SUMPRODUCT(PRODUCT(1+N21:N$32)),4)</f>
        <v>1.3180000000000001</v>
      </c>
      <c r="Y21" s="2886">
        <f>ROUND(SUMPRODUCT(PRODUCT(1+O21:O$32)),4)</f>
        <v>1.1966000000000001</v>
      </c>
      <c r="Z21" s="2886">
        <f t="shared" si="0"/>
        <v>1.1966000000000001</v>
      </c>
      <c r="AA21" s="2886">
        <f>ROUND(SUMPRODUCT(PRODUCT(1+P21:P$32)),4)</f>
        <v>1.36</v>
      </c>
      <c r="AB21" s="2886">
        <f>ROUND(SUMPRODUCT(PRODUCT(1+Q21:Q$32)),4)</f>
        <v>1.1733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960</v>
      </c>
      <c r="B22" s="2920">
        <v>392</v>
      </c>
      <c r="C22" s="2920">
        <v>302</v>
      </c>
      <c r="D22" s="2920">
        <f t="shared" si="131"/>
        <v>302</v>
      </c>
      <c r="E22" s="2920">
        <v>553</v>
      </c>
      <c r="F22" s="2921">
        <v>266</v>
      </c>
      <c r="G22" s="3615">
        <v>2016</v>
      </c>
      <c r="H22" s="2907">
        <v>4</v>
      </c>
      <c r="I22" s="2907">
        <v>4.5599999999999996</v>
      </c>
      <c r="J22" s="2907">
        <v>2.15</v>
      </c>
      <c r="K22" s="2907">
        <v>5.32</v>
      </c>
      <c r="L22" s="2908">
        <v>1.57</v>
      </c>
      <c r="N22" s="2901">
        <f t="shared" si="134"/>
        <v>4.5599999999999995E-2</v>
      </c>
      <c r="O22" s="2887">
        <f t="shared" ref="O22:Q37" si="151">J22/100</f>
        <v>2.1499999999999998E-2</v>
      </c>
      <c r="P22" s="2887">
        <f t="shared" si="151"/>
        <v>5.3200000000000004E-2</v>
      </c>
      <c r="Q22" s="2887">
        <f t="shared" si="151"/>
        <v>1.5700000000000002E-2</v>
      </c>
      <c r="R22" s="2902"/>
      <c r="S22" s="2911"/>
      <c r="T22" s="2912"/>
      <c r="U22" s="2912"/>
      <c r="V22" s="2912"/>
      <c r="X22" s="2886">
        <f>ROUND(SUMPRODUCT(PRODUCT(1+N22:N$32)),4)</f>
        <v>1.274</v>
      </c>
      <c r="Y22" s="2886">
        <f>ROUND(SUMPRODUCT(PRODUCT(1+O22:O$32)),4)</f>
        <v>1.1740999999999999</v>
      </c>
      <c r="Z22" s="2886">
        <f t="shared" si="0"/>
        <v>1.1740999999999999</v>
      </c>
      <c r="AA22" s="2886">
        <f>ROUND(SUMPRODUCT(PRODUCT(1+P22:P$32)),4)</f>
        <v>1.3087</v>
      </c>
      <c r="AB22" s="2886">
        <f>ROUND(SUMPRODUCT(PRODUCT(1+Q22:Q$32)),4)</f>
        <v>1.1551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959</v>
      </c>
      <c r="B23" s="2899">
        <f t="shared" ref="B23:C25" si="152">B22/(1+N22)</f>
        <v>374.90436113236416</v>
      </c>
      <c r="C23" s="2899">
        <f t="shared" si="152"/>
        <v>295.64366128242779</v>
      </c>
      <c r="D23" s="2899">
        <f t="shared" ref="D23:D82" si="153">C23</f>
        <v>295.64366128242779</v>
      </c>
      <c r="E23" s="2899">
        <f t="shared" ref="E23:F25" si="154">E22/(1+P22)</f>
        <v>525.06646410938095</v>
      </c>
      <c r="F23" s="2899">
        <f t="shared" si="154"/>
        <v>261.88835286009646</v>
      </c>
      <c r="G23" s="3610"/>
      <c r="H23" s="2900">
        <v>3</v>
      </c>
      <c r="I23" s="2900">
        <v>4.12</v>
      </c>
      <c r="J23" s="2900">
        <v>2</v>
      </c>
      <c r="K23" s="2900">
        <v>4.79</v>
      </c>
      <c r="L23" s="2906">
        <v>1.97</v>
      </c>
      <c r="N23" s="2901">
        <f t="shared" ref="N23:Q57" si="155">I23/100</f>
        <v>4.1200000000000001E-2</v>
      </c>
      <c r="O23" s="2887">
        <f t="shared" si="151"/>
        <v>0.02</v>
      </c>
      <c r="P23" s="2887">
        <f t="shared" si="151"/>
        <v>4.7899999999999998E-2</v>
      </c>
      <c r="Q23" s="2887">
        <f t="shared" si="151"/>
        <v>1.9699999999999999E-2</v>
      </c>
      <c r="R23" s="2902"/>
      <c r="S23" s="2901"/>
      <c r="T23" s="2887"/>
      <c r="U23" s="2887"/>
      <c r="V23" s="2887"/>
      <c r="X23" s="2886">
        <f>ROUND(SUMPRODUCT(PRODUCT(1+N23:N$32)),4)</f>
        <v>1.2184999999999999</v>
      </c>
      <c r="Y23" s="2886">
        <f>ROUND(SUMPRODUCT(PRODUCT(1+O23:O$32)),4)</f>
        <v>1.1494</v>
      </c>
      <c r="Z23" s="2886">
        <f t="shared" si="0"/>
        <v>1.1494</v>
      </c>
      <c r="AA23" s="2886">
        <f>ROUND(SUMPRODUCT(PRODUCT(1+P23:P$32)),4)</f>
        <v>1.2425999999999999</v>
      </c>
      <c r="AB23" s="2886">
        <f>ROUND(SUMPRODUCT(PRODUCT(1+Q23:Q$32)),4)</f>
        <v>1.1372</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949</v>
      </c>
      <c r="B24" s="2899">
        <f t="shared" si="152"/>
        <v>360.06949782209392</v>
      </c>
      <c r="C24" s="2899">
        <f t="shared" si="152"/>
        <v>289.84672674747821</v>
      </c>
      <c r="D24" s="2899">
        <f t="shared" si="153"/>
        <v>289.84672674747821</v>
      </c>
      <c r="E24" s="2899">
        <f t="shared" si="154"/>
        <v>501.06543001181495</v>
      </c>
      <c r="F24" s="2899">
        <f t="shared" si="154"/>
        <v>256.82882500744967</v>
      </c>
      <c r="G24" s="3610"/>
      <c r="H24" s="2913">
        <v>2</v>
      </c>
      <c r="I24" s="2913">
        <v>3.85</v>
      </c>
      <c r="J24" s="2913">
        <v>1.95</v>
      </c>
      <c r="K24" s="2913">
        <v>4.4800000000000004</v>
      </c>
      <c r="L24" s="2914">
        <v>1.41</v>
      </c>
      <c r="N24" s="2901">
        <f t="shared" si="155"/>
        <v>3.85E-2</v>
      </c>
      <c r="O24" s="2887">
        <f t="shared" si="151"/>
        <v>1.95E-2</v>
      </c>
      <c r="P24" s="2887">
        <f t="shared" si="151"/>
        <v>4.4800000000000006E-2</v>
      </c>
      <c r="Q24" s="2887">
        <f t="shared" si="151"/>
        <v>1.41E-2</v>
      </c>
      <c r="R24" s="2902"/>
      <c r="S24" s="2901"/>
      <c r="T24" s="2887"/>
      <c r="U24" s="2887"/>
      <c r="V24" s="2887"/>
      <c r="X24" s="2886">
        <f>ROUND(SUMPRODUCT(PRODUCT(1+N24:N$32)),4)</f>
        <v>1.1702999999999999</v>
      </c>
      <c r="Y24" s="2886">
        <f>ROUND(SUMPRODUCT(PRODUCT(1+O24:O$32)),4)</f>
        <v>1.1269</v>
      </c>
      <c r="Z24" s="2886">
        <f t="shared" si="0"/>
        <v>1.1269</v>
      </c>
      <c r="AA24" s="2886">
        <f>ROUND(SUMPRODUCT(PRODUCT(1+P24:P$32)),4)</f>
        <v>1.1858</v>
      </c>
      <c r="AB24" s="2886">
        <f>ROUND(SUMPRODUCT(PRODUCT(1+Q24:Q$32)),4)</f>
        <v>1.1152</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958</v>
      </c>
      <c r="B25" s="2899">
        <f t="shared" si="152"/>
        <v>346.720748986128</v>
      </c>
      <c r="C25" s="2899">
        <f t="shared" si="152"/>
        <v>284.30282172386285</v>
      </c>
      <c r="D25" s="2899">
        <f t="shared" si="153"/>
        <v>284.30282172386285</v>
      </c>
      <c r="E25" s="2899">
        <f t="shared" si="154"/>
        <v>479.58023546306947</v>
      </c>
      <c r="F25" s="2899">
        <f t="shared" si="154"/>
        <v>253.25788877571213</v>
      </c>
      <c r="G25" s="3611"/>
      <c r="H25" s="2900">
        <v>1</v>
      </c>
      <c r="I25" s="2900">
        <v>4.09</v>
      </c>
      <c r="J25" s="2900">
        <v>2.93</v>
      </c>
      <c r="K25" s="2900">
        <v>4.54</v>
      </c>
      <c r="L25" s="2906">
        <v>1.48</v>
      </c>
      <c r="N25" s="2901">
        <f t="shared" si="155"/>
        <v>4.0899999999999999E-2</v>
      </c>
      <c r="O25" s="2887">
        <f t="shared" si="151"/>
        <v>2.9300000000000003E-2</v>
      </c>
      <c r="P25" s="2887">
        <f t="shared" si="151"/>
        <v>4.5400000000000003E-2</v>
      </c>
      <c r="Q25" s="2887">
        <f t="shared" si="151"/>
        <v>1.4800000000000001E-2</v>
      </c>
      <c r="R25" s="2902"/>
      <c r="S25" s="2903">
        <f>B25/B26-1</f>
        <v>4.1203450408792808E-2</v>
      </c>
      <c r="T25" s="2904">
        <f>C25/C26-1</f>
        <v>2.6363977342465095E-2</v>
      </c>
      <c r="U25" s="2904">
        <f>E25/E26-1</f>
        <v>4.4837114298626357E-2</v>
      </c>
      <c r="V25" s="2904">
        <f>F25/F26-1</f>
        <v>1.7099954922538574E-2</v>
      </c>
      <c r="X25" s="2886">
        <f>ROUND(SUMPRODUCT(PRODUCT(1+N25:N$32)),4)</f>
        <v>1.1269</v>
      </c>
      <c r="Y25" s="2886">
        <f>ROUND(SUMPRODUCT(PRODUCT(1+O25:O$32)),4)</f>
        <v>1.1052999999999999</v>
      </c>
      <c r="Z25" s="2886">
        <f t="shared" si="0"/>
        <v>1.1052999999999999</v>
      </c>
      <c r="AA25" s="2886">
        <f>ROUND(SUMPRODUCT(PRODUCT(1+P25:P$32)),4)</f>
        <v>1.1349</v>
      </c>
      <c r="AB25" s="2886">
        <f>ROUND(SUMPRODUCT(PRODUCT(1+Q25:Q$32)),4)</f>
        <v>1.0996999999999999</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957</v>
      </c>
      <c r="B26" s="2920">
        <v>333</v>
      </c>
      <c r="C26" s="2920">
        <v>277</v>
      </c>
      <c r="D26" s="2920">
        <f t="shared" si="153"/>
        <v>277</v>
      </c>
      <c r="E26" s="2920">
        <v>459</v>
      </c>
      <c r="F26" s="2921">
        <v>249</v>
      </c>
      <c r="G26" s="3609">
        <v>2015</v>
      </c>
      <c r="H26" s="2922">
        <v>4</v>
      </c>
      <c r="I26" s="2922">
        <v>1.63</v>
      </c>
      <c r="J26" s="2922">
        <v>1.1100000000000001</v>
      </c>
      <c r="K26" s="2922">
        <v>1.77</v>
      </c>
      <c r="L26" s="2923">
        <v>1.89</v>
      </c>
      <c r="N26" s="2917">
        <f t="shared" si="155"/>
        <v>1.6299999999999999E-2</v>
      </c>
      <c r="O26" s="2918">
        <f t="shared" si="151"/>
        <v>1.11E-2</v>
      </c>
      <c r="P26" s="2918">
        <f t="shared" si="151"/>
        <v>1.77E-2</v>
      </c>
      <c r="Q26" s="2918">
        <f t="shared" si="151"/>
        <v>1.89E-2</v>
      </c>
      <c r="R26" s="2902"/>
      <c r="X26" s="2886">
        <f>ROUND(SUMPRODUCT(PRODUCT(1+N26:N$32)),4)</f>
        <v>1.0826</v>
      </c>
      <c r="Y26" s="2886">
        <f>ROUND(SUMPRODUCT(PRODUCT(1+O26:O$32)),4)</f>
        <v>1.0738000000000001</v>
      </c>
      <c r="Z26" s="2886">
        <f t="shared" si="0"/>
        <v>1.0738000000000001</v>
      </c>
      <c r="AA26" s="2886">
        <f>ROUND(SUMPRODUCT(PRODUCT(1+P26:P$32)),4)</f>
        <v>1.0855999999999999</v>
      </c>
      <c r="AB26" s="2886">
        <f>ROUND(SUMPRODUCT(PRODUCT(1+Q26:Q$32)),4)</f>
        <v>1.0837000000000001</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956</v>
      </c>
      <c r="B27" s="2899">
        <f t="shared" ref="B27:C29" si="156">B26/(1+N26)</f>
        <v>327.65915576109415</v>
      </c>
      <c r="C27" s="2899">
        <f t="shared" si="156"/>
        <v>273.95905449510434</v>
      </c>
      <c r="D27" s="2899">
        <f t="shared" si="153"/>
        <v>273.95905449510434</v>
      </c>
      <c r="E27" s="2899">
        <f t="shared" ref="E27:F29" si="157">E26/(1+P26)</f>
        <v>451.01699911565294</v>
      </c>
      <c r="F27" s="2899">
        <f t="shared" si="157"/>
        <v>244.38119540681129</v>
      </c>
      <c r="G27" s="3610"/>
      <c r="H27" s="2925">
        <v>3</v>
      </c>
      <c r="I27" s="2925">
        <v>1.65</v>
      </c>
      <c r="J27" s="2925">
        <v>0.92</v>
      </c>
      <c r="K27" s="2925">
        <v>1.88</v>
      </c>
      <c r="L27" s="2926">
        <v>1.26</v>
      </c>
      <c r="N27" s="2901">
        <f t="shared" si="155"/>
        <v>1.6500000000000001E-2</v>
      </c>
      <c r="O27" s="2919">
        <f t="shared" si="151"/>
        <v>9.1999999999999998E-3</v>
      </c>
      <c r="P27" s="2919">
        <f t="shared" si="151"/>
        <v>1.8799999999999997E-2</v>
      </c>
      <c r="Q27" s="2919">
        <f t="shared" si="151"/>
        <v>1.26E-2</v>
      </c>
      <c r="R27" s="2902"/>
      <c r="S27" s="2901"/>
      <c r="T27" s="2887"/>
      <c r="U27" s="2887"/>
      <c r="V27" s="2887"/>
      <c r="X27" s="2886">
        <f>ROUND(SUMPRODUCT(PRODUCT(1+N27:N$32)),4)</f>
        <v>1.0651999999999999</v>
      </c>
      <c r="Y27" s="2886">
        <f>ROUND(SUMPRODUCT(PRODUCT(1+O27:O$32)),4)</f>
        <v>1.0621</v>
      </c>
      <c r="Z27" s="2886">
        <f t="shared" si="0"/>
        <v>1.0621</v>
      </c>
      <c r="AA27" s="2886">
        <f>ROUND(SUMPRODUCT(PRODUCT(1+P27:P$32)),4)</f>
        <v>1.0668</v>
      </c>
      <c r="AB27" s="2886">
        <f>ROUND(SUMPRODUCT(PRODUCT(1+Q27:Q$32)),4)</f>
        <v>1.0636000000000001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955</v>
      </c>
      <c r="B28" s="2899">
        <f t="shared" si="156"/>
        <v>322.34053690220776</v>
      </c>
      <c r="C28" s="2899">
        <f t="shared" si="156"/>
        <v>271.46160770422546</v>
      </c>
      <c r="D28" s="2899">
        <f t="shared" si="153"/>
        <v>271.46160770422546</v>
      </c>
      <c r="E28" s="2899">
        <f t="shared" si="157"/>
        <v>442.69434542172456</v>
      </c>
      <c r="F28" s="2899">
        <f t="shared" si="157"/>
        <v>241.34030753190925</v>
      </c>
      <c r="G28" s="3610"/>
      <c r="H28" s="2913">
        <v>2</v>
      </c>
      <c r="I28" s="2913">
        <v>0.77</v>
      </c>
      <c r="J28" s="2913">
        <v>0.69</v>
      </c>
      <c r="K28" s="2913">
        <v>0.8</v>
      </c>
      <c r="L28" s="2914">
        <v>0.88</v>
      </c>
      <c r="N28" s="2901">
        <f t="shared" si="155"/>
        <v>7.7000000000000002E-3</v>
      </c>
      <c r="O28" s="2919">
        <f t="shared" si="151"/>
        <v>6.8999999999999999E-3</v>
      </c>
      <c r="P28" s="2919">
        <f t="shared" si="151"/>
        <v>8.0000000000000002E-3</v>
      </c>
      <c r="Q28" s="2919">
        <f t="shared" si="151"/>
        <v>8.8000000000000005E-3</v>
      </c>
      <c r="R28" s="2902"/>
      <c r="S28" s="2901"/>
      <c r="T28" s="2887"/>
      <c r="U28" s="2887"/>
      <c r="V28" s="2887"/>
      <c r="X28" s="2886">
        <f>ROUND(SUMPRODUCT(PRODUCT(1+N28:N$32)),4)</f>
        <v>1.048</v>
      </c>
      <c r="Y28" s="2886">
        <f>ROUND(SUMPRODUCT(PRODUCT(1+O28:O$32)),4)</f>
        <v>1.0524</v>
      </c>
      <c r="Z28" s="2886">
        <f t="shared" si="0"/>
        <v>1.0524</v>
      </c>
      <c r="AA28" s="2886">
        <f>ROUND(SUMPRODUCT(PRODUCT(1+P28:P$32)),4)</f>
        <v>1.0470999999999999</v>
      </c>
      <c r="AB28" s="2886">
        <f>ROUND(SUMPRODUCT(PRODUCT(1+Q28:Q$32)),4)</f>
        <v>1.0504</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954</v>
      </c>
      <c r="B29" s="2899">
        <f t="shared" si="156"/>
        <v>319.87748030386797</v>
      </c>
      <c r="C29" s="2899">
        <f t="shared" si="156"/>
        <v>269.60135833173649</v>
      </c>
      <c r="D29" s="2899">
        <f t="shared" si="153"/>
        <v>269.60135833173649</v>
      </c>
      <c r="E29" s="2899">
        <f t="shared" si="157"/>
        <v>439.18089823583784</v>
      </c>
      <c r="F29" s="2899">
        <f t="shared" si="157"/>
        <v>239.23503918706311</v>
      </c>
      <c r="G29" s="3611"/>
      <c r="H29" s="2900">
        <v>1</v>
      </c>
      <c r="I29" s="2900">
        <v>0.51</v>
      </c>
      <c r="J29" s="2900">
        <v>0.54</v>
      </c>
      <c r="K29" s="2900">
        <v>0.48</v>
      </c>
      <c r="L29" s="2906">
        <v>0.93</v>
      </c>
      <c r="N29" s="2903">
        <f t="shared" si="155"/>
        <v>5.1000000000000004E-3</v>
      </c>
      <c r="O29" s="2904">
        <f t="shared" si="151"/>
        <v>5.4000000000000003E-3</v>
      </c>
      <c r="P29" s="2904">
        <f t="shared" si="151"/>
        <v>4.7999999999999996E-3</v>
      </c>
      <c r="Q29" s="2904">
        <f t="shared" si="151"/>
        <v>9.300000000000001E-3</v>
      </c>
      <c r="R29" s="2902"/>
      <c r="S29" s="2903">
        <f>B29/B30-1</f>
        <v>5.9040261127922822E-3</v>
      </c>
      <c r="T29" s="2904">
        <f>C29/C30-1</f>
        <v>5.9752176557332781E-3</v>
      </c>
      <c r="U29" s="2904">
        <f>E29/E30-1</f>
        <v>4.9906138119859556E-3</v>
      </c>
      <c r="V29" s="2904">
        <f>F29/F30-1</f>
        <v>9.4305450930933787E-3</v>
      </c>
      <c r="X29" s="2886">
        <f>ROUND(SUMPRODUCT(PRODUCT(1+N29:N$32)),4)</f>
        <v>1.0399</v>
      </c>
      <c r="Y29" s="2886">
        <f>ROUND(SUMPRODUCT(PRODUCT(1+O29:O$32)),4)</f>
        <v>1.0451999999999999</v>
      </c>
      <c r="Z29" s="2886">
        <f t="shared" si="0"/>
        <v>1.0451999999999999</v>
      </c>
      <c r="AA29" s="2886">
        <f>ROUND(SUMPRODUCT(PRODUCT(1+P29:P$32)),4)</f>
        <v>1.0387999999999999</v>
      </c>
      <c r="AB29" s="2886">
        <f>ROUND(SUMPRODUCT(PRODUCT(1+Q29:Q$32)),4)</f>
        <v>1.0411999999999999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953</v>
      </c>
      <c r="B30" s="2927">
        <v>318</v>
      </c>
      <c r="C30" s="2927">
        <v>268</v>
      </c>
      <c r="D30" s="2927">
        <f t="shared" si="153"/>
        <v>268</v>
      </c>
      <c r="E30" s="2927">
        <v>437</v>
      </c>
      <c r="F30" s="2928">
        <v>237</v>
      </c>
      <c r="G30" s="3609">
        <v>2014</v>
      </c>
      <c r="H30" s="2922">
        <v>4</v>
      </c>
      <c r="I30" s="2922">
        <v>0.21</v>
      </c>
      <c r="J30" s="2922">
        <v>0.41</v>
      </c>
      <c r="K30" s="2922">
        <v>0.12</v>
      </c>
      <c r="L30" s="2923">
        <v>0.89</v>
      </c>
      <c r="N30" s="2901">
        <f t="shared" si="155"/>
        <v>2.0999999999999999E-3</v>
      </c>
      <c r="O30" s="2887">
        <f t="shared" si="151"/>
        <v>4.0999999999999995E-3</v>
      </c>
      <c r="P30" s="2887">
        <f t="shared" si="151"/>
        <v>1.1999999999999999E-3</v>
      </c>
      <c r="Q30" s="2887">
        <f t="shared" si="151"/>
        <v>8.8999999999999999E-3</v>
      </c>
      <c r="R30" s="2902"/>
      <c r="S30" s="2911"/>
      <c r="T30" s="2912"/>
      <c r="U30" s="2912"/>
      <c r="V30" s="2912"/>
      <c r="X30" s="2886">
        <f>ROUND(SUMPRODUCT(PRODUCT(1+N30:N$32)),4)</f>
        <v>1.0347</v>
      </c>
      <c r="Y30" s="2886">
        <f>ROUND(SUMPRODUCT(PRODUCT(1+O30:O$32)),4)</f>
        <v>1.0395000000000001</v>
      </c>
      <c r="Z30" s="2886">
        <f t="shared" si="0"/>
        <v>1.0395000000000001</v>
      </c>
      <c r="AA30" s="2886">
        <f>ROUND(SUMPRODUCT(PRODUCT(1+P30:P$32)),4)</f>
        <v>1.0338000000000001</v>
      </c>
      <c r="AB30" s="2886">
        <f>ROUND(SUMPRODUCT(PRODUCT(1+Q30:Q$32)),4)</f>
        <v>1.0316000000000001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952</v>
      </c>
      <c r="B31" s="2899">
        <f t="shared" ref="B31:C33" si="158">B30/(1+N30)</f>
        <v>317.33359944117353</v>
      </c>
      <c r="C31" s="2899">
        <f t="shared" si="158"/>
        <v>266.90568668459315</v>
      </c>
      <c r="D31" s="2899">
        <f t="shared" si="153"/>
        <v>266.90568668459315</v>
      </c>
      <c r="E31" s="2899">
        <f t="shared" ref="E31:F33" si="159">E30/(1+P30)</f>
        <v>436.47622852576905</v>
      </c>
      <c r="F31" s="2899">
        <f t="shared" si="159"/>
        <v>234.90930716622066</v>
      </c>
      <c r="G31" s="3610"/>
      <c r="H31" s="2929">
        <v>3</v>
      </c>
      <c r="I31" s="2929">
        <v>0.83</v>
      </c>
      <c r="J31" s="2929">
        <v>1.47</v>
      </c>
      <c r="K31" s="2929">
        <v>0.65</v>
      </c>
      <c r="L31" s="2930">
        <v>0.72</v>
      </c>
      <c r="N31" s="2901">
        <f t="shared" si="155"/>
        <v>8.3000000000000001E-3</v>
      </c>
      <c r="O31" s="2887">
        <f t="shared" si="151"/>
        <v>1.47E-2</v>
      </c>
      <c r="P31" s="2887">
        <f t="shared" si="151"/>
        <v>6.5000000000000006E-3</v>
      </c>
      <c r="Q31" s="2887">
        <f t="shared" si="151"/>
        <v>7.1999999999999998E-3</v>
      </c>
      <c r="R31" s="2902"/>
      <c r="S31" s="2901"/>
      <c r="T31" s="2887"/>
      <c r="U31" s="2887"/>
      <c r="V31" s="2887"/>
      <c r="X31" s="2886">
        <f>ROUND(SUMPRODUCT(PRODUCT(1+N31:N$32)),4)</f>
        <v>1.0325</v>
      </c>
      <c r="Y31" s="2886">
        <f>ROUND(SUMPRODUCT(PRODUCT(1+O31:O$32)),4)</f>
        <v>1.0353000000000001</v>
      </c>
      <c r="Z31" s="2886">
        <f t="shared" ref="Z31:Z32" si="160">Y31</f>
        <v>1.0353000000000001</v>
      </c>
      <c r="AA31" s="2886">
        <f>ROUND(SUMPRODUCT(PRODUCT(1+P31:P$32)),4)</f>
        <v>1.0326</v>
      </c>
      <c r="AB31" s="2886">
        <f>ROUND(SUMPRODUCT(PRODUCT(1+Q31:Q$32)),4)</f>
        <v>1.0225</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951</v>
      </c>
      <c r="B32" s="2899">
        <f t="shared" si="158"/>
        <v>314.72141172386546</v>
      </c>
      <c r="C32" s="2899">
        <f t="shared" si="158"/>
        <v>263.03901319069001</v>
      </c>
      <c r="D32" s="2899">
        <f t="shared" si="153"/>
        <v>263.03901319069001</v>
      </c>
      <c r="E32" s="2899">
        <f t="shared" si="159"/>
        <v>433.65745506782821</v>
      </c>
      <c r="F32" s="2899">
        <f t="shared" si="159"/>
        <v>233.23005080045735</v>
      </c>
      <c r="G32" s="3610"/>
      <c r="H32" s="2922">
        <v>2</v>
      </c>
      <c r="I32" s="2922">
        <v>2.4</v>
      </c>
      <c r="J32" s="2922">
        <v>2.0299999999999998</v>
      </c>
      <c r="K32" s="2922">
        <v>2.59</v>
      </c>
      <c r="L32" s="2923">
        <v>1.52</v>
      </c>
      <c r="N32" s="2901">
        <f t="shared" si="155"/>
        <v>2.4E-2</v>
      </c>
      <c r="O32" s="2887">
        <f t="shared" si="151"/>
        <v>2.0299999999999999E-2</v>
      </c>
      <c r="P32" s="2887">
        <f t="shared" si="151"/>
        <v>2.5899999999999999E-2</v>
      </c>
      <c r="Q32" s="2887">
        <f t="shared" si="151"/>
        <v>1.52E-2</v>
      </c>
      <c r="R32" s="2902"/>
      <c r="S32" s="2901"/>
      <c r="T32" s="2887"/>
      <c r="U32" s="2887"/>
      <c r="V32" s="2887"/>
      <c r="X32" s="2886">
        <f>1+N32</f>
        <v>1.024</v>
      </c>
      <c r="Y32" s="2886">
        <f>1+O32</f>
        <v>1.0203</v>
      </c>
      <c r="Z32" s="2886">
        <f t="shared" si="160"/>
        <v>1.0203</v>
      </c>
      <c r="AA32" s="2886">
        <f>1+P32</f>
        <v>1.0259</v>
      </c>
      <c r="AB32" s="2886">
        <f>1+Q32</f>
        <v>1.0152000000000001</v>
      </c>
      <c r="AD32" s="2887">
        <f>ROUND(AVERAGE(I32:I$33)/100,4)</f>
        <v>2.69E-2</v>
      </c>
      <c r="AE32" s="2887">
        <f>ROUND(AVERAGE(J32:J$33)/100,4)</f>
        <v>2.1899999999999999E-2</v>
      </c>
      <c r="AF32" s="2887">
        <f t="shared" ref="AF32" si="161">AE32</f>
        <v>2.1899999999999999E-2</v>
      </c>
      <c r="AG32" s="2887">
        <f>ROUND(AVERAGE(K32:K$33)/100,4)</f>
        <v>2.9399999999999999E-2</v>
      </c>
      <c r="AH32" s="2887">
        <f>ROUND(AVERAGE(L32:L$33)/100,4)</f>
        <v>1.44E-2</v>
      </c>
    </row>
    <row r="33" spans="1:34" s="2935" customFormat="1" ht="13.5" thickBot="1">
      <c r="A33" s="2931" t="s">
        <v>950</v>
      </c>
      <c r="B33" s="2932">
        <f t="shared" si="158"/>
        <v>307.34512863658733</v>
      </c>
      <c r="C33" s="2932">
        <f t="shared" si="158"/>
        <v>257.80556031626975</v>
      </c>
      <c r="D33" s="2932">
        <f t="shared" si="153"/>
        <v>257.80556031626975</v>
      </c>
      <c r="E33" s="2932">
        <f t="shared" si="159"/>
        <v>422.70928459677179</v>
      </c>
      <c r="F33" s="2932">
        <f t="shared" si="159"/>
        <v>229.73803270336617</v>
      </c>
      <c r="G33" s="3611"/>
      <c r="H33" s="2933">
        <v>1</v>
      </c>
      <c r="I33" s="2933">
        <v>2.97</v>
      </c>
      <c r="J33" s="2933">
        <v>2.34</v>
      </c>
      <c r="K33" s="2933">
        <v>3.28</v>
      </c>
      <c r="L33" s="2934">
        <v>1.36</v>
      </c>
      <c r="N33" s="2936">
        <f t="shared" si="155"/>
        <v>2.9700000000000001E-2</v>
      </c>
      <c r="O33" s="2937">
        <f t="shared" si="151"/>
        <v>2.3399999999999997E-2</v>
      </c>
      <c r="P33" s="2937">
        <f t="shared" si="151"/>
        <v>3.2799999999999996E-2</v>
      </c>
      <c r="Q33" s="2937">
        <f t="shared" si="151"/>
        <v>1.3600000000000001E-2</v>
      </c>
      <c r="R33" s="2938"/>
      <c r="S33" s="2939">
        <f>B33/B34-1</f>
        <v>2.7910129219355539E-2</v>
      </c>
      <c r="T33" s="2940">
        <f>C33/C34-1</f>
        <v>2.3037937762975247E-2</v>
      </c>
      <c r="U33" s="2940">
        <f>E33/E34-1</f>
        <v>3.3519033243940788E-2</v>
      </c>
      <c r="V33" s="2940">
        <f>F33/F34-1</f>
        <v>1.2061818076502862E-2</v>
      </c>
      <c r="W33" s="2941" t="s">
        <v>2619</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2562</v>
      </c>
      <c r="B34" s="2920">
        <v>299</v>
      </c>
      <c r="C34" s="2920">
        <v>252</v>
      </c>
      <c r="D34" s="2920">
        <f t="shared" si="153"/>
        <v>252</v>
      </c>
      <c r="E34" s="2920">
        <v>409</v>
      </c>
      <c r="F34" s="2921">
        <v>227</v>
      </c>
      <c r="G34" s="3612">
        <v>2013</v>
      </c>
      <c r="H34" s="2943">
        <v>4</v>
      </c>
      <c r="I34" s="2943">
        <v>1.83</v>
      </c>
      <c r="J34" s="2943">
        <v>1.68</v>
      </c>
      <c r="K34" s="2943">
        <v>1.97</v>
      </c>
      <c r="L34" s="2944">
        <v>0.87</v>
      </c>
      <c r="N34" s="2917">
        <f t="shared" si="155"/>
        <v>1.83E-2</v>
      </c>
      <c r="O34" s="2918">
        <f t="shared" si="151"/>
        <v>1.6799999999999999E-2</v>
      </c>
      <c r="P34" s="2918">
        <f t="shared" si="151"/>
        <v>1.9699999999999999E-2</v>
      </c>
      <c r="Q34" s="2918">
        <f t="shared" si="151"/>
        <v>8.6999999999999994E-3</v>
      </c>
      <c r="R34" s="2902"/>
      <c r="S34" s="2911"/>
      <c r="T34" s="2912"/>
      <c r="U34" s="2912"/>
      <c r="V34" s="2912"/>
      <c r="X34" s="2912"/>
      <c r="Y34" s="2912"/>
      <c r="Z34" s="2912"/>
    </row>
    <row r="35" spans="1:34">
      <c r="A35" s="2898" t="s">
        <v>2563</v>
      </c>
      <c r="B35" s="2899">
        <f t="shared" ref="B35:C37" si="162">B34/(1+N34)</f>
        <v>293.62663262299913</v>
      </c>
      <c r="C35" s="2899">
        <f t="shared" si="162"/>
        <v>247.83634933123525</v>
      </c>
      <c r="D35" s="2899">
        <f t="shared" si="153"/>
        <v>247.83634933123525</v>
      </c>
      <c r="E35" s="2899">
        <f t="shared" ref="E35:F37" si="163">E34/(1+P34)</f>
        <v>401.09836226341076</v>
      </c>
      <c r="F35" s="2899">
        <f t="shared" si="163"/>
        <v>225.04213343908003</v>
      </c>
      <c r="G35" s="3613"/>
      <c r="H35" s="2925">
        <v>3</v>
      </c>
      <c r="I35" s="2925">
        <v>1.86</v>
      </c>
      <c r="J35" s="2925">
        <v>1.72</v>
      </c>
      <c r="K35" s="2925">
        <v>1.98</v>
      </c>
      <c r="L35" s="2926">
        <v>0.88</v>
      </c>
      <c r="N35" s="2901">
        <f t="shared" si="155"/>
        <v>1.8600000000000002E-2</v>
      </c>
      <c r="O35" s="2919">
        <f t="shared" si="151"/>
        <v>1.72E-2</v>
      </c>
      <c r="P35" s="2919">
        <f t="shared" si="151"/>
        <v>1.9799999999999998E-2</v>
      </c>
      <c r="Q35" s="2919">
        <f t="shared" si="151"/>
        <v>8.8000000000000005E-3</v>
      </c>
      <c r="R35" s="2902"/>
      <c r="S35" s="2901"/>
      <c r="T35" s="2887"/>
      <c r="U35" s="2887"/>
      <c r="V35" s="2887"/>
    </row>
    <row r="36" spans="1:34">
      <c r="A36" s="2898" t="s">
        <v>2564</v>
      </c>
      <c r="B36" s="2899">
        <f t="shared" si="162"/>
        <v>288.2649053828776</v>
      </c>
      <c r="C36" s="2899">
        <f t="shared" si="162"/>
        <v>243.64564425013293</v>
      </c>
      <c r="D36" s="2899">
        <f t="shared" si="153"/>
        <v>243.64564425013293</v>
      </c>
      <c r="E36" s="2899">
        <f t="shared" si="163"/>
        <v>393.31080825986544</v>
      </c>
      <c r="F36" s="2899">
        <f t="shared" si="163"/>
        <v>223.07903790551154</v>
      </c>
      <c r="G36" s="3613"/>
      <c r="H36" s="2913">
        <v>2</v>
      </c>
      <c r="I36" s="2913">
        <v>2.04</v>
      </c>
      <c r="J36" s="2913">
        <v>2.33</v>
      </c>
      <c r="K36" s="2913">
        <v>2.0699999999999998</v>
      </c>
      <c r="L36" s="2914">
        <v>0.69</v>
      </c>
      <c r="N36" s="2901">
        <f t="shared" si="155"/>
        <v>2.0400000000000001E-2</v>
      </c>
      <c r="O36" s="2919">
        <f t="shared" si="151"/>
        <v>2.3300000000000001E-2</v>
      </c>
      <c r="P36" s="2919">
        <f t="shared" si="151"/>
        <v>2.07E-2</v>
      </c>
      <c r="Q36" s="2919">
        <f t="shared" si="151"/>
        <v>6.8999999999999999E-3</v>
      </c>
      <c r="R36" s="2902"/>
      <c r="S36" s="2901"/>
      <c r="T36" s="2887"/>
      <c r="U36" s="2887"/>
      <c r="V36" s="2887"/>
      <c r="X36" s="2945"/>
      <c r="Y36" s="2946"/>
    </row>
    <row r="37" spans="1:34">
      <c r="A37" s="2898" t="s">
        <v>2565</v>
      </c>
      <c r="B37" s="2899">
        <f t="shared" si="162"/>
        <v>282.50186729015837</v>
      </c>
      <c r="C37" s="2899">
        <f t="shared" si="162"/>
        <v>238.09796174155468</v>
      </c>
      <c r="D37" s="2899">
        <f t="shared" si="153"/>
        <v>238.09796174155468</v>
      </c>
      <c r="E37" s="2899">
        <f t="shared" si="163"/>
        <v>385.33438646014054</v>
      </c>
      <c r="F37" s="2899">
        <f t="shared" si="163"/>
        <v>221.55034055567739</v>
      </c>
      <c r="G37" s="3614"/>
      <c r="H37" s="2900">
        <v>1</v>
      </c>
      <c r="I37" s="2900">
        <v>1.67</v>
      </c>
      <c r="J37" s="2900">
        <v>1.31</v>
      </c>
      <c r="K37" s="2900">
        <v>1.85</v>
      </c>
      <c r="L37" s="2906">
        <v>0.96</v>
      </c>
      <c r="N37" s="2903">
        <f t="shared" si="155"/>
        <v>1.67E-2</v>
      </c>
      <c r="O37" s="2904">
        <f t="shared" si="151"/>
        <v>1.3100000000000001E-2</v>
      </c>
      <c r="P37" s="2904">
        <f t="shared" si="151"/>
        <v>1.8500000000000003E-2</v>
      </c>
      <c r="Q37" s="2904">
        <f t="shared" si="151"/>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2566</v>
      </c>
      <c r="B38" s="2948">
        <v>278</v>
      </c>
      <c r="C38" s="2948">
        <v>234</v>
      </c>
      <c r="D38" s="2948">
        <f t="shared" si="153"/>
        <v>234</v>
      </c>
      <c r="E38" s="2948">
        <v>379</v>
      </c>
      <c r="F38" s="2949">
        <v>220</v>
      </c>
      <c r="G38" s="3609">
        <v>2012</v>
      </c>
      <c r="H38" s="2922">
        <v>4</v>
      </c>
      <c r="I38" s="2922">
        <v>0.91</v>
      </c>
      <c r="J38" s="2922">
        <v>0.68</v>
      </c>
      <c r="K38" s="2922">
        <v>0.98</v>
      </c>
      <c r="L38" s="2923">
        <v>0.9</v>
      </c>
      <c r="N38" s="2901">
        <f t="shared" si="155"/>
        <v>9.1000000000000004E-3</v>
      </c>
      <c r="O38" s="2887">
        <f t="shared" si="155"/>
        <v>6.8000000000000005E-3</v>
      </c>
      <c r="P38" s="2887">
        <f t="shared" si="155"/>
        <v>9.7999999999999997E-3</v>
      </c>
      <c r="Q38" s="2887">
        <f t="shared" si="155"/>
        <v>9.0000000000000011E-3</v>
      </c>
      <c r="R38" s="2902"/>
      <c r="S38" s="2911"/>
      <c r="T38" s="2912"/>
      <c r="U38" s="2912"/>
      <c r="V38" s="2912"/>
      <c r="X38" s="2912"/>
      <c r="Y38" s="2912"/>
      <c r="Z38" s="2912"/>
    </row>
    <row r="39" spans="1:34">
      <c r="A39" s="2898" t="s">
        <v>2567</v>
      </c>
      <c r="B39" s="2899">
        <f>B38/(1+N38)</f>
        <v>275.49301357645425</v>
      </c>
      <c r="C39" s="2899">
        <f>C38/(1+O38)</f>
        <v>232.41954707985698</v>
      </c>
      <c r="D39" s="2899">
        <f t="shared" si="153"/>
        <v>232.41954707985698</v>
      </c>
      <c r="E39" s="2899">
        <f t="shared" ref="E39:F41" si="164">E38/(1+P38)</f>
        <v>375.32184591008121</v>
      </c>
      <c r="F39" s="2899">
        <f t="shared" si="164"/>
        <v>218.03766105054513</v>
      </c>
      <c r="G39" s="3610"/>
      <c r="H39" s="2925">
        <v>3</v>
      </c>
      <c r="I39" s="2925">
        <v>0.09</v>
      </c>
      <c r="J39" s="2925">
        <v>0.28999999999999998</v>
      </c>
      <c r="K39" s="2925">
        <v>-0.01</v>
      </c>
      <c r="L39" s="2926">
        <v>0.57999999999999996</v>
      </c>
      <c r="N39" s="2901">
        <f t="shared" si="155"/>
        <v>8.9999999999999998E-4</v>
      </c>
      <c r="O39" s="2887">
        <f t="shared" si="155"/>
        <v>2.8999999999999998E-3</v>
      </c>
      <c r="P39" s="2887">
        <f t="shared" si="155"/>
        <v>-1E-4</v>
      </c>
      <c r="Q39" s="2887">
        <f t="shared" si="155"/>
        <v>5.7999999999999996E-3</v>
      </c>
      <c r="R39" s="2902"/>
      <c r="S39" s="2901"/>
      <c r="T39" s="2887"/>
      <c r="U39" s="2887"/>
      <c r="V39" s="2887"/>
    </row>
    <row r="40" spans="1:34">
      <c r="A40" s="2898" t="s">
        <v>2568</v>
      </c>
      <c r="B40" s="2899">
        <f>B39/(1+N39)</f>
        <v>275.24529281292263</v>
      </c>
      <c r="C40" s="2899">
        <f>C39/(1+O39)</f>
        <v>231.74747938962707</v>
      </c>
      <c r="D40" s="2899">
        <f t="shared" si="153"/>
        <v>231.74747938962707</v>
      </c>
      <c r="E40" s="2899">
        <f t="shared" si="164"/>
        <v>375.35938184826603</v>
      </c>
      <c r="F40" s="2899">
        <f t="shared" si="164"/>
        <v>216.78033510692495</v>
      </c>
      <c r="G40" s="3610"/>
      <c r="H40" s="2913">
        <v>2</v>
      </c>
      <c r="I40" s="2913">
        <v>0.02</v>
      </c>
      <c r="J40" s="2913">
        <v>0.12</v>
      </c>
      <c r="K40" s="2913">
        <v>-0.08</v>
      </c>
      <c r="L40" s="2914">
        <v>1.24</v>
      </c>
      <c r="N40" s="2901">
        <f t="shared" si="155"/>
        <v>2.0000000000000001E-4</v>
      </c>
      <c r="O40" s="2887">
        <f t="shared" si="155"/>
        <v>1.1999999999999999E-3</v>
      </c>
      <c r="P40" s="2887">
        <f t="shared" si="155"/>
        <v>-8.0000000000000004E-4</v>
      </c>
      <c r="Q40" s="2887">
        <f t="shared" si="155"/>
        <v>1.24E-2</v>
      </c>
      <c r="R40" s="2902"/>
      <c r="S40" s="2901"/>
      <c r="T40" s="2887"/>
      <c r="U40" s="2887"/>
      <c r="V40" s="2887"/>
    </row>
    <row r="41" spans="1:34" ht="13.5" thickBot="1">
      <c r="A41" s="2898" t="s">
        <v>2569</v>
      </c>
      <c r="B41" s="2899">
        <f>B40/(1+N40)</f>
        <v>275.19025476197027</v>
      </c>
      <c r="C41" s="2950">
        <v>232</v>
      </c>
      <c r="D41" s="2950">
        <f t="shared" si="153"/>
        <v>232</v>
      </c>
      <c r="E41" s="2899">
        <f t="shared" si="164"/>
        <v>375.65990977608692</v>
      </c>
      <c r="F41" s="2899">
        <f t="shared" si="164"/>
        <v>214.12518283971252</v>
      </c>
      <c r="G41" s="3611"/>
      <c r="H41" s="2900">
        <v>1</v>
      </c>
      <c r="I41" s="2900">
        <v>0.02</v>
      </c>
      <c r="J41" s="2900">
        <v>0.13</v>
      </c>
      <c r="K41" s="2900">
        <v>-0.04</v>
      </c>
      <c r="L41" s="2906">
        <v>0.46</v>
      </c>
      <c r="N41" s="2901">
        <f t="shared" si="155"/>
        <v>2.0000000000000001E-4</v>
      </c>
      <c r="O41" s="2887">
        <f t="shared" si="155"/>
        <v>1.2999999999999999E-3</v>
      </c>
      <c r="P41" s="2887">
        <f t="shared" si="155"/>
        <v>-4.0000000000000002E-4</v>
      </c>
      <c r="Q41" s="2887">
        <f t="shared" si="155"/>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2570</v>
      </c>
      <c r="B42" s="2920">
        <v>275</v>
      </c>
      <c r="C42" s="2920">
        <v>232</v>
      </c>
      <c r="D42" s="2920">
        <f t="shared" si="153"/>
        <v>232</v>
      </c>
      <c r="E42" s="2920">
        <v>376</v>
      </c>
      <c r="F42" s="2921">
        <v>213</v>
      </c>
      <c r="G42" s="3609">
        <v>2011</v>
      </c>
      <c r="H42" s="2922">
        <v>4</v>
      </c>
      <c r="I42" s="2922">
        <v>-0.2</v>
      </c>
      <c r="J42" s="2922">
        <v>0.04</v>
      </c>
      <c r="K42" s="2922">
        <v>-0.34</v>
      </c>
      <c r="L42" s="2923">
        <v>0.46</v>
      </c>
      <c r="N42" s="2917">
        <f t="shared" si="155"/>
        <v>-2E-3</v>
      </c>
      <c r="O42" s="2918">
        <f t="shared" si="155"/>
        <v>4.0000000000000002E-4</v>
      </c>
      <c r="P42" s="2918">
        <f t="shared" si="155"/>
        <v>-3.4000000000000002E-3</v>
      </c>
      <c r="Q42" s="2918">
        <f t="shared" si="155"/>
        <v>4.5999999999999999E-3</v>
      </c>
      <c r="R42" s="2902"/>
      <c r="S42" s="2911"/>
      <c r="T42" s="2912"/>
      <c r="U42" s="2912"/>
      <c r="V42" s="2912"/>
      <c r="X42" s="2912"/>
      <c r="Y42" s="2912"/>
      <c r="Z42" s="2912"/>
    </row>
    <row r="43" spans="1:34">
      <c r="A43" s="2898" t="s">
        <v>2571</v>
      </c>
      <c r="B43" s="2899">
        <f t="shared" ref="B43:C45" si="165">B42/(1+N42)</f>
        <v>275.55110220440883</v>
      </c>
      <c r="C43" s="2899">
        <f t="shared" si="165"/>
        <v>231.90723710515795</v>
      </c>
      <c r="D43" s="2899">
        <f t="shared" si="153"/>
        <v>231.90723710515795</v>
      </c>
      <c r="E43" s="2899">
        <f t="shared" ref="E43:F45" si="166">E42/(1+P42)</f>
        <v>377.28276138872161</v>
      </c>
      <c r="F43" s="2899">
        <f t="shared" si="166"/>
        <v>212.02468644236512</v>
      </c>
      <c r="G43" s="3610">
        <v>2011</v>
      </c>
      <c r="H43" s="2925">
        <v>3</v>
      </c>
      <c r="I43" s="2925">
        <v>0.13</v>
      </c>
      <c r="J43" s="2925">
        <v>0.75</v>
      </c>
      <c r="K43" s="2925">
        <v>-0.08</v>
      </c>
      <c r="L43" s="2926">
        <v>0.53</v>
      </c>
      <c r="N43" s="2901">
        <f t="shared" si="155"/>
        <v>1.2999999999999999E-3</v>
      </c>
      <c r="O43" s="2919">
        <f t="shared" si="155"/>
        <v>7.4999999999999997E-3</v>
      </c>
      <c r="P43" s="2919">
        <f t="shared" si="155"/>
        <v>-8.0000000000000004E-4</v>
      </c>
      <c r="Q43" s="2919">
        <f t="shared" si="155"/>
        <v>5.3E-3</v>
      </c>
      <c r="R43" s="2902"/>
      <c r="S43" s="2901"/>
      <c r="T43" s="2887"/>
      <c r="U43" s="2887"/>
      <c r="V43" s="2887"/>
    </row>
    <row r="44" spans="1:34">
      <c r="A44" s="2898" t="s">
        <v>2572</v>
      </c>
      <c r="B44" s="2899">
        <f t="shared" si="165"/>
        <v>275.19335084830601</v>
      </c>
      <c r="C44" s="2899">
        <f t="shared" si="165"/>
        <v>230.18088050139744</v>
      </c>
      <c r="D44" s="2899">
        <f t="shared" si="153"/>
        <v>230.18088050139744</v>
      </c>
      <c r="E44" s="2899">
        <f t="shared" si="166"/>
        <v>377.58482925212331</v>
      </c>
      <c r="F44" s="2899">
        <f t="shared" si="166"/>
        <v>210.90687997847917</v>
      </c>
      <c r="G44" s="3610">
        <v>2011</v>
      </c>
      <c r="H44" s="2913">
        <v>2</v>
      </c>
      <c r="I44" s="2913">
        <v>-0.4</v>
      </c>
      <c r="J44" s="2913">
        <v>0.17</v>
      </c>
      <c r="K44" s="2913">
        <v>-0.57999999999999996</v>
      </c>
      <c r="L44" s="2914">
        <v>-0.2</v>
      </c>
      <c r="N44" s="2901">
        <f t="shared" si="155"/>
        <v>-4.0000000000000001E-3</v>
      </c>
      <c r="O44" s="2919">
        <f t="shared" si="155"/>
        <v>1.7000000000000001E-3</v>
      </c>
      <c r="P44" s="2919">
        <f t="shared" si="155"/>
        <v>-5.7999999999999996E-3</v>
      </c>
      <c r="Q44" s="2919">
        <f t="shared" si="155"/>
        <v>-2E-3</v>
      </c>
      <c r="R44" s="2902"/>
      <c r="S44" s="2901"/>
      <c r="T44" s="2887"/>
      <c r="U44" s="2887"/>
      <c r="V44" s="2887"/>
    </row>
    <row r="45" spans="1:34" ht="13.5" thickBot="1">
      <c r="A45" s="2898" t="s">
        <v>2573</v>
      </c>
      <c r="B45" s="2899">
        <f t="shared" si="165"/>
        <v>276.29854502841971</v>
      </c>
      <c r="C45" s="2899">
        <f t="shared" si="165"/>
        <v>229.79023709833027</v>
      </c>
      <c r="D45" s="2899">
        <f t="shared" si="153"/>
        <v>229.79023709833027</v>
      </c>
      <c r="E45" s="2899">
        <f t="shared" si="166"/>
        <v>379.78759731655936</v>
      </c>
      <c r="F45" s="2899">
        <f t="shared" si="166"/>
        <v>211.32953905659235</v>
      </c>
      <c r="G45" s="3611">
        <v>2011</v>
      </c>
      <c r="H45" s="2900">
        <v>1</v>
      </c>
      <c r="I45" s="2900">
        <v>2.65</v>
      </c>
      <c r="J45" s="2900">
        <v>3.76</v>
      </c>
      <c r="K45" s="2900">
        <v>1.89</v>
      </c>
      <c r="L45" s="2906">
        <v>7.95</v>
      </c>
      <c r="N45" s="2903">
        <f t="shared" si="155"/>
        <v>2.6499999999999999E-2</v>
      </c>
      <c r="O45" s="2904">
        <f t="shared" si="155"/>
        <v>3.7599999999999995E-2</v>
      </c>
      <c r="P45" s="2904">
        <f t="shared" si="155"/>
        <v>1.89E-2</v>
      </c>
      <c r="Q45" s="2904">
        <f t="shared" si="155"/>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2574</v>
      </c>
      <c r="B46" s="2920">
        <v>269</v>
      </c>
      <c r="C46" s="2920">
        <v>221</v>
      </c>
      <c r="D46" s="2920">
        <f t="shared" si="153"/>
        <v>221</v>
      </c>
      <c r="E46" s="2920">
        <v>373</v>
      </c>
      <c r="F46" s="2921">
        <v>196</v>
      </c>
      <c r="G46" s="3609">
        <v>2010</v>
      </c>
      <c r="H46" s="2922">
        <v>4</v>
      </c>
      <c r="I46" s="2922">
        <v>5.72</v>
      </c>
      <c r="J46" s="2922">
        <v>6.57</v>
      </c>
      <c r="K46" s="2922">
        <v>5.72</v>
      </c>
      <c r="L46" s="2923">
        <v>2.72</v>
      </c>
      <c r="N46" s="2901">
        <f t="shared" si="155"/>
        <v>5.7200000000000001E-2</v>
      </c>
      <c r="O46" s="2887">
        <f t="shared" si="155"/>
        <v>6.5700000000000008E-2</v>
      </c>
      <c r="P46" s="2887">
        <f t="shared" si="155"/>
        <v>5.7200000000000001E-2</v>
      </c>
      <c r="Q46" s="2887">
        <f t="shared" si="155"/>
        <v>2.7200000000000002E-2</v>
      </c>
      <c r="R46" s="2902"/>
      <c r="S46" s="2911"/>
      <c r="T46" s="2912"/>
      <c r="U46" s="2912"/>
      <c r="V46" s="2912"/>
      <c r="X46" s="2912"/>
      <c r="Y46" s="2912"/>
      <c r="Z46" s="2912"/>
    </row>
    <row r="47" spans="1:34">
      <c r="A47" s="2898" t="s">
        <v>2575</v>
      </c>
      <c r="B47" s="2899">
        <f t="shared" ref="B47:C49" si="167">B46/(1+N46)</f>
        <v>254.44570563753314</v>
      </c>
      <c r="C47" s="2899">
        <f t="shared" si="167"/>
        <v>207.37543398705074</v>
      </c>
      <c r="D47" s="2899">
        <f t="shared" si="153"/>
        <v>207.37543398705074</v>
      </c>
      <c r="E47" s="2899">
        <f t="shared" ref="E47:F49" si="168">E46/(1+P46)</f>
        <v>352.81876655315932</v>
      </c>
      <c r="F47" s="2899">
        <f t="shared" si="168"/>
        <v>190.809968847352</v>
      </c>
      <c r="G47" s="3610">
        <v>2010</v>
      </c>
      <c r="H47" s="2925">
        <v>3</v>
      </c>
      <c r="I47" s="2925">
        <v>4.7300000000000004</v>
      </c>
      <c r="J47" s="2925">
        <v>3.9</v>
      </c>
      <c r="K47" s="2925">
        <v>5.03</v>
      </c>
      <c r="L47" s="2926">
        <v>4.21</v>
      </c>
      <c r="N47" s="2901">
        <f t="shared" si="155"/>
        <v>4.7300000000000002E-2</v>
      </c>
      <c r="O47" s="2887">
        <f t="shared" si="155"/>
        <v>3.9E-2</v>
      </c>
      <c r="P47" s="2887">
        <f t="shared" si="155"/>
        <v>5.0300000000000004E-2</v>
      </c>
      <c r="Q47" s="2887">
        <f t="shared" si="155"/>
        <v>4.2099999999999999E-2</v>
      </c>
      <c r="R47" s="2902"/>
      <c r="S47" s="2901"/>
      <c r="T47" s="2887"/>
      <c r="U47" s="2887"/>
      <c r="V47" s="2887"/>
    </row>
    <row r="48" spans="1:34">
      <c r="A48" s="2898" t="s">
        <v>2576</v>
      </c>
      <c r="B48" s="2899">
        <f t="shared" si="167"/>
        <v>242.95398227588385</v>
      </c>
      <c r="C48" s="2899">
        <f t="shared" si="167"/>
        <v>199.59137053614126</v>
      </c>
      <c r="D48" s="2899">
        <f t="shared" si="153"/>
        <v>199.59137053614126</v>
      </c>
      <c r="E48" s="2899">
        <f t="shared" si="168"/>
        <v>335.92189522342125</v>
      </c>
      <c r="F48" s="2899">
        <f t="shared" si="168"/>
        <v>183.10139991109489</v>
      </c>
      <c r="G48" s="3610">
        <v>2010</v>
      </c>
      <c r="H48" s="2913">
        <v>2</v>
      </c>
      <c r="I48" s="2913">
        <v>4.6900000000000004</v>
      </c>
      <c r="J48" s="2913">
        <v>3.55</v>
      </c>
      <c r="K48" s="2913">
        <v>5.07</v>
      </c>
      <c r="L48" s="2914">
        <v>4.2300000000000004</v>
      </c>
      <c r="N48" s="2901">
        <f t="shared" si="155"/>
        <v>4.6900000000000004E-2</v>
      </c>
      <c r="O48" s="2887">
        <f t="shared" si="155"/>
        <v>3.5499999999999997E-2</v>
      </c>
      <c r="P48" s="2887">
        <f t="shared" si="155"/>
        <v>5.0700000000000002E-2</v>
      </c>
      <c r="Q48" s="2887">
        <f t="shared" si="155"/>
        <v>4.2300000000000004E-2</v>
      </c>
      <c r="R48" s="2902"/>
      <c r="S48" s="2901"/>
      <c r="T48" s="2887"/>
      <c r="U48" s="2887"/>
      <c r="V48" s="2887"/>
    </row>
    <row r="49" spans="1:26" ht="13.5" thickBot="1">
      <c r="A49" s="2898" t="s">
        <v>2577</v>
      </c>
      <c r="B49" s="2899">
        <f t="shared" si="167"/>
        <v>232.06990378821649</v>
      </c>
      <c r="C49" s="2899">
        <f t="shared" si="167"/>
        <v>192.74878854286936</v>
      </c>
      <c r="D49" s="2899">
        <f t="shared" si="153"/>
        <v>192.74878854286936</v>
      </c>
      <c r="E49" s="2899">
        <f t="shared" si="168"/>
        <v>319.71247284992984</v>
      </c>
      <c r="F49" s="2899">
        <f t="shared" si="168"/>
        <v>175.67053622862409</v>
      </c>
      <c r="G49" s="3611">
        <v>2010</v>
      </c>
      <c r="H49" s="2900">
        <v>1</v>
      </c>
      <c r="I49" s="2900">
        <v>5.4</v>
      </c>
      <c r="J49" s="2900">
        <v>3.2</v>
      </c>
      <c r="K49" s="2900">
        <v>6.16</v>
      </c>
      <c r="L49" s="2906">
        <v>4.51</v>
      </c>
      <c r="N49" s="2901">
        <f t="shared" si="155"/>
        <v>5.4000000000000006E-2</v>
      </c>
      <c r="O49" s="2887">
        <f t="shared" si="155"/>
        <v>3.2000000000000001E-2</v>
      </c>
      <c r="P49" s="2887">
        <f t="shared" si="155"/>
        <v>6.1600000000000002E-2</v>
      </c>
      <c r="Q49" s="2887">
        <f t="shared" si="155"/>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2578</v>
      </c>
      <c r="B50" s="2920">
        <v>220</v>
      </c>
      <c r="C50" s="2920">
        <v>187</v>
      </c>
      <c r="D50" s="2920">
        <f t="shared" si="153"/>
        <v>187</v>
      </c>
      <c r="E50" s="2920">
        <v>301</v>
      </c>
      <c r="F50" s="2921">
        <v>168</v>
      </c>
      <c r="G50" s="3609">
        <v>2009</v>
      </c>
      <c r="H50" s="2922">
        <v>4</v>
      </c>
      <c r="I50" s="2922">
        <v>2.2999999999999998</v>
      </c>
      <c r="J50" s="2922">
        <v>1.04</v>
      </c>
      <c r="K50" s="2922">
        <v>2.84</v>
      </c>
      <c r="L50" s="2923">
        <v>0.67</v>
      </c>
      <c r="N50" s="2917">
        <f t="shared" si="155"/>
        <v>2.3E-2</v>
      </c>
      <c r="O50" s="2918">
        <f t="shared" si="155"/>
        <v>1.04E-2</v>
      </c>
      <c r="P50" s="2918">
        <f t="shared" si="155"/>
        <v>2.8399999999999998E-2</v>
      </c>
      <c r="Q50" s="2918">
        <f t="shared" si="155"/>
        <v>6.7000000000000002E-3</v>
      </c>
      <c r="R50" s="2902"/>
      <c r="S50" s="2911"/>
      <c r="T50" s="2912"/>
      <c r="U50" s="2912"/>
      <c r="V50" s="2912"/>
      <c r="X50" s="2912"/>
      <c r="Y50" s="2912"/>
      <c r="Z50" s="2912"/>
    </row>
    <row r="51" spans="1:26">
      <c r="A51" s="2898" t="s">
        <v>2579</v>
      </c>
      <c r="B51" s="2899">
        <f t="shared" ref="B51:C53" si="169">B50/(1+N50)</f>
        <v>215.05376344086022</v>
      </c>
      <c r="C51" s="2899">
        <f t="shared" si="169"/>
        <v>185.0752177355503</v>
      </c>
      <c r="D51" s="2899">
        <f t="shared" si="153"/>
        <v>185.0752177355503</v>
      </c>
      <c r="E51" s="2899">
        <f t="shared" ref="E51:F53" si="170">E50/(1+P50)</f>
        <v>292.68767016725008</v>
      </c>
      <c r="F51" s="2899">
        <f t="shared" si="170"/>
        <v>166.88189132810174</v>
      </c>
      <c r="G51" s="3610">
        <v>2009</v>
      </c>
      <c r="H51" s="2925">
        <v>3</v>
      </c>
      <c r="I51" s="2925">
        <v>2.1</v>
      </c>
      <c r="J51" s="2925">
        <v>1.86</v>
      </c>
      <c r="K51" s="2925">
        <v>2.29</v>
      </c>
      <c r="L51" s="2926">
        <v>0.85</v>
      </c>
      <c r="N51" s="2901">
        <f t="shared" si="155"/>
        <v>2.1000000000000001E-2</v>
      </c>
      <c r="O51" s="2919">
        <f t="shared" si="155"/>
        <v>1.8600000000000002E-2</v>
      </c>
      <c r="P51" s="2919">
        <f t="shared" si="155"/>
        <v>2.29E-2</v>
      </c>
      <c r="Q51" s="2919">
        <f t="shared" si="155"/>
        <v>8.5000000000000006E-3</v>
      </c>
      <c r="R51" s="2902"/>
      <c r="S51" s="2901"/>
      <c r="T51" s="2887"/>
      <c r="U51" s="2887"/>
      <c r="V51" s="2887"/>
    </row>
    <row r="52" spans="1:26">
      <c r="A52" s="2898" t="s">
        <v>2580</v>
      </c>
      <c r="B52" s="2899">
        <f t="shared" si="169"/>
        <v>210.630522469011</v>
      </c>
      <c r="C52" s="2899">
        <f t="shared" si="169"/>
        <v>181.69567812247232</v>
      </c>
      <c r="D52" s="2899">
        <f t="shared" si="153"/>
        <v>181.69567812247232</v>
      </c>
      <c r="E52" s="2899">
        <f t="shared" si="170"/>
        <v>286.13517466736738</v>
      </c>
      <c r="F52" s="2899">
        <f t="shared" si="170"/>
        <v>165.47535084591149</v>
      </c>
      <c r="G52" s="3610">
        <v>2009</v>
      </c>
      <c r="H52" s="2913">
        <v>2</v>
      </c>
      <c r="I52" s="2913">
        <v>0.86</v>
      </c>
      <c r="J52" s="2913">
        <v>-1.1299999999999999</v>
      </c>
      <c r="K52" s="2913">
        <v>1.79</v>
      </c>
      <c r="L52" s="2914">
        <v>-2.0699999999999998</v>
      </c>
      <c r="N52" s="2901">
        <f t="shared" si="155"/>
        <v>8.6E-3</v>
      </c>
      <c r="O52" s="2919">
        <f t="shared" si="155"/>
        <v>-1.1299999999999999E-2</v>
      </c>
      <c r="P52" s="2919">
        <f t="shared" si="155"/>
        <v>1.7899999999999999E-2</v>
      </c>
      <c r="Q52" s="2919">
        <f t="shared" si="155"/>
        <v>-2.07E-2</v>
      </c>
      <c r="R52" s="2902"/>
      <c r="S52" s="2901"/>
      <c r="T52" s="2887"/>
      <c r="U52" s="2887"/>
      <c r="V52" s="2887"/>
    </row>
    <row r="53" spans="1:26">
      <c r="A53" s="2898" t="s">
        <v>2581</v>
      </c>
      <c r="B53" s="2899">
        <f t="shared" si="169"/>
        <v>208.83454537875372</v>
      </c>
      <c r="C53" s="2899">
        <f t="shared" si="169"/>
        <v>183.77230517090351</v>
      </c>
      <c r="D53" s="2899">
        <f t="shared" si="153"/>
        <v>183.77230517090351</v>
      </c>
      <c r="E53" s="2899">
        <f t="shared" si="170"/>
        <v>281.10342338870947</v>
      </c>
      <c r="F53" s="2899">
        <f t="shared" si="170"/>
        <v>168.97309388942256</v>
      </c>
      <c r="G53" s="3611">
        <v>2009</v>
      </c>
      <c r="H53" s="2900">
        <v>1</v>
      </c>
      <c r="I53" s="2900">
        <v>-2.64</v>
      </c>
      <c r="J53" s="2900">
        <v>-2.5299999999999998</v>
      </c>
      <c r="K53" s="2900">
        <v>-3.02</v>
      </c>
      <c r="L53" s="2906">
        <v>1.52</v>
      </c>
      <c r="N53" s="2903">
        <f t="shared" si="155"/>
        <v>-2.64E-2</v>
      </c>
      <c r="O53" s="2904">
        <f t="shared" si="155"/>
        <v>-2.53E-2</v>
      </c>
      <c r="P53" s="2904">
        <f t="shared" si="155"/>
        <v>-3.0200000000000001E-2</v>
      </c>
      <c r="Q53" s="2904">
        <f t="shared" si="155"/>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2582</v>
      </c>
      <c r="B54" s="2948">
        <v>214</v>
      </c>
      <c r="C54" s="2948">
        <v>188</v>
      </c>
      <c r="D54" s="2948">
        <f t="shared" si="153"/>
        <v>188</v>
      </c>
      <c r="E54" s="2948">
        <v>289</v>
      </c>
      <c r="F54" s="2949">
        <v>166</v>
      </c>
      <c r="G54" s="3609">
        <v>2008</v>
      </c>
      <c r="H54" s="2922">
        <v>4</v>
      </c>
      <c r="I54" s="2922">
        <v>1.73</v>
      </c>
      <c r="J54" s="2922">
        <v>0.03</v>
      </c>
      <c r="K54" s="2922">
        <v>2.59</v>
      </c>
      <c r="L54" s="2923">
        <v>-1.66</v>
      </c>
      <c r="N54" s="2901">
        <f t="shared" si="155"/>
        <v>1.7299999999999999E-2</v>
      </c>
      <c r="O54" s="2887">
        <f t="shared" si="155"/>
        <v>2.9999999999999997E-4</v>
      </c>
      <c r="P54" s="2887">
        <f t="shared" si="155"/>
        <v>2.5899999999999999E-2</v>
      </c>
      <c r="Q54" s="2887">
        <f t="shared" si="155"/>
        <v>-1.66E-2</v>
      </c>
      <c r="R54" s="2902"/>
      <c r="S54" s="2911"/>
      <c r="T54" s="2912"/>
      <c r="U54" s="2912"/>
      <c r="V54" s="2912"/>
      <c r="X54" s="2912"/>
      <c r="Y54" s="2912"/>
      <c r="Z54" s="2912"/>
    </row>
    <row r="55" spans="1:26">
      <c r="A55" s="2898" t="s">
        <v>2583</v>
      </c>
      <c r="B55" s="2899">
        <f t="shared" ref="B55:C57" si="171">B54/(1+N54)</f>
        <v>210.36075887152265</v>
      </c>
      <c r="C55" s="2899">
        <f t="shared" si="171"/>
        <v>187.94361691492554</v>
      </c>
      <c r="D55" s="2899">
        <f t="shared" si="153"/>
        <v>187.94361691492554</v>
      </c>
      <c r="E55" s="2899">
        <f t="shared" ref="E55:F57" si="172">E54/(1+P54)</f>
        <v>281.70386977288234</v>
      </c>
      <c r="F55" s="2899">
        <f t="shared" si="172"/>
        <v>168.80211511083994</v>
      </c>
      <c r="G55" s="3610">
        <v>2008</v>
      </c>
      <c r="H55" s="2925">
        <v>3</v>
      </c>
      <c r="I55" s="2925">
        <v>1.96</v>
      </c>
      <c r="J55" s="2925">
        <v>2.36</v>
      </c>
      <c r="K55" s="2925">
        <v>1.82</v>
      </c>
      <c r="L55" s="2926">
        <v>2.2200000000000002</v>
      </c>
      <c r="N55" s="2901">
        <f t="shared" si="155"/>
        <v>1.9599999999999999E-2</v>
      </c>
      <c r="O55" s="2887">
        <f t="shared" si="155"/>
        <v>2.3599999999999999E-2</v>
      </c>
      <c r="P55" s="2887">
        <f t="shared" si="155"/>
        <v>1.8200000000000001E-2</v>
      </c>
      <c r="Q55" s="2887">
        <f t="shared" si="155"/>
        <v>2.2200000000000001E-2</v>
      </c>
      <c r="R55" s="2902"/>
      <c r="S55" s="2901"/>
      <c r="T55" s="2887"/>
      <c r="U55" s="2887"/>
      <c r="V55" s="2887"/>
    </row>
    <row r="56" spans="1:26">
      <c r="A56" s="2898" t="s">
        <v>2584</v>
      </c>
      <c r="B56" s="2899">
        <f t="shared" si="171"/>
        <v>206.31694671589116</v>
      </c>
      <c r="C56" s="2899">
        <f t="shared" si="171"/>
        <v>183.61041121036101</v>
      </c>
      <c r="D56" s="2899">
        <f t="shared" si="153"/>
        <v>183.61041121036101</v>
      </c>
      <c r="E56" s="2899">
        <f t="shared" si="172"/>
        <v>276.66850301795557</v>
      </c>
      <c r="F56" s="2899">
        <f t="shared" si="172"/>
        <v>165.1360938278614</v>
      </c>
      <c r="G56" s="3610">
        <v>2008</v>
      </c>
      <c r="H56" s="2913">
        <v>2</v>
      </c>
      <c r="I56" s="2913">
        <v>4.93</v>
      </c>
      <c r="J56" s="2913">
        <v>7.38</v>
      </c>
      <c r="K56" s="2913">
        <v>3.98</v>
      </c>
      <c r="L56" s="2914">
        <v>6.86</v>
      </c>
      <c r="N56" s="2901">
        <f t="shared" si="155"/>
        <v>4.9299999999999997E-2</v>
      </c>
      <c r="O56" s="2887">
        <f t="shared" si="155"/>
        <v>7.3800000000000004E-2</v>
      </c>
      <c r="P56" s="2887">
        <f t="shared" si="155"/>
        <v>3.9800000000000002E-2</v>
      </c>
      <c r="Q56" s="2887">
        <f t="shared" si="155"/>
        <v>6.8600000000000008E-2</v>
      </c>
      <c r="R56" s="2902"/>
      <c r="S56" s="2901"/>
      <c r="T56" s="2887"/>
      <c r="U56" s="2887"/>
      <c r="V56" s="2887"/>
    </row>
    <row r="57" spans="1:26" s="2954" customFormat="1" ht="13.5" thickBot="1">
      <c r="A57" s="2898" t="s">
        <v>2585</v>
      </c>
      <c r="B57" s="2951">
        <f t="shared" si="171"/>
        <v>196.62341248059772</v>
      </c>
      <c r="C57" s="2951">
        <f t="shared" si="171"/>
        <v>170.99125648199012</v>
      </c>
      <c r="D57" s="2951">
        <f t="shared" si="153"/>
        <v>170.99125648199012</v>
      </c>
      <c r="E57" s="2951">
        <f t="shared" si="172"/>
        <v>266.07857570490052</v>
      </c>
      <c r="F57" s="2951">
        <f t="shared" si="172"/>
        <v>154.53499328828505</v>
      </c>
      <c r="G57" s="3611">
        <v>2008</v>
      </c>
      <c r="H57" s="2952">
        <v>1</v>
      </c>
      <c r="I57" s="2952">
        <v>4.1399999999999997</v>
      </c>
      <c r="J57" s="2952">
        <v>3.45</v>
      </c>
      <c r="K57" s="2952">
        <v>4.95</v>
      </c>
      <c r="L57" s="2953">
        <v>4.82</v>
      </c>
      <c r="N57" s="2955">
        <f t="shared" si="155"/>
        <v>4.1399999999999999E-2</v>
      </c>
      <c r="O57" s="2956">
        <f t="shared" si="155"/>
        <v>3.4500000000000003E-2</v>
      </c>
      <c r="P57" s="2956">
        <f t="shared" si="155"/>
        <v>4.9500000000000002E-2</v>
      </c>
      <c r="Q57" s="2956">
        <f t="shared" si="155"/>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2586</v>
      </c>
      <c r="B58" s="2920">
        <v>188</v>
      </c>
      <c r="C58" s="2920">
        <v>165</v>
      </c>
      <c r="D58" s="2920">
        <f t="shared" si="153"/>
        <v>165</v>
      </c>
      <c r="E58" s="2920">
        <v>254</v>
      </c>
      <c r="F58" s="2921">
        <v>148</v>
      </c>
      <c r="G58" s="3609">
        <v>2007</v>
      </c>
      <c r="H58" s="2958">
        <v>4</v>
      </c>
      <c r="I58" s="2958">
        <v>5.51</v>
      </c>
      <c r="J58" s="2958">
        <v>4.8899999999999997</v>
      </c>
      <c r="K58" s="2958">
        <v>6.43</v>
      </c>
      <c r="L58" s="2959">
        <v>5.36</v>
      </c>
      <c r="N58" s="2960">
        <f t="shared" ref="N58:O61" si="173">B58/B59-1</f>
        <v>4.1339718365245526E-2</v>
      </c>
      <c r="O58" s="2961">
        <f t="shared" si="173"/>
        <v>4.0324492593776018E-2</v>
      </c>
      <c r="P58" s="2961">
        <f t="shared" ref="P58:Q61" si="174">E58/E59-1</f>
        <v>6.1625555347990968E-2</v>
      </c>
      <c r="Q58" s="2961">
        <f t="shared" si="174"/>
        <v>4.6757569250590603E-2</v>
      </c>
      <c r="R58" s="2902"/>
      <c r="S58" s="2911"/>
      <c r="T58" s="2912"/>
      <c r="U58" s="2912"/>
      <c r="V58" s="2912"/>
      <c r="X58" s="2912"/>
      <c r="Y58" s="2912"/>
      <c r="Z58" s="2912"/>
    </row>
    <row r="59" spans="1:26">
      <c r="A59" s="2898" t="s">
        <v>2587</v>
      </c>
      <c r="B59" s="2899">
        <f t="shared" ref="B59:C61" si="175">B60+(B$58-B$62)*I59/SUM(I$58:I$61)</f>
        <v>180.5366651097618</v>
      </c>
      <c r="C59" s="2899">
        <f t="shared" si="175"/>
        <v>158.60435967302453</v>
      </c>
      <c r="D59" s="2899">
        <f t="shared" si="153"/>
        <v>158.60435967302453</v>
      </c>
      <c r="E59" s="2899">
        <f t="shared" ref="E59:F61" si="176">E60+(E$58-E$62)*K59/SUM(K$58:K$61)</f>
        <v>239.25573260785075</v>
      </c>
      <c r="F59" s="2899">
        <f t="shared" si="176"/>
        <v>141.38899430740037</v>
      </c>
      <c r="G59" s="3610">
        <v>2007</v>
      </c>
      <c r="H59" s="2925">
        <v>3</v>
      </c>
      <c r="I59" s="2925">
        <v>8.65</v>
      </c>
      <c r="J59" s="2925">
        <v>8.06</v>
      </c>
      <c r="K59" s="2925">
        <v>9.94</v>
      </c>
      <c r="L59" s="2926">
        <v>5.8</v>
      </c>
      <c r="N59" s="2960">
        <f t="shared" si="173"/>
        <v>6.940217571740015E-2</v>
      </c>
      <c r="O59" s="2961">
        <f t="shared" si="173"/>
        <v>7.1197482471153428E-2</v>
      </c>
      <c r="P59" s="2961">
        <f t="shared" si="174"/>
        <v>0.10529679922579582</v>
      </c>
      <c r="Q59" s="2961">
        <f t="shared" si="174"/>
        <v>5.3292245059512133E-2</v>
      </c>
      <c r="R59" s="2902"/>
      <c r="S59" s="2901"/>
      <c r="T59" s="2887"/>
      <c r="U59" s="2887"/>
      <c r="V59" s="2887"/>
      <c r="X59" s="2962"/>
      <c r="Y59" s="2962"/>
      <c r="Z59" s="2962"/>
    </row>
    <row r="60" spans="1:26">
      <c r="A60" s="2898" t="s">
        <v>2588</v>
      </c>
      <c r="B60" s="2899">
        <f t="shared" si="175"/>
        <v>168.82017748715555</v>
      </c>
      <c r="C60" s="2899">
        <f t="shared" si="175"/>
        <v>148.06267029972753</v>
      </c>
      <c r="D60" s="2899">
        <f t="shared" si="153"/>
        <v>148.06267029972753</v>
      </c>
      <c r="E60" s="2899">
        <f t="shared" si="176"/>
        <v>216.46288379323747</v>
      </c>
      <c r="F60" s="2899">
        <f t="shared" si="176"/>
        <v>134.23529411764704</v>
      </c>
      <c r="G60" s="3610">
        <v>2007</v>
      </c>
      <c r="H60" s="2913">
        <v>2</v>
      </c>
      <c r="I60" s="2913">
        <v>3.67</v>
      </c>
      <c r="J60" s="2913">
        <v>2.3199999999999998</v>
      </c>
      <c r="K60" s="2913">
        <v>5.0199999999999996</v>
      </c>
      <c r="L60" s="2914">
        <v>6.71</v>
      </c>
      <c r="N60" s="2960">
        <f t="shared" si="173"/>
        <v>3.0339138143848032E-2</v>
      </c>
      <c r="O60" s="2961">
        <f t="shared" si="173"/>
        <v>2.0922341588790472E-2</v>
      </c>
      <c r="P60" s="2961">
        <f t="shared" si="174"/>
        <v>5.6164796592717003E-2</v>
      </c>
      <c r="Q60" s="2961">
        <f t="shared" si="174"/>
        <v>6.5704536723887319E-2</v>
      </c>
      <c r="R60" s="2902"/>
      <c r="S60" s="2901"/>
      <c r="T60" s="2887"/>
      <c r="U60" s="2887"/>
      <c r="V60" s="2887"/>
      <c r="X60" s="2962"/>
      <c r="Y60" s="2962"/>
      <c r="Z60" s="2962"/>
    </row>
    <row r="61" spans="1:26">
      <c r="A61" s="2898" t="s">
        <v>2589</v>
      </c>
      <c r="B61" s="2899">
        <f t="shared" si="175"/>
        <v>163.84913591779542</v>
      </c>
      <c r="C61" s="2899">
        <f t="shared" si="175"/>
        <v>145.0283378746594</v>
      </c>
      <c r="D61" s="2899">
        <f t="shared" si="153"/>
        <v>145.0283378746594</v>
      </c>
      <c r="E61" s="2899">
        <f t="shared" si="176"/>
        <v>204.95180722891567</v>
      </c>
      <c r="F61" s="2899">
        <f t="shared" si="176"/>
        <v>125.95920303605313</v>
      </c>
      <c r="G61" s="3611">
        <v>2007</v>
      </c>
      <c r="H61" s="2900">
        <v>1</v>
      </c>
      <c r="I61" s="2900">
        <v>3.58</v>
      </c>
      <c r="J61" s="2900">
        <v>3.08</v>
      </c>
      <c r="K61" s="2900">
        <v>4.34</v>
      </c>
      <c r="L61" s="2906">
        <v>3.21</v>
      </c>
      <c r="N61" s="2963">
        <f t="shared" si="173"/>
        <v>3.0497710174814063E-2</v>
      </c>
      <c r="O61" s="2964">
        <f t="shared" si="173"/>
        <v>2.8569772160704998E-2</v>
      </c>
      <c r="P61" s="2964">
        <f t="shared" si="174"/>
        <v>5.1034908866234296E-2</v>
      </c>
      <c r="Q61" s="2964">
        <f t="shared" si="174"/>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2590</v>
      </c>
      <c r="B62" s="2927">
        <v>159</v>
      </c>
      <c r="C62" s="2927">
        <v>141</v>
      </c>
      <c r="D62" s="2927">
        <f t="shared" si="153"/>
        <v>141</v>
      </c>
      <c r="E62" s="2927">
        <v>195</v>
      </c>
      <c r="F62" s="2928">
        <v>122</v>
      </c>
      <c r="G62" s="3609">
        <v>2006</v>
      </c>
      <c r="H62" s="2922">
        <v>4</v>
      </c>
      <c r="I62" s="2922">
        <v>3.79</v>
      </c>
      <c r="J62" s="2922">
        <v>2.21</v>
      </c>
      <c r="K62" s="2922">
        <v>5.65</v>
      </c>
      <c r="L62" s="2923">
        <v>5.41</v>
      </c>
      <c r="N62" s="2960">
        <f t="shared" ref="N62:O65" si="177">I62/SUM(I$62:I$65)*(B$62/B$66-1)</f>
        <v>7.245466462748526E-2</v>
      </c>
      <c r="O62" s="2961">
        <f t="shared" si="177"/>
        <v>2.3237230038062766E-2</v>
      </c>
      <c r="P62" s="2961">
        <f t="shared" ref="P62:Q65" si="178">K62/SUM(K$62:K$65)*(E$62/E$66-1)</f>
        <v>0.16146893866323722</v>
      </c>
      <c r="Q62" s="2961">
        <f t="shared" si="178"/>
        <v>5.0755230321793784E-2</v>
      </c>
      <c r="R62" s="2902"/>
      <c r="S62" s="2911"/>
      <c r="T62" s="2912"/>
      <c r="U62" s="2912"/>
      <c r="V62" s="2912"/>
      <c r="X62" s="2962"/>
      <c r="Y62" s="2962"/>
      <c r="Z62" s="2962"/>
    </row>
    <row r="63" spans="1:26">
      <c r="A63" s="2898" t="s">
        <v>2591</v>
      </c>
      <c r="B63" s="2899">
        <f t="shared" ref="B63:C65" si="179">B64+(B$62-B$66)*I63/SUM(I$62:I$65)</f>
        <v>149.00125628140702</v>
      </c>
      <c r="C63" s="2899">
        <f t="shared" si="179"/>
        <v>137.95592286501378</v>
      </c>
      <c r="D63" s="2899">
        <f t="shared" si="153"/>
        <v>137.95592286501378</v>
      </c>
      <c r="E63" s="2899">
        <f t="shared" ref="E63:F65" si="180">E64+(E$62-E$66)*K63/SUM(K$62:K$65)</f>
        <v>169.97231450719823</v>
      </c>
      <c r="F63" s="2899">
        <f t="shared" si="180"/>
        <v>116.21390374331551</v>
      </c>
      <c r="G63" s="3610">
        <v>2006</v>
      </c>
      <c r="H63" s="2925">
        <v>3</v>
      </c>
      <c r="I63" s="2925">
        <v>0.92</v>
      </c>
      <c r="J63" s="2925">
        <v>1.08</v>
      </c>
      <c r="K63" s="2925">
        <v>0.73</v>
      </c>
      <c r="L63" s="2926">
        <v>1.08</v>
      </c>
      <c r="N63" s="2960">
        <f t="shared" si="177"/>
        <v>1.7587939698492462E-2</v>
      </c>
      <c r="O63" s="2961">
        <f t="shared" si="177"/>
        <v>1.1355750425840628E-2</v>
      </c>
      <c r="P63" s="2961">
        <f t="shared" si="178"/>
        <v>2.0862358446754544E-2</v>
      </c>
      <c r="Q63" s="2961">
        <f t="shared" si="178"/>
        <v>1.0132282578103011E-2</v>
      </c>
      <c r="R63" s="2902"/>
      <c r="S63" s="2901"/>
      <c r="T63" s="2887"/>
      <c r="U63" s="2887"/>
      <c r="V63" s="2887"/>
      <c r="X63" s="2962"/>
      <c r="Y63" s="2962"/>
      <c r="Z63" s="2962"/>
    </row>
    <row r="64" spans="1:26">
      <c r="A64" s="2898" t="s">
        <v>2592</v>
      </c>
      <c r="B64" s="2899">
        <f t="shared" si="179"/>
        <v>146.57412060301507</v>
      </c>
      <c r="C64" s="2899">
        <f t="shared" si="179"/>
        <v>136.46831955922866</v>
      </c>
      <c r="D64" s="2899">
        <f t="shared" si="153"/>
        <v>136.46831955922866</v>
      </c>
      <c r="E64" s="2899">
        <f t="shared" si="180"/>
        <v>166.73864894795128</v>
      </c>
      <c r="F64" s="2899">
        <f t="shared" si="180"/>
        <v>115.05882352941177</v>
      </c>
      <c r="G64" s="3610">
        <v>2006</v>
      </c>
      <c r="H64" s="2913">
        <v>2</v>
      </c>
      <c r="I64" s="2913">
        <v>0.96</v>
      </c>
      <c r="J64" s="2913">
        <v>0.25</v>
      </c>
      <c r="K64" s="2913">
        <v>1.9</v>
      </c>
      <c r="L64" s="2914">
        <v>0.95</v>
      </c>
      <c r="N64" s="2960">
        <f t="shared" si="177"/>
        <v>1.8352632728861701E-2</v>
      </c>
      <c r="O64" s="2961">
        <f t="shared" si="177"/>
        <v>2.6286459319075526E-3</v>
      </c>
      <c r="P64" s="2961">
        <f t="shared" si="178"/>
        <v>5.4299289107991269E-2</v>
      </c>
      <c r="Q64" s="2961">
        <f t="shared" si="178"/>
        <v>8.9126559714794995E-3</v>
      </c>
      <c r="R64" s="2902"/>
      <c r="S64" s="2901"/>
      <c r="T64" s="2887"/>
      <c r="U64" s="2887"/>
      <c r="V64" s="2887"/>
      <c r="X64" s="2962"/>
      <c r="Y64" s="2962"/>
      <c r="Z64" s="2962"/>
    </row>
    <row r="65" spans="1:26">
      <c r="A65" s="2898" t="s">
        <v>2593</v>
      </c>
      <c r="B65" s="2899">
        <f t="shared" si="179"/>
        <v>144.04145728643215</v>
      </c>
      <c r="C65" s="2899">
        <f t="shared" si="179"/>
        <v>136.12396694214877</v>
      </c>
      <c r="D65" s="2899">
        <f t="shared" si="153"/>
        <v>136.12396694214877</v>
      </c>
      <c r="E65" s="2899">
        <f t="shared" si="180"/>
        <v>158.32225913621264</v>
      </c>
      <c r="F65" s="2899">
        <f t="shared" si="180"/>
        <v>114.04278074866311</v>
      </c>
      <c r="G65" s="3611">
        <v>2006</v>
      </c>
      <c r="H65" s="2900">
        <v>1</v>
      </c>
      <c r="I65" s="2900">
        <v>2.29</v>
      </c>
      <c r="J65" s="2900">
        <v>3.72</v>
      </c>
      <c r="K65" s="2900">
        <v>0.75</v>
      </c>
      <c r="L65" s="2906">
        <v>0.04</v>
      </c>
      <c r="N65" s="2963">
        <f t="shared" si="177"/>
        <v>4.3778675988638847E-2</v>
      </c>
      <c r="O65" s="2964">
        <f t="shared" si="177"/>
        <v>3.9114251466784385E-2</v>
      </c>
      <c r="P65" s="2964">
        <f t="shared" si="178"/>
        <v>2.1433929911049188E-2</v>
      </c>
      <c r="Q65" s="2964">
        <f t="shared" si="178"/>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2594</v>
      </c>
      <c r="B66" s="2927">
        <v>138</v>
      </c>
      <c r="C66" s="2927">
        <v>131</v>
      </c>
      <c r="D66" s="2927">
        <f t="shared" si="153"/>
        <v>131</v>
      </c>
      <c r="E66" s="2927">
        <v>155</v>
      </c>
      <c r="F66" s="2928">
        <v>114</v>
      </c>
      <c r="G66" s="3609">
        <v>2005</v>
      </c>
      <c r="H66" s="2922">
        <v>4</v>
      </c>
      <c r="I66" s="2922">
        <v>3.29</v>
      </c>
      <c r="J66" s="2922">
        <v>1.44</v>
      </c>
      <c r="K66" s="2922">
        <v>0.66</v>
      </c>
      <c r="L66" s="2923">
        <v>7.78</v>
      </c>
      <c r="N66" s="2960">
        <f t="shared" ref="N66:O69" si="181">I66/SUM(I$66:I$69)*(B$66/B$70-1)</f>
        <v>9.9404603216919935E-2</v>
      </c>
      <c r="O66" s="2961">
        <f t="shared" si="181"/>
        <v>4.7636550760861554E-2</v>
      </c>
      <c r="P66" s="2961">
        <f t="shared" ref="P66:Q69" si="182">K66/SUM(K$66:K$69)*(E$66/E$70-1)</f>
        <v>8.3756345177664976E-2</v>
      </c>
      <c r="Q66" s="2961">
        <f t="shared" si="182"/>
        <v>5.2148766661559584E-2</v>
      </c>
      <c r="R66" s="2902"/>
      <c r="S66" s="2911"/>
      <c r="T66" s="2912"/>
      <c r="U66" s="2912"/>
      <c r="V66" s="2912"/>
      <c r="X66" s="2962"/>
      <c r="Y66" s="2962"/>
      <c r="Z66" s="2962"/>
    </row>
    <row r="67" spans="1:26">
      <c r="A67" s="2898" t="s">
        <v>2595</v>
      </c>
      <c r="B67" s="2899">
        <f t="shared" ref="B67:C69" si="183">B68+(B$66-B$70)*I67/SUM(I$66:I$69)</f>
        <v>125.9720430107527</v>
      </c>
      <c r="C67" s="2899">
        <f t="shared" si="183"/>
        <v>125.1883408071749</v>
      </c>
      <c r="D67" s="2899">
        <f t="shared" si="153"/>
        <v>125.1883408071749</v>
      </c>
      <c r="E67" s="2899">
        <f t="shared" ref="E67:F69" si="184">E68+(E$66-E$70)*K67/SUM(K$66:K$69)</f>
        <v>144.61421319796952</v>
      </c>
      <c r="F67" s="2899">
        <f t="shared" si="184"/>
        <v>108.42008196721311</v>
      </c>
      <c r="G67" s="3610">
        <v>2005</v>
      </c>
      <c r="H67" s="2925">
        <v>3</v>
      </c>
      <c r="I67" s="2925">
        <v>0.46</v>
      </c>
      <c r="J67" s="2925">
        <v>0.32</v>
      </c>
      <c r="K67" s="2925">
        <v>0.42</v>
      </c>
      <c r="L67" s="2926">
        <v>0.64</v>
      </c>
      <c r="N67" s="2960">
        <f t="shared" si="181"/>
        <v>1.3898515951301874E-2</v>
      </c>
      <c r="O67" s="2961">
        <f t="shared" si="181"/>
        <v>1.0585900169080346E-2</v>
      </c>
      <c r="P67" s="2961">
        <f t="shared" si="182"/>
        <v>5.3299492385786795E-2</v>
      </c>
      <c r="Q67" s="2961">
        <f t="shared" si="182"/>
        <v>4.2898728359123568E-3</v>
      </c>
      <c r="R67" s="2902"/>
      <c r="S67" s="2901"/>
      <c r="T67" s="2887"/>
      <c r="U67" s="2887"/>
      <c r="V67" s="2887"/>
      <c r="X67" s="2962"/>
      <c r="Y67" s="2962"/>
      <c r="Z67" s="2962"/>
    </row>
    <row r="68" spans="1:26">
      <c r="A68" s="2898" t="s">
        <v>2596</v>
      </c>
      <c r="B68" s="2899">
        <f t="shared" si="183"/>
        <v>124.29032258064517</v>
      </c>
      <c r="C68" s="2899">
        <f t="shared" si="183"/>
        <v>123.8968609865471</v>
      </c>
      <c r="D68" s="2899">
        <f t="shared" si="153"/>
        <v>123.8968609865471</v>
      </c>
      <c r="E68" s="2899">
        <f t="shared" si="184"/>
        <v>138.00507614213197</v>
      </c>
      <c r="F68" s="2899">
        <f t="shared" si="184"/>
        <v>107.96106557377048</v>
      </c>
      <c r="G68" s="3610">
        <v>2005</v>
      </c>
      <c r="H68" s="2913">
        <v>2</v>
      </c>
      <c r="I68" s="2913">
        <v>0.47</v>
      </c>
      <c r="J68" s="2913">
        <v>0.1</v>
      </c>
      <c r="K68" s="2913">
        <v>0.52</v>
      </c>
      <c r="L68" s="2914">
        <v>0.79</v>
      </c>
      <c r="N68" s="2960">
        <f t="shared" si="181"/>
        <v>1.420065760241713E-2</v>
      </c>
      <c r="O68" s="2961">
        <f t="shared" si="181"/>
        <v>3.3080938028376083E-3</v>
      </c>
      <c r="P68" s="2961">
        <f t="shared" si="182"/>
        <v>6.598984771573603E-2</v>
      </c>
      <c r="Q68" s="2961">
        <f t="shared" si="182"/>
        <v>5.2953117818293153E-3</v>
      </c>
      <c r="R68" s="2902"/>
      <c r="S68" s="2901"/>
      <c r="T68" s="2887"/>
      <c r="U68" s="2887"/>
      <c r="V68" s="2887"/>
      <c r="X68" s="2962"/>
      <c r="Y68" s="2962"/>
      <c r="Z68" s="2962"/>
    </row>
    <row r="69" spans="1:26">
      <c r="A69" s="2898" t="s">
        <v>2597</v>
      </c>
      <c r="B69" s="2899">
        <f t="shared" si="183"/>
        <v>122.57204301075269</v>
      </c>
      <c r="C69" s="2899">
        <f t="shared" si="183"/>
        <v>123.4932735426009</v>
      </c>
      <c r="D69" s="2899">
        <f t="shared" si="153"/>
        <v>123.4932735426009</v>
      </c>
      <c r="E69" s="2899">
        <f t="shared" si="184"/>
        <v>129.82233502538071</v>
      </c>
      <c r="F69" s="2899">
        <f t="shared" si="184"/>
        <v>107.39446721311475</v>
      </c>
      <c r="G69" s="3611">
        <v>2005</v>
      </c>
      <c r="H69" s="2900">
        <v>1</v>
      </c>
      <c r="I69" s="2900">
        <v>0.43</v>
      </c>
      <c r="J69" s="2900">
        <v>0.37</v>
      </c>
      <c r="K69" s="2900">
        <v>0.37</v>
      </c>
      <c r="L69" s="2906">
        <v>0.55000000000000004</v>
      </c>
      <c r="N69" s="2963">
        <f t="shared" si="181"/>
        <v>1.2992090997956099E-2</v>
      </c>
      <c r="O69" s="2964">
        <f t="shared" si="181"/>
        <v>1.2239947070499151E-2</v>
      </c>
      <c r="P69" s="2964">
        <f t="shared" si="182"/>
        <v>4.6954314720812178E-2</v>
      </c>
      <c r="Q69" s="2964">
        <f t="shared" si="182"/>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2598</v>
      </c>
      <c r="B70" s="2948">
        <v>121</v>
      </c>
      <c r="C70" s="2948">
        <v>122</v>
      </c>
      <c r="D70" s="2948">
        <f t="shared" si="153"/>
        <v>122</v>
      </c>
      <c r="E70" s="2948">
        <v>124</v>
      </c>
      <c r="F70" s="2949">
        <v>107</v>
      </c>
      <c r="G70" s="3609">
        <v>2004</v>
      </c>
      <c r="H70" s="2922">
        <v>4</v>
      </c>
      <c r="I70" s="2922">
        <v>0.33</v>
      </c>
      <c r="J70" s="2922">
        <v>0.5</v>
      </c>
      <c r="K70" s="2922">
        <v>0.5</v>
      </c>
      <c r="L70" s="2923">
        <v>0</v>
      </c>
      <c r="N70" s="2960">
        <f t="shared" ref="N70:O73" si="185">I70/SUM(I$70:I$73)*(B$70/B$74-1)</f>
        <v>1.3391770148526898E-2</v>
      </c>
      <c r="O70" s="2961">
        <f t="shared" si="185"/>
        <v>1.063264221158958E-2</v>
      </c>
      <c r="P70" s="2961">
        <f t="shared" ref="P70:Q73" si="186">K70/SUM(K$70:K$73)*(E$70/E$74-1)</f>
        <v>2.2244466688911134E-2</v>
      </c>
      <c r="Q70" s="2961">
        <f t="shared" si="186"/>
        <v>0</v>
      </c>
      <c r="R70" s="2902"/>
      <c r="S70" s="2911"/>
      <c r="T70" s="2912"/>
      <c r="U70" s="2912"/>
      <c r="V70" s="2912"/>
      <c r="X70" s="2962"/>
      <c r="Y70" s="2962"/>
      <c r="Z70" s="2962"/>
    </row>
    <row r="71" spans="1:26">
      <c r="A71" s="2898" t="s">
        <v>2599</v>
      </c>
      <c r="B71" s="2899">
        <f t="shared" ref="B71:C73" si="187">B72+(B$70-B$74)*I71/SUM(I$70:I$73)</f>
        <v>119.51351351351352</v>
      </c>
      <c r="C71" s="2899">
        <f t="shared" si="187"/>
        <v>120.7878787878788</v>
      </c>
      <c r="D71" s="2899">
        <f t="shared" si="153"/>
        <v>120.7878787878788</v>
      </c>
      <c r="E71" s="2899">
        <f t="shared" ref="E71:F73" si="188">E72+(E$70-E$74)*K71/SUM(K$70:K$73)</f>
        <v>121.5975975975976</v>
      </c>
      <c r="F71" s="2899">
        <f t="shared" si="188"/>
        <v>107</v>
      </c>
      <c r="G71" s="3610">
        <v>2004</v>
      </c>
      <c r="H71" s="2925">
        <v>3</v>
      </c>
      <c r="I71" s="2925">
        <v>0.56000000000000005</v>
      </c>
      <c r="J71" s="2925">
        <v>0.8</v>
      </c>
      <c r="K71" s="2925">
        <v>0.83</v>
      </c>
      <c r="L71" s="2926">
        <v>0.06</v>
      </c>
      <c r="N71" s="2960">
        <f t="shared" si="185"/>
        <v>2.2725428130833527E-2</v>
      </c>
      <c r="O71" s="2961">
        <f t="shared" si="185"/>
        <v>1.7012227538543329E-2</v>
      </c>
      <c r="P71" s="2961">
        <f t="shared" si="186"/>
        <v>3.6925814703592477E-2</v>
      </c>
      <c r="Q71" s="2961">
        <f t="shared" si="186"/>
        <v>2.8846153846153744E-2</v>
      </c>
      <c r="R71" s="2902"/>
      <c r="S71" s="2901"/>
      <c r="T71" s="2887"/>
      <c r="U71" s="2887"/>
      <c r="V71" s="2887"/>
      <c r="X71" s="2962"/>
      <c r="Y71" s="2962"/>
      <c r="Z71" s="2962"/>
    </row>
    <row r="72" spans="1:26">
      <c r="A72" s="2898" t="s">
        <v>2600</v>
      </c>
      <c r="B72" s="2899">
        <f t="shared" si="187"/>
        <v>116.99099099099099</v>
      </c>
      <c r="C72" s="2899">
        <f t="shared" si="187"/>
        <v>118.84848484848486</v>
      </c>
      <c r="D72" s="2899">
        <f t="shared" si="153"/>
        <v>118.84848484848486</v>
      </c>
      <c r="E72" s="2899">
        <f t="shared" si="188"/>
        <v>117.60960960960961</v>
      </c>
      <c r="F72" s="2899">
        <f t="shared" si="188"/>
        <v>104</v>
      </c>
      <c r="G72" s="3610">
        <v>2004</v>
      </c>
      <c r="H72" s="2913">
        <v>2</v>
      </c>
      <c r="I72" s="2913">
        <v>1</v>
      </c>
      <c r="J72" s="2913">
        <v>1.5</v>
      </c>
      <c r="K72" s="2913">
        <v>1.5</v>
      </c>
      <c r="L72" s="2914">
        <v>0</v>
      </c>
      <c r="N72" s="2960">
        <f t="shared" si="185"/>
        <v>4.0581121662202721E-2</v>
      </c>
      <c r="O72" s="2961">
        <f t="shared" si="185"/>
        <v>3.1897926634768738E-2</v>
      </c>
      <c r="P72" s="2961">
        <f t="shared" si="186"/>
        <v>6.6733400066733395E-2</v>
      </c>
      <c r="Q72" s="2961">
        <f t="shared" si="186"/>
        <v>0</v>
      </c>
      <c r="R72" s="2902"/>
      <c r="S72" s="2901"/>
      <c r="T72" s="2887"/>
      <c r="U72" s="2887"/>
      <c r="V72" s="2887"/>
      <c r="X72" s="2962"/>
      <c r="Y72" s="2962"/>
      <c r="Z72" s="2962"/>
    </row>
    <row r="73" spans="1:26" s="2954" customFormat="1" ht="13.5" thickBot="1">
      <c r="A73" s="2898" t="s">
        <v>2601</v>
      </c>
      <c r="B73" s="2951">
        <f t="shared" si="187"/>
        <v>112.48648648648648</v>
      </c>
      <c r="C73" s="2951">
        <f t="shared" si="187"/>
        <v>115.21212121212122</v>
      </c>
      <c r="D73" s="2951">
        <f t="shared" si="153"/>
        <v>115.21212121212122</v>
      </c>
      <c r="E73" s="2951">
        <f t="shared" si="188"/>
        <v>110.4024024024024</v>
      </c>
      <c r="F73" s="2951">
        <f t="shared" si="188"/>
        <v>104</v>
      </c>
      <c r="G73" s="3611">
        <v>2004</v>
      </c>
      <c r="H73" s="2952">
        <v>1</v>
      </c>
      <c r="I73" s="2952">
        <v>0.33</v>
      </c>
      <c r="J73" s="2952">
        <v>0.5</v>
      </c>
      <c r="K73" s="2952">
        <v>0.5</v>
      </c>
      <c r="L73" s="2953">
        <v>0</v>
      </c>
      <c r="N73" s="2965">
        <f t="shared" si="185"/>
        <v>1.3391770148526898E-2</v>
      </c>
      <c r="O73" s="2966">
        <f t="shared" si="185"/>
        <v>1.063264221158958E-2</v>
      </c>
      <c r="P73" s="2966">
        <f t="shared" si="186"/>
        <v>2.2244466688911134E-2</v>
      </c>
      <c r="Q73" s="2966">
        <f t="shared" si="186"/>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2602</v>
      </c>
      <c r="B74" s="2968">
        <v>111</v>
      </c>
      <c r="C74" s="2968">
        <v>114</v>
      </c>
      <c r="D74" s="2968">
        <f t="shared" si="153"/>
        <v>114</v>
      </c>
      <c r="E74" s="2968">
        <v>108</v>
      </c>
      <c r="F74" s="2969">
        <v>104</v>
      </c>
      <c r="G74" s="3609">
        <v>2003</v>
      </c>
      <c r="H74" s="2958">
        <v>4</v>
      </c>
      <c r="I74" s="2970"/>
      <c r="J74" s="2970"/>
      <c r="K74" s="2970"/>
      <c r="L74" s="2970"/>
      <c r="N74" s="2971"/>
      <c r="O74" s="2970"/>
      <c r="P74" s="2970"/>
      <c r="Q74" s="2970"/>
      <c r="S74" s="2971"/>
      <c r="T74" s="2970"/>
      <c r="U74" s="2970"/>
      <c r="V74" s="2970"/>
      <c r="X74" s="2962"/>
      <c r="Y74" s="2962"/>
      <c r="Z74" s="2962"/>
    </row>
    <row r="75" spans="1:26">
      <c r="A75" s="2898" t="s">
        <v>2603</v>
      </c>
      <c r="B75" s="2972">
        <f t="shared" ref="B75:C77" si="189">B76+(B$74-B$78)/4</f>
        <v>109.75</v>
      </c>
      <c r="C75" s="2972">
        <f t="shared" si="189"/>
        <v>112.25</v>
      </c>
      <c r="D75" s="2972">
        <f t="shared" si="153"/>
        <v>112.25</v>
      </c>
      <c r="E75" s="2972">
        <f t="shared" ref="E75:F77" si="190">E76+(E$74-E$78)/4</f>
        <v>107.25</v>
      </c>
      <c r="F75" s="2972">
        <f t="shared" si="190"/>
        <v>103.5</v>
      </c>
      <c r="G75" s="3610">
        <v>2003</v>
      </c>
      <c r="H75" s="2925">
        <v>3</v>
      </c>
      <c r="I75" s="2970"/>
      <c r="J75" s="2970"/>
      <c r="K75" s="2970"/>
      <c r="L75" s="2970"/>
      <c r="X75" s="2962"/>
      <c r="Y75" s="2962"/>
      <c r="Z75" s="2962"/>
    </row>
    <row r="76" spans="1:26">
      <c r="A76" s="2898" t="s">
        <v>2604</v>
      </c>
      <c r="B76" s="2972">
        <f t="shared" si="189"/>
        <v>108.5</v>
      </c>
      <c r="C76" s="2972">
        <f t="shared" si="189"/>
        <v>110.5</v>
      </c>
      <c r="D76" s="2972">
        <f t="shared" si="153"/>
        <v>110.5</v>
      </c>
      <c r="E76" s="2972">
        <f t="shared" si="190"/>
        <v>106.5</v>
      </c>
      <c r="F76" s="2972">
        <f t="shared" si="190"/>
        <v>103</v>
      </c>
      <c r="G76" s="3610">
        <v>2003</v>
      </c>
      <c r="H76" s="2913">
        <v>2</v>
      </c>
      <c r="I76" s="2970"/>
      <c r="J76" s="2970"/>
      <c r="K76" s="2970"/>
      <c r="L76" s="2970"/>
      <c r="X76" s="2962"/>
      <c r="Y76" s="2962"/>
      <c r="Z76" s="2962"/>
    </row>
    <row r="77" spans="1:26" ht="13.5" thickBot="1">
      <c r="A77" s="2898" t="s">
        <v>2605</v>
      </c>
      <c r="B77" s="2972">
        <f t="shared" si="189"/>
        <v>107.25</v>
      </c>
      <c r="C77" s="2972">
        <f t="shared" si="189"/>
        <v>108.75</v>
      </c>
      <c r="D77" s="2972">
        <f t="shared" si="153"/>
        <v>108.75</v>
      </c>
      <c r="E77" s="2972">
        <f t="shared" si="190"/>
        <v>105.75</v>
      </c>
      <c r="F77" s="2972">
        <f t="shared" si="190"/>
        <v>102.5</v>
      </c>
      <c r="G77" s="3611">
        <v>2003</v>
      </c>
      <c r="H77" s="2973">
        <v>1</v>
      </c>
      <c r="I77" s="2970"/>
      <c r="J77" s="2970"/>
      <c r="K77" s="2970"/>
      <c r="L77" s="2970"/>
      <c r="S77" s="2901"/>
      <c r="T77" s="2887"/>
      <c r="U77" s="2887"/>
      <c r="X77" s="2962"/>
      <c r="Y77" s="2962"/>
      <c r="Z77" s="2962"/>
    </row>
    <row r="78" spans="1:26" ht="13.5" thickBot="1">
      <c r="A78" s="2898" t="s">
        <v>2606</v>
      </c>
      <c r="B78" s="2974">
        <v>106</v>
      </c>
      <c r="C78" s="2974">
        <v>107</v>
      </c>
      <c r="D78" s="2974">
        <f t="shared" si="153"/>
        <v>107</v>
      </c>
      <c r="E78" s="2974">
        <v>105</v>
      </c>
      <c r="F78" s="2975">
        <v>102</v>
      </c>
      <c r="G78" s="3609">
        <v>2002</v>
      </c>
      <c r="H78" s="2922">
        <v>4</v>
      </c>
      <c r="I78" s="2970"/>
      <c r="J78" s="2970"/>
      <c r="K78" s="2970"/>
      <c r="L78" s="2970"/>
      <c r="N78" s="2971"/>
      <c r="O78" s="2970"/>
      <c r="P78" s="2970"/>
      <c r="Q78" s="2970"/>
      <c r="S78" s="2971"/>
      <c r="T78" s="2970"/>
      <c r="U78" s="2970"/>
      <c r="V78" s="2970"/>
      <c r="X78" s="2962"/>
      <c r="Y78" s="2962"/>
      <c r="Z78" s="2962"/>
    </row>
    <row r="79" spans="1:26">
      <c r="A79" s="2898" t="s">
        <v>2607</v>
      </c>
      <c r="B79" s="2972">
        <f t="shared" ref="B79:C81" si="191">B80+(B$78-B$82)/4</f>
        <v>105</v>
      </c>
      <c r="C79" s="2972">
        <f t="shared" si="191"/>
        <v>106</v>
      </c>
      <c r="D79" s="2972">
        <f t="shared" si="153"/>
        <v>106</v>
      </c>
      <c r="E79" s="2972">
        <f t="shared" ref="E79:F81" si="192">E80+(E$78-E$82)/4</f>
        <v>104.5</v>
      </c>
      <c r="F79" s="2972">
        <f t="shared" si="192"/>
        <v>101.5</v>
      </c>
      <c r="G79" s="3610">
        <v>2002</v>
      </c>
      <c r="H79" s="2925">
        <v>3</v>
      </c>
      <c r="I79" s="2970"/>
      <c r="J79" s="2970"/>
      <c r="K79" s="2970"/>
      <c r="L79" s="2970"/>
      <c r="X79" s="2962"/>
      <c r="Y79" s="2962"/>
      <c r="Z79" s="2962"/>
    </row>
    <row r="80" spans="1:26">
      <c r="A80" s="2898" t="s">
        <v>2608</v>
      </c>
      <c r="B80" s="2972">
        <f t="shared" si="191"/>
        <v>104</v>
      </c>
      <c r="C80" s="2972">
        <f t="shared" si="191"/>
        <v>105</v>
      </c>
      <c r="D80" s="2972">
        <f t="shared" si="153"/>
        <v>105</v>
      </c>
      <c r="E80" s="2972">
        <f t="shared" si="192"/>
        <v>104</v>
      </c>
      <c r="F80" s="2972">
        <f t="shared" si="192"/>
        <v>101</v>
      </c>
      <c r="G80" s="3610">
        <v>2002</v>
      </c>
      <c r="H80" s="2913">
        <v>2</v>
      </c>
      <c r="I80" s="2970"/>
      <c r="J80" s="2970"/>
      <c r="K80" s="2970"/>
      <c r="L80" s="2970"/>
      <c r="X80" s="2962"/>
      <c r="Y80" s="2962"/>
      <c r="Z80" s="2962"/>
    </row>
    <row r="81" spans="1:26" s="2935" customFormat="1" ht="13.5" thickBot="1">
      <c r="A81" s="2931" t="s">
        <v>2609</v>
      </c>
      <c r="B81" s="2938">
        <f t="shared" si="191"/>
        <v>103</v>
      </c>
      <c r="C81" s="2938">
        <f t="shared" si="191"/>
        <v>104</v>
      </c>
      <c r="D81" s="2938">
        <f t="shared" si="153"/>
        <v>104</v>
      </c>
      <c r="E81" s="2938">
        <f t="shared" si="192"/>
        <v>103.5</v>
      </c>
      <c r="F81" s="2938">
        <f t="shared" si="192"/>
        <v>100.5</v>
      </c>
      <c r="G81" s="3611">
        <v>2002</v>
      </c>
      <c r="H81" s="2976">
        <v>1</v>
      </c>
      <c r="I81" s="2977"/>
      <c r="J81" s="2977"/>
      <c r="K81" s="2977"/>
      <c r="L81" s="2977"/>
      <c r="N81" s="2978"/>
      <c r="S81" s="2978"/>
      <c r="X81" s="2979"/>
      <c r="Y81" s="2979"/>
      <c r="Z81" s="2979"/>
    </row>
    <row r="82" spans="1:26" ht="13.5" thickBot="1">
      <c r="B82" s="2980">
        <v>102</v>
      </c>
      <c r="C82" s="2981">
        <v>103</v>
      </c>
      <c r="D82" s="2981">
        <f t="shared" si="153"/>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2610</v>
      </c>
      <c r="G84" s="2985"/>
      <c r="N84" s="2985"/>
      <c r="S84" s="2985"/>
    </row>
    <row r="85" spans="1:26" s="2984" customFormat="1">
      <c r="A85" s="2984" t="s">
        <v>2611</v>
      </c>
      <c r="G85" s="2985"/>
      <c r="N85" s="2985"/>
      <c r="S85" s="2985"/>
    </row>
    <row r="86" spans="1:26" s="2984" customFormat="1">
      <c r="A86" s="2984" t="s">
        <v>2612</v>
      </c>
      <c r="G86" s="2985"/>
      <c r="I86" s="2986"/>
      <c r="J86" s="2986"/>
      <c r="K86" s="2986"/>
      <c r="L86" s="2986"/>
      <c r="N86" s="2987"/>
      <c r="O86" s="2986"/>
      <c r="P86" s="2986"/>
      <c r="Q86" s="2986"/>
      <c r="S86" s="2987"/>
      <c r="T86" s="2986"/>
      <c r="U86" s="2986"/>
      <c r="V86" s="2986"/>
    </row>
    <row r="87" spans="1:26" s="2984" customFormat="1">
      <c r="A87" s="2984" t="s">
        <v>2613</v>
      </c>
      <c r="G87" s="2985"/>
      <c r="N87" s="2985"/>
      <c r="S87" s="2985"/>
    </row>
    <row r="94" spans="1:26" ht="13.5" thickBot="1"/>
    <row r="95" spans="1:26">
      <c r="G95" s="2886"/>
      <c r="S95" s="2988" t="s">
        <v>2614</v>
      </c>
      <c r="T95" s="2989" t="s">
        <v>2615</v>
      </c>
      <c r="U95" s="2989" t="s">
        <v>2616</v>
      </c>
      <c r="V95" s="2989" t="s">
        <v>2617</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2910</v>
      </c>
      <c r="B1" s="3246"/>
      <c r="C1" s="3246"/>
      <c r="D1" s="3246"/>
      <c r="E1" s="3246"/>
      <c r="F1" s="3246"/>
      <c r="G1" s="3247"/>
      <c r="H1" s="3247"/>
      <c r="I1" s="3247"/>
      <c r="J1" s="3247"/>
      <c r="K1" s="3247"/>
      <c r="L1" s="3247"/>
      <c r="M1" s="3247"/>
      <c r="N1" s="3247"/>
    </row>
    <row r="2" spans="1:14" ht="14.25">
      <c r="A2" s="3252" t="s">
        <v>2905</v>
      </c>
      <c r="B2" s="3257">
        <f ca="1">SUMIF(B7:B14,"&lt;&gt;#ref!",B7:B14)</f>
        <v>0</v>
      </c>
      <c r="C2" s="3252" t="s">
        <v>2906</v>
      </c>
      <c r="D2" s="3249"/>
      <c r="E2" s="3249"/>
      <c r="F2" s="3249"/>
      <c r="G2" s="3247"/>
      <c r="H2" s="3247"/>
      <c r="I2" s="3247"/>
      <c r="J2" s="3247"/>
      <c r="K2" s="3247"/>
      <c r="L2" s="3247"/>
      <c r="M2" s="3247"/>
      <c r="N2" s="3247"/>
    </row>
    <row r="3" spans="1:14" ht="14.25">
      <c r="A3" s="3252" t="s">
        <v>2935</v>
      </c>
      <c r="B3" s="3257" t="e">
        <f ca="1">ROUND(B2*10000/E3,0)</f>
        <v>#DIV/0!</v>
      </c>
      <c r="C3" s="3252" t="s">
        <v>2066</v>
      </c>
      <c r="D3" s="3252" t="s">
        <v>2907</v>
      </c>
      <c r="E3" s="3250">
        <f ca="1">SUMIF(E7:E14,"&lt;&gt;#ref!",E7:E14)</f>
        <v>0</v>
      </c>
      <c r="F3" s="3249"/>
      <c r="G3" s="3247"/>
      <c r="H3" s="3247"/>
      <c r="I3" s="3247"/>
      <c r="J3" s="3247"/>
      <c r="K3" s="3247"/>
      <c r="L3" s="3247"/>
      <c r="M3" s="3247"/>
      <c r="N3" s="3247"/>
    </row>
    <row r="4" spans="1:14" ht="14.25">
      <c r="A4" s="3252" t="s">
        <v>2913</v>
      </c>
      <c r="B4" s="3257" t="e">
        <f ca="1">ROUND(B2*10000/E4,0)</f>
        <v>#DIV/0!</v>
      </c>
      <c r="C4" s="3252" t="s">
        <v>2066</v>
      </c>
      <c r="D4" s="3252" t="s">
        <v>2914</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2911</v>
      </c>
      <c r="B6" s="3252" t="s">
        <v>2908</v>
      </c>
      <c r="C6" s="2790"/>
      <c r="D6" s="3249"/>
      <c r="E6" s="3252" t="s">
        <v>2909</v>
      </c>
      <c r="F6" s="3252" t="s">
        <v>2912</v>
      </c>
      <c r="G6" s="3247"/>
      <c r="H6" s="3247"/>
      <c r="I6" s="3247"/>
      <c r="J6" s="3247"/>
      <c r="K6" s="3247"/>
      <c r="L6" s="3247"/>
      <c r="M6" s="3247"/>
      <c r="N6" s="3247"/>
    </row>
    <row r="7" spans="1:14" ht="14.25">
      <c r="A7" s="3255"/>
      <c r="B7" s="3257" t="e">
        <f ca="1">SUMIF(INDIRECT("'"&amp;A7&amp;"'"&amp;"!A:A"),"总价",INDIRECT("'"&amp;A7&amp;"'"&amp;"!B:B"))</f>
        <v>#REF!</v>
      </c>
      <c r="C7" s="3252" t="s">
        <v>2906</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2906</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2906</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2906</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2906</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2906</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2906</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2906</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2358</v>
      </c>
      <c r="F1" s="2243">
        <f ca="1">J54</f>
        <v>-2</v>
      </c>
      <c r="G1" s="764">
        <f>MATCH(C1,'数据-取费表'!A6:A16,0)+5</f>
        <v>7</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3"/>
      <c r="D2" s="1938"/>
      <c r="E2" s="1939"/>
      <c r="F2" s="1939"/>
      <c r="G2" s="1524"/>
      <c r="H2" s="1315"/>
      <c r="I2" s="1940"/>
      <c r="J2" s="1940"/>
      <c r="K2" s="1941"/>
      <c r="L2" s="1940"/>
      <c r="M2" s="1940"/>
    </row>
    <row r="3" spans="1:25" ht="18" customHeight="1">
      <c r="A3" s="1573" t="s">
        <v>1676</v>
      </c>
      <c r="B3" s="1339">
        <f ca="1">ROUND(B2*10000/'数据-汇总表'!E3,0)</f>
        <v>0</v>
      </c>
      <c r="C3" s="1303"/>
      <c r="D3" s="1938"/>
      <c r="E3" s="1939"/>
      <c r="F3" s="1939"/>
      <c r="G3" s="1524"/>
      <c r="H3" s="766" t="s">
        <v>689</v>
      </c>
      <c r="I3" s="1940"/>
      <c r="J3" s="1940"/>
      <c r="K3" s="1941"/>
      <c r="L3" s="1940"/>
      <c r="M3" s="1940"/>
    </row>
    <row r="4" spans="1:25" ht="18" customHeight="1">
      <c r="A4" s="1574" t="s">
        <v>690</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2438</v>
      </c>
      <c r="C7" s="53">
        <f ca="1">C8+C12+C14</f>
        <v>0</v>
      </c>
      <c r="D7" s="2349" t="s">
        <v>2441</v>
      </c>
      <c r="E7" s="2343"/>
      <c r="F7" s="2344"/>
      <c r="G7" s="1526"/>
      <c r="H7" s="771">
        <v>1</v>
      </c>
      <c r="I7" s="772" t="s">
        <v>2438</v>
      </c>
      <c r="J7" s="53">
        <f ca="1">J8+J12+J14</f>
        <v>0</v>
      </c>
      <c r="K7" s="2349" t="s">
        <v>2441</v>
      </c>
      <c r="L7" s="2343"/>
      <c r="M7" s="2344"/>
    </row>
    <row r="8" spans="1:25" ht="18" customHeight="1">
      <c r="A8" s="1745" t="s">
        <v>1814</v>
      </c>
      <c r="B8" s="3618" t="s">
        <v>2443</v>
      </c>
      <c r="C8" s="1740">
        <f ca="1">ROUND(F8*F10*F9*(1-F11)/10000,0)</f>
        <v>0</v>
      </c>
      <c r="D8" s="1737" t="s">
        <v>2514</v>
      </c>
      <c r="E8" s="61" t="s">
        <v>631</v>
      </c>
      <c r="F8" s="775">
        <f ca="1">INDIRECT("'数据-取费表'!u"&amp;$G$1)</f>
        <v>0</v>
      </c>
      <c r="G8" s="1526"/>
      <c r="H8" s="2357" t="s">
        <v>1814</v>
      </c>
      <c r="I8" s="3618" t="s">
        <v>2443</v>
      </c>
      <c r="J8" s="773">
        <f ca="1">ROUND(M8*M10*M9*(1-M11)/10000,0)</f>
        <v>0</v>
      </c>
      <c r="K8" s="339" t="s">
        <v>2514</v>
      </c>
      <c r="L8" s="774" t="s">
        <v>1728</v>
      </c>
      <c r="M8" s="775">
        <f ca="1">INDIRECT("'数据-取费表'!z"&amp;$G$1)</f>
        <v>0</v>
      </c>
    </row>
    <row r="9" spans="1:25" ht="18" customHeight="1">
      <c r="A9" s="2353"/>
      <c r="B9" s="3619"/>
      <c r="C9" s="1741"/>
      <c r="D9" s="1738"/>
      <c r="E9" s="61" t="s">
        <v>632</v>
      </c>
      <c r="F9" s="775">
        <f ca="1">IF(INDIRECT("'数据-取费表'!ah"&amp;$G$1)="",INDIRECT("'数据-取费表'!k"&amp;$G$1),INDIRECT("'数据-取费表'!ah"&amp;$G$1))</f>
        <v>0</v>
      </c>
      <c r="G9" s="1526"/>
      <c r="H9" s="2342"/>
      <c r="I9" s="3619"/>
      <c r="J9" s="778"/>
      <c r="K9" s="779"/>
      <c r="L9" s="774" t="s">
        <v>1729</v>
      </c>
      <c r="M9" s="775">
        <f ca="1">F9</f>
        <v>0</v>
      </c>
    </row>
    <row r="10" spans="1:25" ht="18" customHeight="1">
      <c r="A10" s="2346"/>
      <c r="B10" s="3620"/>
      <c r="C10" s="1741"/>
      <c r="D10" s="1738"/>
      <c r="E10" s="61" t="s">
        <v>633</v>
      </c>
      <c r="F10" s="775">
        <f ca="1">INDIRECT("'数据-取费表'!ai"&amp;$G$1)</f>
        <v>0</v>
      </c>
      <c r="G10" s="1526"/>
      <c r="H10" s="2342"/>
      <c r="I10" s="3620"/>
      <c r="J10" s="778"/>
      <c r="K10" s="779"/>
      <c r="L10" s="774" t="s">
        <v>1730</v>
      </c>
      <c r="M10" s="775">
        <f ca="1">INDIRECT("'数据-取费表'!ai"&amp;$G$1)</f>
        <v>0</v>
      </c>
    </row>
    <row r="11" spans="1:25" ht="18" customHeight="1">
      <c r="A11" s="776"/>
      <c r="B11" s="3621"/>
      <c r="C11" s="1741"/>
      <c r="D11" s="1738"/>
      <c r="E11" s="61" t="s">
        <v>634</v>
      </c>
      <c r="F11" s="784">
        <f ca="1">INDIRECT("'数据-取费表'!w"&amp;$G$1)</f>
        <v>0</v>
      </c>
      <c r="G11" s="1526"/>
      <c r="H11" s="2358"/>
      <c r="I11" s="3620"/>
      <c r="J11" s="778"/>
      <c r="K11" s="779"/>
      <c r="L11" s="785" t="s">
        <v>1731</v>
      </c>
      <c r="M11" s="786">
        <f ca="1">INDIRECT("'数据-取费表'!ab"&amp;$G$1)</f>
        <v>0</v>
      </c>
    </row>
    <row r="12" spans="1:25" ht="18" customHeight="1">
      <c r="A12" s="1745" t="s">
        <v>1815</v>
      </c>
      <c r="B12" s="2347" t="s">
        <v>2439</v>
      </c>
      <c r="C12" s="789">
        <f ca="1">ROUND(IF(F12="押一",C8/12*F13,IF(F12="押二",C8/12*2*F13,IF(F12="押三",C8/12*3*F13,C13*F13))),0)</f>
        <v>0</v>
      </c>
      <c r="D12" s="2354" t="s">
        <v>2932</v>
      </c>
      <c r="E12" s="2351" t="s">
        <v>2444</v>
      </c>
      <c r="F12" s="2465"/>
      <c r="G12" s="1526"/>
      <c r="H12" s="2414" t="s">
        <v>1815</v>
      </c>
      <c r="I12" s="2419" t="s">
        <v>2439</v>
      </c>
      <c r="J12" s="773">
        <f ca="1">ROUND(IF(M12="押一",J8/12*M13,IF(M12="押二",J8/12*2*M13,IF(M12="押三",J8/12*3*M13,J13*M13))),0)</f>
        <v>0</v>
      </c>
      <c r="K12" s="2354" t="s">
        <v>2932</v>
      </c>
      <c r="L12" s="2351" t="s">
        <v>2444</v>
      </c>
      <c r="M12" s="2465"/>
    </row>
    <row r="13" spans="1:25" ht="18" customHeight="1">
      <c r="A13" s="780"/>
      <c r="B13" s="2348" t="s">
        <v>2553</v>
      </c>
      <c r="C13" s="2352"/>
      <c r="D13" s="779"/>
      <c r="E13" s="2351" t="s">
        <v>2437</v>
      </c>
      <c r="F13" s="786">
        <f ca="1">'数据-取费表'!B39</f>
        <v>1.4999999999999999E-2</v>
      </c>
      <c r="G13" s="1526"/>
      <c r="H13" s="2415"/>
      <c r="I13" s="2348" t="s">
        <v>2553</v>
      </c>
      <c r="J13" s="2352"/>
      <c r="K13" s="2416"/>
      <c r="L13" s="2351" t="s">
        <v>2437</v>
      </c>
      <c r="M13" s="2345">
        <f ca="1">'数据-取费表'!B39</f>
        <v>1.4999999999999999E-2</v>
      </c>
    </row>
    <row r="14" spans="1:25" ht="18" customHeight="1" thickBot="1">
      <c r="A14" s="2390" t="s">
        <v>2447</v>
      </c>
      <c r="B14" s="2391" t="s">
        <v>2440</v>
      </c>
      <c r="C14" s="2392"/>
      <c r="D14" s="2393"/>
      <c r="E14" s="2394"/>
      <c r="F14" s="2395"/>
      <c r="G14" s="1526"/>
      <c r="H14" s="2404" t="s">
        <v>2447</v>
      </c>
      <c r="I14" s="2417" t="s">
        <v>2440</v>
      </c>
      <c r="J14" s="2418"/>
      <c r="K14" s="2393"/>
      <c r="L14" s="2394"/>
      <c r="M14" s="2407"/>
    </row>
    <row r="15" spans="1:25" ht="18" customHeight="1" thickTop="1">
      <c r="A15" s="1744" t="s">
        <v>1864</v>
      </c>
      <c r="B15" s="1742" t="s">
        <v>635</v>
      </c>
      <c r="C15" s="782">
        <f ca="1">ROUND(C31*F15,0)</f>
        <v>0</v>
      </c>
      <c r="D15" s="1749" t="s">
        <v>636</v>
      </c>
      <c r="E15" s="785" t="s">
        <v>637</v>
      </c>
      <c r="F15" s="790">
        <f ca="1">INDIRECT("'数据-取费表'!y"&amp;$G$1)</f>
        <v>0</v>
      </c>
      <c r="G15" s="1526"/>
      <c r="H15" s="1744" t="s">
        <v>1816</v>
      </c>
      <c r="I15" s="1742" t="s">
        <v>638</v>
      </c>
      <c r="J15" s="1734">
        <f ca="1">ROUND(J16*J17,0)</f>
        <v>0</v>
      </c>
      <c r="K15" s="1736" t="s">
        <v>636</v>
      </c>
      <c r="L15" s="791"/>
      <c r="M15" s="792"/>
    </row>
    <row r="16" spans="1:25" ht="18" customHeight="1">
      <c r="A16" s="793" t="s">
        <v>1865</v>
      </c>
      <c r="B16" s="774" t="s">
        <v>639</v>
      </c>
      <c r="C16" s="794">
        <f ca="1">INDIRECT("'数据-取费表'!m"&amp;$G$1)+INDIRECT("'数据-取费表'!t"&amp;$G$1)</f>
        <v>0</v>
      </c>
      <c r="D16" s="1893" t="s">
        <v>640</v>
      </c>
      <c r="E16" s="1894"/>
      <c r="F16" s="795"/>
      <c r="G16" s="1526"/>
      <c r="H16" s="793" t="s">
        <v>2057</v>
      </c>
      <c r="I16" s="2111" t="s">
        <v>2803</v>
      </c>
      <c r="J16" s="53">
        <f ca="1">C31</f>
        <v>0</v>
      </c>
      <c r="K16" s="26"/>
      <c r="L16" s="791"/>
      <c r="M16" s="792"/>
    </row>
    <row r="17" spans="1:25" s="1947" customFormat="1" ht="18" customHeight="1">
      <c r="A17" s="793" t="s">
        <v>1839</v>
      </c>
      <c r="B17" s="774" t="s">
        <v>641</v>
      </c>
      <c r="C17" s="53">
        <f ca="1">ROUND(C16*F17,0)</f>
        <v>0</v>
      </c>
      <c r="D17" s="796" t="s">
        <v>642</v>
      </c>
      <c r="E17" s="796" t="s">
        <v>643</v>
      </c>
      <c r="F17" s="797">
        <f>'数据-取费表'!B33</f>
        <v>0.03</v>
      </c>
      <c r="G17" s="1527"/>
      <c r="H17" s="793" t="s">
        <v>2058</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6"/>
      <c r="H18" s="787" t="s">
        <v>1817</v>
      </c>
      <c r="I18" s="788" t="s">
        <v>645</v>
      </c>
      <c r="J18" s="789">
        <f ca="1">ROUND(J19+J24+J25+J26,0)</f>
        <v>0</v>
      </c>
      <c r="K18" s="26" t="s">
        <v>646</v>
      </c>
      <c r="L18" s="1896"/>
      <c r="M18" s="56"/>
    </row>
    <row r="19" spans="1:25" s="1947" customFormat="1" ht="18" customHeight="1">
      <c r="A19" s="793" t="s">
        <v>1841</v>
      </c>
      <c r="B19" s="774" t="s">
        <v>647</v>
      </c>
      <c r="C19" s="53">
        <f ca="1">ROUND(F19*(INDIRECT("'数据-取费表'!k"&amp;$G$1)+INDIRECT("'数据-取费表'!S"&amp;$G$1))/10000,0)</f>
        <v>0</v>
      </c>
      <c r="D19" s="774" t="s">
        <v>648</v>
      </c>
      <c r="E19" s="774" t="s">
        <v>649</v>
      </c>
      <c r="F19" s="56">
        <f>'数据-取费表'!B35</f>
        <v>200</v>
      </c>
      <c r="G19" s="1527"/>
      <c r="H19" s="793" t="s">
        <v>2057</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1842</v>
      </c>
      <c r="B20" s="774" t="s">
        <v>653</v>
      </c>
      <c r="C20" s="53">
        <f ca="1">ROUND(C16*F20,0)</f>
        <v>0</v>
      </c>
      <c r="D20" s="774" t="s">
        <v>642</v>
      </c>
      <c r="E20" s="774" t="s">
        <v>643</v>
      </c>
      <c r="F20" s="799">
        <f>'数据-取费表'!B36</f>
        <v>1.4999999999999999E-2</v>
      </c>
      <c r="G20" s="1527"/>
      <c r="H20" s="793" t="s">
        <v>1821</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1866</v>
      </c>
      <c r="B21" s="774" t="s">
        <v>656</v>
      </c>
      <c r="C21" s="53">
        <f ca="1">SUM(C16:C20)</f>
        <v>0</v>
      </c>
      <c r="D21" s="259" t="s">
        <v>657</v>
      </c>
      <c r="E21" s="1896"/>
      <c r="F21" s="56"/>
      <c r="G21" s="1526"/>
      <c r="H21" s="1745"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1867</v>
      </c>
      <c r="B22" s="774" t="s">
        <v>660</v>
      </c>
      <c r="C22" s="53">
        <f ca="1">ROUND(C21*F22,0)</f>
        <v>0</v>
      </c>
      <c r="D22" s="801" t="s">
        <v>661</v>
      </c>
      <c r="E22" s="774" t="s">
        <v>643</v>
      </c>
      <c r="F22" s="799">
        <f>'数据-取费表'!B37</f>
        <v>0.02</v>
      </c>
      <c r="G22" s="1527"/>
      <c r="H22" s="1747" t="s">
        <v>1840</v>
      </c>
      <c r="I22" s="1737" t="s">
        <v>662</v>
      </c>
      <c r="J22" s="54">
        <f ca="1">ROUND(M22*M23/10000,0)</f>
        <v>0</v>
      </c>
      <c r="K22" s="803" t="s">
        <v>663</v>
      </c>
      <c r="L22" s="774" t="s">
        <v>664</v>
      </c>
      <c r="M22" s="632">
        <f>'数据-取费表'!B52</f>
        <v>6</v>
      </c>
      <c r="N22" s="1946"/>
      <c r="O22" s="1946"/>
      <c r="P22" s="1946"/>
      <c r="Q22" s="1946"/>
      <c r="R22" s="1946"/>
      <c r="S22" s="1946"/>
      <c r="T22" s="1946"/>
      <c r="U22" s="1946"/>
      <c r="V22" s="1946"/>
      <c r="W22" s="1946"/>
      <c r="X22" s="1946"/>
      <c r="Y22" s="1946"/>
    </row>
    <row r="23" spans="1:25" s="1947" customFormat="1" ht="18" customHeight="1">
      <c r="A23" s="793" t="s">
        <v>1868</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1869</v>
      </c>
      <c r="B24" s="774" t="s">
        <v>669</v>
      </c>
      <c r="C24" s="53"/>
      <c r="D24" s="2424" t="str">
        <f>IF(F25&lt;=1,"单利计息。","复利计息。")&amp;"建造成本、管理费用、销售费用产生的利息。"</f>
        <v>复利计息。建造成本、管理费用、销售费用产生的利息。</v>
      </c>
      <c r="E24" s="1896"/>
      <c r="F24" s="56"/>
      <c r="G24" s="1526"/>
      <c r="H24" s="1746" t="s">
        <v>2058</v>
      </c>
      <c r="I24" s="774" t="s">
        <v>670</v>
      </c>
      <c r="J24" s="53">
        <f ca="1">ROUND(J16*M24,0)</f>
        <v>0</v>
      </c>
      <c r="K24" s="1891" t="s">
        <v>671</v>
      </c>
      <c r="L24" s="774" t="s">
        <v>643</v>
      </c>
      <c r="M24" s="806">
        <f ca="1">INDIRECT("'数据-取费表'!Ak"&amp;$G$1)</f>
        <v>0</v>
      </c>
    </row>
    <row r="25" spans="1:25" s="1947" customFormat="1" ht="18" customHeight="1">
      <c r="A25" s="793" t="s">
        <v>1865</v>
      </c>
      <c r="B25" s="774" t="s">
        <v>2420</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2</v>
      </c>
      <c r="G25" s="1527"/>
      <c r="H25" s="793" t="s">
        <v>1868</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1839</v>
      </c>
      <c r="B26" s="774" t="s">
        <v>675</v>
      </c>
      <c r="C26" s="53">
        <f ca="1">ROUND(IF('数据-取费表'!B22&lt;=1,F23*F26*F25/2,F23*(POWER((1+F26),F25/2)-1)),4)</f>
        <v>8.0000000000000004E-4</v>
      </c>
      <c r="D26" s="2423" t="str">
        <f>IF(F25&lt;=1,"销售费用×利率×(建设周期÷2)","销售费用×((1+利率)^(建设周期÷2)-1)")</f>
        <v>销售费用×((1+利率)^(建设周期÷2)-1)</v>
      </c>
      <c r="E26" s="774" t="s">
        <v>676</v>
      </c>
      <c r="F26" s="808">
        <f ca="1">'数据-取费表'!B40</f>
        <v>3.85E-2</v>
      </c>
      <c r="G26" s="1527"/>
      <c r="H26" s="793" t="s">
        <v>1869</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1871</v>
      </c>
      <c r="B27" s="774" t="s">
        <v>678</v>
      </c>
      <c r="C27" s="53"/>
      <c r="D27" s="259" t="s">
        <v>679</v>
      </c>
      <c r="E27" s="1896"/>
      <c r="F27" s="56"/>
      <c r="G27" s="1526"/>
      <c r="H27" s="787" t="s">
        <v>1818</v>
      </c>
      <c r="I27" s="2724" t="s">
        <v>2800</v>
      </c>
      <c r="J27" s="789">
        <f ca="1">J7-J18</f>
        <v>0</v>
      </c>
      <c r="K27" s="1893" t="s">
        <v>694</v>
      </c>
      <c r="L27" s="1895"/>
      <c r="M27" s="809"/>
    </row>
    <row r="28" spans="1:25" ht="18" customHeight="1">
      <c r="A28" s="793" t="s">
        <v>1865</v>
      </c>
      <c r="B28" s="774" t="s">
        <v>2421</v>
      </c>
      <c r="C28" s="53">
        <f ca="1">ROUND((C21+C22)*F28,0)</f>
        <v>0</v>
      </c>
      <c r="D28" s="801" t="s">
        <v>695</v>
      </c>
      <c r="E28" s="785" t="s">
        <v>696</v>
      </c>
      <c r="F28" s="784">
        <f ca="1">INDIRECT("'数据-取费表'!q"&amp;$G$1)</f>
        <v>0</v>
      </c>
      <c r="G28" s="1526"/>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1872</v>
      </c>
      <c r="B30" s="774" t="s">
        <v>681</v>
      </c>
      <c r="C30" s="53">
        <f>ROUND(F30/(1+'数据-取费表'!C42),4)</f>
        <v>5.2400000000000002E-2</v>
      </c>
      <c r="D30" s="801" t="s">
        <v>703</v>
      </c>
      <c r="E30" s="774" t="s">
        <v>643</v>
      </c>
      <c r="F30" s="799">
        <f>'数据-取费表'!B41</f>
        <v>5.5000000000000007E-2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1873</v>
      </c>
      <c r="B31" s="2394" t="s">
        <v>2801</v>
      </c>
      <c r="C31" s="2397">
        <f ca="1">ROUND((C21+C22+C25+C28)/(1-F23-C26-C29-C30),0)</f>
        <v>0</v>
      </c>
      <c r="D31" s="2398"/>
      <c r="E31" s="2399"/>
      <c r="F31" s="2400"/>
      <c r="G31" s="1527"/>
      <c r="H31" s="812" t="s">
        <v>1862</v>
      </c>
      <c r="I31" s="2725" t="s">
        <v>2802</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1866</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2989</v>
      </c>
      <c r="I33" s="1949"/>
      <c r="J33" s="1950"/>
      <c r="K33" s="1951"/>
      <c r="L33" s="1952"/>
      <c r="M33" s="1953"/>
    </row>
    <row r="34" spans="1:18" ht="18" customHeight="1">
      <c r="A34" s="793" t="s">
        <v>1865</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1839</v>
      </c>
      <c r="B35" s="774" t="s">
        <v>658</v>
      </c>
      <c r="C35" s="53">
        <f ca="1">IF(D35="按租金收入计税",ROUND(C8*F35/(1+'数据-取费表'!C42),1),IF(D35="按房产原值计税",ROUND(C31*F35*0.7,1),INDIRECT("'数据-取费表'!Aj"&amp;$G$1)))</f>
        <v>0</v>
      </c>
      <c r="D35" s="800" t="s">
        <v>1670</v>
      </c>
      <c r="E35" s="774" t="s">
        <v>643</v>
      </c>
      <c r="F35" s="799">
        <f>IF(D35="按租金收入计税",'数据-取费表'!B51,'数据-取费表'!B50)</f>
        <v>1.2E-2</v>
      </c>
      <c r="G35" s="1945"/>
      <c r="H35" s="1960"/>
      <c r="I35" s="1960"/>
      <c r="J35" s="1960"/>
      <c r="K35" s="1961"/>
      <c r="L35" s="1960"/>
      <c r="M35" s="1960"/>
    </row>
    <row r="36" spans="1:18" ht="18" customHeight="1">
      <c r="A36" s="802" t="s">
        <v>1870</v>
      </c>
      <c r="B36" s="339" t="s">
        <v>662</v>
      </c>
      <c r="C36" s="54">
        <f ca="1">ROUND(F36*F37/10000,1)</f>
        <v>0</v>
      </c>
      <c r="D36" s="803" t="s">
        <v>663</v>
      </c>
      <c r="E36" s="774" t="s">
        <v>664</v>
      </c>
      <c r="F36" s="632">
        <f>'数据-取费表'!B52</f>
        <v>6</v>
      </c>
      <c r="G36" s="1945"/>
      <c r="H36" s="1948"/>
      <c r="I36" s="3617"/>
      <c r="J36" s="1962"/>
      <c r="K36" s="1963"/>
      <c r="L36" s="1962"/>
      <c r="M36" s="1962"/>
    </row>
    <row r="37" spans="1:18" ht="18" customHeight="1">
      <c r="A37" s="804"/>
      <c r="B37" s="783"/>
      <c r="C37" s="69"/>
      <c r="D37" s="805"/>
      <c r="E37" s="774" t="s">
        <v>668</v>
      </c>
      <c r="F37" s="775">
        <f ca="1">INDIRECT("'数据-取费表'!r"&amp;$G$1)</f>
        <v>0</v>
      </c>
      <c r="G37" s="1945"/>
      <c r="H37" s="1948"/>
      <c r="I37" s="3617"/>
      <c r="J37" s="1960"/>
      <c r="K37" s="1961"/>
      <c r="L37" s="1960"/>
      <c r="M37" s="1960"/>
    </row>
    <row r="38" spans="1:18" ht="18" customHeight="1">
      <c r="A38" s="793" t="s">
        <v>1867</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1868</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1869</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3" t="s">
        <v>1866</v>
      </c>
      <c r="B42" s="824" t="s">
        <v>687</v>
      </c>
      <c r="C42" s="818">
        <f ca="1">C7-C32</f>
        <v>0</v>
      </c>
      <c r="D42" s="1893" t="s">
        <v>688</v>
      </c>
      <c r="E42" s="1895"/>
      <c r="F42" s="809"/>
      <c r="G42" s="1945"/>
      <c r="H42" s="1945"/>
      <c r="I42" s="1945"/>
      <c r="J42" s="1945"/>
      <c r="K42" s="1965"/>
      <c r="L42" s="1945"/>
      <c r="M42" s="1945"/>
    </row>
    <row r="43" spans="1:18" ht="18" customHeight="1">
      <c r="A43" s="793" t="s">
        <v>1867</v>
      </c>
      <c r="B43" s="824" t="s">
        <v>705</v>
      </c>
      <c r="C43" s="825">
        <f ca="1">ROUND(C15*F43,0)</f>
        <v>0</v>
      </c>
      <c r="D43" s="1308" t="s">
        <v>706</v>
      </c>
      <c r="E43" s="2795" t="s">
        <v>2921</v>
      </c>
      <c r="F43" s="2796">
        <f ca="1">INDIRECT("'数据-取费表'!j"&amp;$G$1)</f>
        <v>0</v>
      </c>
      <c r="G43" s="1945"/>
      <c r="H43" s="1945"/>
      <c r="I43" s="1945"/>
      <c r="J43" s="1945"/>
      <c r="K43" s="1965"/>
      <c r="L43" s="1945"/>
      <c r="M43" s="1945"/>
    </row>
    <row r="44" spans="1:18" ht="18" customHeight="1">
      <c r="A44" s="793" t="s">
        <v>1868</v>
      </c>
      <c r="B44" s="824" t="s">
        <v>707</v>
      </c>
      <c r="C44" s="1309">
        <f ca="1">C42-C43</f>
        <v>0</v>
      </c>
      <c r="D44" s="457" t="s">
        <v>708</v>
      </c>
      <c r="E44" s="458"/>
      <c r="F44" s="459"/>
      <c r="G44" s="1945"/>
      <c r="H44" s="1945"/>
      <c r="I44" s="1945"/>
      <c r="J44" s="1945"/>
      <c r="K44" s="1965"/>
      <c r="L44" s="1945"/>
      <c r="M44" s="1945"/>
    </row>
    <row r="45" spans="1:18" ht="18" customHeight="1">
      <c r="A45" s="793" t="s">
        <v>1869</v>
      </c>
      <c r="B45" s="1308" t="s">
        <v>709</v>
      </c>
      <c r="C45" s="2751">
        <f ca="1">ROUND(-PV(F45,F46,C44,0),0)</f>
        <v>0</v>
      </c>
      <c r="D45" s="1310" t="s">
        <v>710</v>
      </c>
      <c r="E45" s="796" t="s">
        <v>711</v>
      </c>
      <c r="F45" s="819">
        <f ca="1">INDIRECT("'数据-取费表'!h"&amp;$G$1)</f>
        <v>0</v>
      </c>
      <c r="G45" s="1945"/>
      <c r="H45" s="1945"/>
      <c r="I45" s="1945"/>
      <c r="J45" s="1945"/>
      <c r="K45" s="1965"/>
      <c r="L45" s="1945"/>
      <c r="M45" s="1945"/>
    </row>
    <row r="46" spans="1:18" ht="18" customHeight="1" thickBot="1">
      <c r="A46" s="820"/>
      <c r="B46" s="1311"/>
      <c r="C46" s="1312"/>
      <c r="D46" s="1313"/>
      <c r="E46" s="2797" t="s">
        <v>2924</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2327</v>
      </c>
      <c r="J47" s="2234"/>
      <c r="K47" s="2235"/>
      <c r="L47" s="2811" t="str">
        <f ca="1">IF(M48="住宅",0,IF(L49&gt;J52,L61,J61))</f>
        <v>0</v>
      </c>
      <c r="O47" s="2249" t="s">
        <v>2394</v>
      </c>
      <c r="P47" s="1526"/>
      <c r="Q47" s="1534"/>
      <c r="R47" s="1526"/>
    </row>
    <row r="48" spans="1:18" s="1942" customFormat="1" ht="18" customHeight="1" thickBot="1">
      <c r="A48" s="1966"/>
      <c r="C48" s="1969"/>
      <c r="D48" s="1970"/>
      <c r="E48" s="1970"/>
      <c r="F48" s="1971"/>
      <c r="G48" s="1972"/>
      <c r="I48" s="2802" t="s">
        <v>2328</v>
      </c>
      <c r="J48" s="2236"/>
      <c r="K48" s="2808" t="s">
        <v>2333</v>
      </c>
      <c r="L48" s="2812">
        <f ca="1">INDIRECT("'数据-取费表'!d"&amp;$G$1)</f>
        <v>0</v>
      </c>
      <c r="M48" s="2794" t="str">
        <f>IF(ISNUMBER(FIND("住宅",C1)),"住宅","非住宅")</f>
        <v>非住宅</v>
      </c>
      <c r="O48" s="2250" t="s">
        <v>2359</v>
      </c>
      <c r="P48" s="2251" t="s">
        <v>2360</v>
      </c>
      <c r="Q48" s="2252" t="s">
        <v>2361</v>
      </c>
      <c r="R48" s="2251" t="s">
        <v>2362</v>
      </c>
    </row>
    <row r="49" spans="1:18" s="1942" customFormat="1" ht="18" customHeight="1" thickBot="1">
      <c r="A49" s="1966"/>
      <c r="D49" s="1973"/>
      <c r="E49" s="1974"/>
      <c r="F49" s="1971"/>
      <c r="G49" s="1972"/>
      <c r="H49" s="1975"/>
      <c r="I49" s="2799" t="s">
        <v>2329</v>
      </c>
      <c r="J49" s="2237"/>
      <c r="K49" s="2809" t="s">
        <v>2335</v>
      </c>
      <c r="L49" s="1822">
        <f ca="1">INDIRECT("'数据-取费表'!f"&amp;$G$1)</f>
        <v>0</v>
      </c>
      <c r="O49" s="2253" t="s">
        <v>2363</v>
      </c>
      <c r="P49" s="2254" t="s">
        <v>2389</v>
      </c>
      <c r="Q49" s="2255">
        <f ca="1">C41+J31</f>
        <v>0</v>
      </c>
      <c r="R49" s="2254" t="s">
        <v>2364</v>
      </c>
    </row>
    <row r="50" spans="1:18" s="1942" customFormat="1" ht="18" customHeight="1" thickBot="1">
      <c r="A50" s="1966"/>
      <c r="D50" s="1976"/>
      <c r="E50" s="1976"/>
      <c r="F50" s="1970"/>
      <c r="G50" s="1977"/>
      <c r="H50" s="1975"/>
      <c r="I50" s="2799" t="s">
        <v>2330</v>
      </c>
      <c r="J50" s="2238"/>
      <c r="K50" s="2810" t="s">
        <v>2336</v>
      </c>
      <c r="L50" s="2239"/>
      <c r="O50" s="2253" t="s">
        <v>2365</v>
      </c>
      <c r="P50" s="2254" t="s">
        <v>2390</v>
      </c>
      <c r="Q50" s="2255" t="str">
        <f ca="1">J61</f>
        <v>0</v>
      </c>
      <c r="R50" s="2254" t="s">
        <v>2366</v>
      </c>
    </row>
    <row r="51" spans="1:18" s="1942" customFormat="1" ht="18" customHeight="1" thickBot="1">
      <c r="A51" s="1978"/>
      <c r="D51" s="1976"/>
      <c r="E51" s="1976"/>
      <c r="F51" s="1967"/>
      <c r="H51" s="1975"/>
      <c r="I51" s="2799" t="s">
        <v>2331</v>
      </c>
      <c r="J51" s="2806">
        <f>SUMPRODUCT((I64:I66=J48)*(J63:L63=J49)*(J64:L66))</f>
        <v>0</v>
      </c>
      <c r="K51" s="2810" t="s">
        <v>2337</v>
      </c>
      <c r="L51" s="2239"/>
      <c r="O51" s="2256" t="s">
        <v>2367</v>
      </c>
      <c r="P51" s="2254" t="s">
        <v>2391</v>
      </c>
      <c r="Q51" s="2255">
        <f ca="1">C31</f>
        <v>0</v>
      </c>
      <c r="R51" s="2254" t="s">
        <v>2364</v>
      </c>
    </row>
    <row r="52" spans="1:18" s="1942" customFormat="1" ht="18" customHeight="1" thickBot="1">
      <c r="A52" s="1978"/>
      <c r="F52" s="1967"/>
      <c r="I52" s="2803" t="s">
        <v>2332</v>
      </c>
      <c r="J52" s="2807">
        <f>IF(J50="",J51,J50+J51-YEAR('数据-取费表'!B3))</f>
        <v>0</v>
      </c>
      <c r="K52" s="2799" t="s">
        <v>2338</v>
      </c>
      <c r="L52" s="2813">
        <f ca="1">C45</f>
        <v>0</v>
      </c>
      <c r="O52" s="2256" t="s">
        <v>2368</v>
      </c>
      <c r="P52" s="2254" t="s">
        <v>2369</v>
      </c>
      <c r="Q52" s="2257" t="e">
        <f ca="1">J59</f>
        <v>#VALUE!</v>
      </c>
      <c r="R52" s="2258"/>
    </row>
    <row r="53" spans="1:18" s="1942" customFormat="1" ht="18" customHeight="1" thickBot="1">
      <c r="A53" s="1978"/>
      <c r="F53" s="1967"/>
      <c r="I53" s="2804" t="s">
        <v>2405</v>
      </c>
      <c r="J53" s="2240"/>
      <c r="K53" s="2804" t="s">
        <v>2404</v>
      </c>
      <c r="L53" s="2240"/>
      <c r="O53" s="2256" t="s">
        <v>2370</v>
      </c>
      <c r="P53" s="2254" t="s">
        <v>2371</v>
      </c>
      <c r="Q53" s="2257">
        <f>J53</f>
        <v>0</v>
      </c>
      <c r="R53" s="2258"/>
    </row>
    <row r="54" spans="1:18" s="1942" customFormat="1" ht="29.25" thickBot="1">
      <c r="A54" s="1978"/>
      <c r="I54" s="2805" t="s">
        <v>2936</v>
      </c>
      <c r="J54" s="2858">
        <f ca="1">IF(M48="住宅",MAX(J52,L49-'数据-取费表'!B20),MIN(J52,L49-'数据-取费表'!B20))</f>
        <v>-2</v>
      </c>
      <c r="K54" s="3622"/>
      <c r="L54" s="3623"/>
      <c r="O54" s="2256" t="s">
        <v>2372</v>
      </c>
      <c r="P54" s="2254" t="s">
        <v>2373</v>
      </c>
      <c r="Q54" s="2255">
        <f ca="1">J54</f>
        <v>-2</v>
      </c>
      <c r="R54" s="2254" t="s">
        <v>2374</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2375</v>
      </c>
      <c r="P55" s="2254" t="s">
        <v>2392</v>
      </c>
      <c r="Q55" s="2255">
        <f ca="1">Q49+Q50</f>
        <v>0</v>
      </c>
      <c r="R55" s="2258" t="s">
        <v>2376</v>
      </c>
    </row>
    <row r="56" spans="1:18" s="1942" customFormat="1" ht="16.5" thickBot="1">
      <c r="A56" s="1978"/>
      <c r="B56" s="1979"/>
      <c r="C56" s="1979"/>
      <c r="I56" s="2816" t="s">
        <v>2339</v>
      </c>
      <c r="J56" s="2788" t="e">
        <f ca="1">ROUND(IF(J48="钢混",J58/J51,1-(1-2%)*(J51-J58)/J51),3)</f>
        <v>#VALUE!</v>
      </c>
      <c r="K56" s="2817" t="s">
        <v>2340</v>
      </c>
      <c r="L56" s="2241"/>
      <c r="O56" s="2259" t="s">
        <v>2395</v>
      </c>
      <c r="P56" s="1526"/>
      <c r="Q56" s="1534"/>
      <c r="R56" s="1526"/>
    </row>
    <row r="57" spans="1:18" s="1942" customFormat="1" ht="43.5" thickBot="1">
      <c r="A57" s="1978"/>
      <c r="B57" s="1979"/>
      <c r="C57" s="1979"/>
      <c r="I57" s="2818" t="s">
        <v>2341</v>
      </c>
      <c r="J57" s="2828" t="s">
        <v>1668</v>
      </c>
      <c r="K57" s="2799" t="s">
        <v>2346</v>
      </c>
      <c r="L57" s="1822">
        <f ca="1">IF(L49&lt;J52,"——",L49-J52)</f>
        <v>0</v>
      </c>
      <c r="O57" s="2250" t="s">
        <v>2359</v>
      </c>
      <c r="P57" s="2251" t="s">
        <v>2360</v>
      </c>
      <c r="Q57" s="2252" t="s">
        <v>2361</v>
      </c>
      <c r="R57" s="2251" t="s">
        <v>2362</v>
      </c>
    </row>
    <row r="58" spans="1:18" s="1942" customFormat="1" ht="29.25" thickBot="1">
      <c r="A58" s="1978"/>
      <c r="B58" s="1979"/>
      <c r="C58" s="1979"/>
      <c r="I58" s="2819" t="s">
        <v>2342</v>
      </c>
      <c r="J58" s="2820" t="str">
        <f ca="1">IF(OR(M48="住宅",J52&lt;L49,J57="是"),"——",J52-L49)</f>
        <v>——</v>
      </c>
      <c r="K58" s="2799" t="s">
        <v>2347</v>
      </c>
      <c r="L58" s="1822">
        <f ca="1">IF(L49&lt;J52,"——",IF(L56="比较法",L50,IF(L56="基准地价",L51,L52)))</f>
        <v>0</v>
      </c>
      <c r="O58" s="2253" t="s">
        <v>2363</v>
      </c>
      <c r="P58" s="2254" t="s">
        <v>2389</v>
      </c>
      <c r="Q58" s="2255">
        <f ca="1">C41+J31</f>
        <v>0</v>
      </c>
      <c r="R58" s="2254" t="s">
        <v>2364</v>
      </c>
    </row>
    <row r="59" spans="1:18" s="1942" customFormat="1" ht="29.25" thickBot="1">
      <c r="A59" s="1978"/>
      <c r="B59" s="1979"/>
      <c r="C59" s="1979"/>
      <c r="I59" s="2819" t="s">
        <v>2343</v>
      </c>
      <c r="J59" s="2789" t="e">
        <f ca="1">IF(J56&lt;0.4,0.4,J56)</f>
        <v>#VALUE!</v>
      </c>
      <c r="K59" s="2799" t="s">
        <v>2348</v>
      </c>
      <c r="L59" s="1822">
        <f ca="1">IF(ISERROR(POWER(1+L53,L48-L49)*(POWER(1+L53,L49)-1)/(POWER(1+L53,L48)-1)),0,POWER(1+L53,L48-L49)*(POWER(1+L53,L49)-1)/(POWER(1+L53,L48)-1))</f>
        <v>0</v>
      </c>
      <c r="O59" s="2253" t="s">
        <v>2365</v>
      </c>
      <c r="P59" s="2254" t="s">
        <v>2396</v>
      </c>
      <c r="Q59" s="2255" t="e">
        <f ca="1">L61</f>
        <v>#DIV/0!</v>
      </c>
      <c r="R59" s="2258" t="s">
        <v>2398</v>
      </c>
    </row>
    <row r="60" spans="1:18" s="1942" customFormat="1" ht="29.25" thickBot="1">
      <c r="A60" s="1978"/>
      <c r="B60" s="1979"/>
      <c r="C60" s="1979"/>
      <c r="I60" s="2819" t="s">
        <v>2344</v>
      </c>
      <c r="J60" s="2820" t="str">
        <f ca="1">IF(OR(M48="住宅",J52&lt;L49,J57="是"),"——",ROUND(C30*J59,0))</f>
        <v>——</v>
      </c>
      <c r="K60" s="2799" t="s">
        <v>2349</v>
      </c>
      <c r="L60" s="1822">
        <f ca="1">IF(ISERROR(POWER(1+L53,L48-J52)*(POWER(1+L53,J52)-1)/(POWER(1+L53,L48)-1)),0,POWER(1+L53,L48-J52)*(POWER(1+L53,J52)-1)/(POWER(1+L53,L48)-1))</f>
        <v>0</v>
      </c>
      <c r="O60" s="2256" t="s">
        <v>2367</v>
      </c>
      <c r="P60" s="2254" t="s">
        <v>2397</v>
      </c>
      <c r="Q60" s="2255">
        <f>IF(L56="比较法",L50,IF(L56="基准地价",L51,0))</f>
        <v>0</v>
      </c>
      <c r="R60" s="2254" t="s">
        <v>2364</v>
      </c>
    </row>
    <row r="61" spans="1:18" s="1942" customFormat="1" ht="15.75" thickBot="1">
      <c r="A61" s="1978"/>
      <c r="B61" s="1979"/>
      <c r="C61" s="1979"/>
      <c r="I61" s="2821" t="s">
        <v>2345</v>
      </c>
      <c r="J61" s="2822" t="str">
        <f ca="1">IF(OR(M48="住宅",J52&lt;L49,J57="是"),"0",ROUND(J60/(1+J53)^J54,0))</f>
        <v>0</v>
      </c>
      <c r="K61" s="2823" t="s">
        <v>2350</v>
      </c>
      <c r="L61" s="2822" t="e">
        <f ca="1">IF(OR(M48="住宅",L49&lt;J52),0,ROUND(L58*(L59/L60-1),0))</f>
        <v>#DIV/0!</v>
      </c>
      <c r="O61" s="2256" t="s">
        <v>2368</v>
      </c>
      <c r="P61" s="2254" t="s">
        <v>2377</v>
      </c>
      <c r="Q61" s="2257">
        <f>L53</f>
        <v>0</v>
      </c>
      <c r="R61" s="2258"/>
    </row>
    <row r="62" spans="1:18" s="1942" customFormat="1" ht="20.25" thickBot="1">
      <c r="A62" s="1978"/>
      <c r="B62" s="1979"/>
      <c r="C62" s="1979"/>
      <c r="K62" s="1968"/>
      <c r="O62" s="2256" t="s">
        <v>2370</v>
      </c>
      <c r="P62" s="2254" t="s">
        <v>2378</v>
      </c>
      <c r="Q62" s="2255">
        <f ca="1">L59</f>
        <v>0</v>
      </c>
      <c r="R62" s="2258" t="s">
        <v>2379</v>
      </c>
    </row>
    <row r="63" spans="1:18" s="1942" customFormat="1" ht="20.25" thickBot="1">
      <c r="A63" s="1978"/>
      <c r="B63" s="1979"/>
      <c r="C63" s="1979"/>
      <c r="I63" s="2824" t="s">
        <v>2351</v>
      </c>
      <c r="J63" s="2825" t="s">
        <v>2352</v>
      </c>
      <c r="K63" s="2825" t="s">
        <v>2353</v>
      </c>
      <c r="L63" s="2825" t="s">
        <v>2334</v>
      </c>
      <c r="M63" s="2826" t="s">
        <v>2904</v>
      </c>
      <c r="O63" s="2256" t="s">
        <v>2372</v>
      </c>
      <c r="P63" s="2254" t="s">
        <v>2380</v>
      </c>
      <c r="Q63" s="2255">
        <f ca="1">L60</f>
        <v>0</v>
      </c>
      <c r="R63" s="2258" t="s">
        <v>2381</v>
      </c>
    </row>
    <row r="64" spans="1:18" s="1942" customFormat="1" ht="15.75" thickBot="1">
      <c r="A64" s="1978"/>
      <c r="B64" s="1979"/>
      <c r="C64" s="1979"/>
      <c r="I64" s="2824" t="s">
        <v>2354</v>
      </c>
      <c r="J64" s="2825">
        <v>70</v>
      </c>
      <c r="K64" s="2825">
        <v>50</v>
      </c>
      <c r="L64" s="2825">
        <v>80</v>
      </c>
      <c r="M64" s="2827">
        <v>0.02</v>
      </c>
      <c r="O64" s="2253" t="s">
        <v>2375</v>
      </c>
      <c r="P64" s="2254" t="s">
        <v>2392</v>
      </c>
      <c r="Q64" s="2255" t="e">
        <f ca="1">Q58+Q59</f>
        <v>#DIV/0!</v>
      </c>
      <c r="R64" s="2258" t="s">
        <v>2376</v>
      </c>
    </row>
    <row r="65" spans="1:18" s="1942" customFormat="1" ht="16.5" thickBot="1">
      <c r="A65" s="1978"/>
      <c r="B65" s="1979"/>
      <c r="C65" s="1979"/>
      <c r="I65" s="2824" t="s">
        <v>2355</v>
      </c>
      <c r="J65" s="2825">
        <v>50</v>
      </c>
      <c r="K65" s="2825">
        <v>35</v>
      </c>
      <c r="L65" s="2825">
        <v>60</v>
      </c>
      <c r="M65" s="835">
        <v>0</v>
      </c>
      <c r="O65" s="2259" t="s">
        <v>2399</v>
      </c>
      <c r="P65" s="1526"/>
      <c r="Q65" s="1534"/>
      <c r="R65" s="1526"/>
    </row>
    <row r="66" spans="1:18" s="1942" customFormat="1" ht="15.75" thickBot="1">
      <c r="A66" s="1978"/>
      <c r="B66" s="1979"/>
      <c r="C66" s="1979"/>
      <c r="I66" s="2824" t="s">
        <v>2356</v>
      </c>
      <c r="J66" s="2825">
        <v>40</v>
      </c>
      <c r="K66" s="2825">
        <v>30</v>
      </c>
      <c r="L66" s="2825">
        <v>50</v>
      </c>
      <c r="M66" s="2827">
        <v>0.02</v>
      </c>
      <c r="O66" s="2250" t="s">
        <v>2359</v>
      </c>
      <c r="P66" s="2251" t="s">
        <v>2360</v>
      </c>
      <c r="Q66" s="2252" t="s">
        <v>2361</v>
      </c>
      <c r="R66" s="2251" t="s">
        <v>2362</v>
      </c>
    </row>
    <row r="67" spans="1:18" s="1942" customFormat="1" ht="15.75" thickBot="1">
      <c r="A67" s="1978"/>
      <c r="B67" s="1979"/>
      <c r="C67" s="1979"/>
      <c r="K67" s="1968"/>
      <c r="O67" s="2253" t="s">
        <v>2363</v>
      </c>
      <c r="P67" s="2254" t="s">
        <v>2389</v>
      </c>
      <c r="Q67" s="2255">
        <f ca="1">C41+J31</f>
        <v>0</v>
      </c>
      <c r="R67" s="2254" t="s">
        <v>2364</v>
      </c>
    </row>
    <row r="68" spans="1:18" s="1942" customFormat="1" ht="20.25" thickBot="1">
      <c r="A68" s="1978"/>
      <c r="B68" s="1979"/>
      <c r="C68" s="1979"/>
      <c r="K68" s="1968"/>
      <c r="O68" s="2253" t="s">
        <v>2365</v>
      </c>
      <c r="P68" s="2254" t="s">
        <v>2396</v>
      </c>
      <c r="Q68" s="2255" t="e">
        <f ca="1">L61</f>
        <v>#DIV/0!</v>
      </c>
      <c r="R68" s="2258" t="s">
        <v>2398</v>
      </c>
    </row>
    <row r="69" spans="1:18" s="1942" customFormat="1" ht="21.75" thickBot="1">
      <c r="A69" s="1978"/>
      <c r="B69" s="1979"/>
      <c r="C69" s="1979"/>
      <c r="K69" s="1968"/>
      <c r="O69" s="2256" t="s">
        <v>2367</v>
      </c>
      <c r="P69" s="2254" t="s">
        <v>2397</v>
      </c>
      <c r="Q69" s="2260">
        <f ca="1">L52</f>
        <v>0</v>
      </c>
      <c r="R69" s="2261" t="s">
        <v>2400</v>
      </c>
    </row>
    <row r="70" spans="1:18" s="1942" customFormat="1" ht="20.25" thickBot="1">
      <c r="A70" s="1978"/>
      <c r="B70" s="1979"/>
      <c r="C70" s="1979"/>
      <c r="K70" s="1968"/>
      <c r="O70" s="2256" t="s">
        <v>2368</v>
      </c>
      <c r="P70" s="2262" t="s">
        <v>2382</v>
      </c>
      <c r="Q70" s="2255">
        <f ca="1">ROUND(Q71-Q72*Q73,0)</f>
        <v>0</v>
      </c>
      <c r="R70" s="2258"/>
    </row>
    <row r="71" spans="1:18" s="1942" customFormat="1" ht="15.75" thickBot="1">
      <c r="A71" s="1978"/>
      <c r="B71" s="1979"/>
      <c r="C71" s="1979"/>
      <c r="K71" s="1968"/>
      <c r="O71" s="2256" t="s">
        <v>2383</v>
      </c>
      <c r="P71" s="2262" t="s">
        <v>2384</v>
      </c>
      <c r="Q71" s="2255">
        <f ca="1">C42</f>
        <v>0</v>
      </c>
      <c r="R71" s="2254" t="s">
        <v>2364</v>
      </c>
    </row>
    <row r="72" spans="1:18" s="1942" customFormat="1" ht="15.75" thickBot="1">
      <c r="A72" s="1978"/>
      <c r="B72" s="1979"/>
      <c r="C72" s="1979"/>
      <c r="K72" s="1968"/>
      <c r="O72" s="2256" t="s">
        <v>2385</v>
      </c>
      <c r="P72" s="2262" t="s">
        <v>2386</v>
      </c>
      <c r="Q72" s="2255">
        <f ca="1">C15</f>
        <v>0</v>
      </c>
      <c r="R72" s="2254" t="s">
        <v>2364</v>
      </c>
    </row>
    <row r="73" spans="1:18" s="1942" customFormat="1" ht="15.75" thickBot="1">
      <c r="A73" s="1978"/>
      <c r="B73" s="1979"/>
      <c r="C73" s="1979"/>
      <c r="K73" s="1968"/>
      <c r="O73" s="2256" t="s">
        <v>2387</v>
      </c>
      <c r="P73" s="2262" t="s">
        <v>2388</v>
      </c>
      <c r="Q73" s="2257">
        <f ca="1">F43</f>
        <v>0</v>
      </c>
      <c r="R73" s="2258"/>
    </row>
    <row r="74" spans="1:18" s="1942" customFormat="1" ht="15.75" thickBot="1">
      <c r="A74" s="1978"/>
      <c r="B74" s="1979"/>
      <c r="C74" s="1979"/>
      <c r="K74" s="1968"/>
      <c r="O74" s="2256" t="s">
        <v>2370</v>
      </c>
      <c r="P74" s="2254" t="s">
        <v>2377</v>
      </c>
      <c r="Q74" s="2257">
        <f>L53</f>
        <v>0</v>
      </c>
      <c r="R74" s="2258"/>
    </row>
    <row r="75" spans="1:18" s="1942" customFormat="1" ht="20.25" thickBot="1">
      <c r="A75" s="1978"/>
      <c r="B75" s="1979"/>
      <c r="C75" s="1979"/>
      <c r="K75" s="1968"/>
      <c r="O75" s="2256" t="s">
        <v>2372</v>
      </c>
      <c r="P75" s="2254" t="s">
        <v>2378</v>
      </c>
      <c r="Q75" s="2255">
        <f ca="1">L59</f>
        <v>0</v>
      </c>
      <c r="R75" s="2258" t="s">
        <v>2379</v>
      </c>
    </row>
    <row r="76" spans="1:18" s="1942" customFormat="1" ht="20.25" thickBot="1">
      <c r="A76" s="1978"/>
      <c r="B76" s="1979"/>
      <c r="C76" s="1979"/>
      <c r="K76" s="1968"/>
      <c r="O76" s="2256" t="s">
        <v>2401</v>
      </c>
      <c r="P76" s="2254" t="s">
        <v>2380</v>
      </c>
      <c r="Q76" s="2255">
        <f ca="1">L60</f>
        <v>0</v>
      </c>
      <c r="R76" s="2258" t="s">
        <v>2381</v>
      </c>
    </row>
    <row r="77" spans="1:18" s="1942" customFormat="1" ht="15.75" thickBot="1">
      <c r="A77" s="1978"/>
      <c r="B77" s="1979"/>
      <c r="C77" s="1979"/>
      <c r="K77" s="1968"/>
      <c r="O77" s="2253" t="s">
        <v>2375</v>
      </c>
      <c r="P77" s="2254" t="s">
        <v>2392</v>
      </c>
      <c r="Q77" s="2255" t="e">
        <f ca="1">Q67+Q68</f>
        <v>#DIV/0!</v>
      </c>
      <c r="R77" s="2258" t="s">
        <v>2376</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F13" sqref="F13"/>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c r="D1" s="2798" t="s">
        <v>942</v>
      </c>
      <c r="E1" s="2242" t="s">
        <v>2358</v>
      </c>
      <c r="F1" s="2243">
        <f ca="1">J53</f>
        <v>0</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1716</v>
      </c>
      <c r="B2" s="765" t="e">
        <f ca="1">C40+J29+L46</f>
        <v>#DIV/0!</v>
      </c>
      <c r="C2" s="3264"/>
      <c r="D2" s="3265"/>
      <c r="E2" s="3266"/>
      <c r="F2" s="3266"/>
      <c r="G2" s="3260"/>
      <c r="H2" s="1940"/>
      <c r="I2" s="1940"/>
      <c r="J2" s="1940"/>
      <c r="K2" s="1941"/>
      <c r="L2" s="1940"/>
      <c r="M2" s="1940"/>
    </row>
    <row r="3" spans="1:33" ht="18" customHeight="1" thickBot="1">
      <c r="A3" s="822" t="s">
        <v>1717</v>
      </c>
      <c r="B3" s="823">
        <f ca="1">IF(ISERROR(B2*10000/F43),0,ROUND(B2*10000/F43,0))</f>
        <v>0</v>
      </c>
      <c r="C3" s="3264"/>
      <c r="D3" s="3265"/>
      <c r="E3" s="3266"/>
      <c r="F3" s="3266"/>
      <c r="G3" s="3260"/>
      <c r="H3" s="766" t="s">
        <v>689</v>
      </c>
      <c r="I3" s="1315"/>
      <c r="J3" s="1315"/>
      <c r="K3" s="1525"/>
      <c r="L3" s="1315"/>
      <c r="M3" s="1315"/>
    </row>
    <row r="4" spans="1:33" ht="18" customHeight="1">
      <c r="A4" s="767" t="s">
        <v>1718</v>
      </c>
      <c r="B4" s="768" t="s">
        <v>1719</v>
      </c>
      <c r="C4" s="768" t="s">
        <v>1720</v>
      </c>
      <c r="D4" s="768" t="s">
        <v>627</v>
      </c>
      <c r="E4" s="769" t="s">
        <v>1721</v>
      </c>
      <c r="F4" s="770"/>
      <c r="G4" s="1945"/>
      <c r="H4" s="767" t="s">
        <v>1722</v>
      </c>
      <c r="I4" s="768" t="s">
        <v>1723</v>
      </c>
      <c r="J4" s="768" t="s">
        <v>1724</v>
      </c>
      <c r="K4" s="768" t="s">
        <v>1725</v>
      </c>
      <c r="L4" s="769" t="s">
        <v>1726</v>
      </c>
      <c r="M4" s="770"/>
    </row>
    <row r="5" spans="1:33" ht="18" customHeight="1">
      <c r="A5" s="771">
        <v>1</v>
      </c>
      <c r="B5" s="772" t="s">
        <v>2438</v>
      </c>
      <c r="C5" s="55">
        <f ca="1">C6+C10+C12</f>
        <v>0</v>
      </c>
      <c r="D5" s="2349" t="s">
        <v>2441</v>
      </c>
      <c r="E5" s="2343"/>
      <c r="F5" s="2344"/>
      <c r="G5" s="1945"/>
      <c r="H5" s="771">
        <v>1</v>
      </c>
      <c r="I5" s="772" t="s">
        <v>2438</v>
      </c>
      <c r="J5" s="55">
        <f ca="1">J6+J10+J12</f>
        <v>0</v>
      </c>
      <c r="K5" s="2349" t="s">
        <v>2441</v>
      </c>
      <c r="L5" s="2343"/>
      <c r="M5" s="2344"/>
    </row>
    <row r="6" spans="1:33" ht="18" customHeight="1">
      <c r="A6" s="1745" t="s">
        <v>1814</v>
      </c>
      <c r="B6" s="3618" t="s">
        <v>2443</v>
      </c>
      <c r="C6" s="773">
        <f ca="1">ROUND(F6*F8*F7*(1-F9)/10000,0)</f>
        <v>0</v>
      </c>
      <c r="D6" s="2350" t="s">
        <v>2442</v>
      </c>
      <c r="E6" s="774" t="s">
        <v>1728</v>
      </c>
      <c r="F6" s="775">
        <f ca="1">INDIRECT("'数据-取费表'!u"&amp;$G$1)</f>
        <v>0</v>
      </c>
      <c r="G6" s="1945"/>
      <c r="H6" s="2357" t="s">
        <v>2448</v>
      </c>
      <c r="I6" s="3618" t="s">
        <v>2443</v>
      </c>
      <c r="J6" s="773">
        <f ca="1">ROUND(M6*M8*M7*(1-M9)/10000,0)</f>
        <v>0</v>
      </c>
      <c r="K6" s="339" t="s">
        <v>1727</v>
      </c>
      <c r="L6" s="774" t="s">
        <v>1728</v>
      </c>
      <c r="M6" s="775">
        <f ca="1">INDIRECT("'数据-取费表'!z"&amp;$G$1)</f>
        <v>0</v>
      </c>
    </row>
    <row r="7" spans="1:33" ht="18" customHeight="1">
      <c r="A7" s="2353"/>
      <c r="B7" s="3619"/>
      <c r="C7" s="778"/>
      <c r="D7" s="779"/>
      <c r="E7" s="774" t="s">
        <v>1729</v>
      </c>
      <c r="F7" s="775">
        <f ca="1">IF(INDIRECT("'数据-取费表'!ah"&amp;$G$1)="",INDIRECT("'数据-取费表'!k"&amp;$G$1),INDIRECT("'数据-取费表'!ah"&amp;$G$1))</f>
        <v>0</v>
      </c>
      <c r="G7" s="1945"/>
      <c r="H7" s="2342"/>
      <c r="I7" s="3619"/>
      <c r="J7" s="778"/>
      <c r="K7" s="779"/>
      <c r="L7" s="774" t="s">
        <v>1729</v>
      </c>
      <c r="M7" s="775">
        <f ca="1">F7</f>
        <v>0</v>
      </c>
    </row>
    <row r="8" spans="1:33" ht="18" customHeight="1">
      <c r="A8" s="2346"/>
      <c r="B8" s="3620"/>
      <c r="C8" s="778"/>
      <c r="D8" s="779"/>
      <c r="E8" s="774" t="s">
        <v>1730</v>
      </c>
      <c r="F8" s="775">
        <f ca="1">INDIRECT("'数据-取费表'!ai"&amp;$G$1)</f>
        <v>0</v>
      </c>
      <c r="G8" s="1945"/>
      <c r="H8" s="2342"/>
      <c r="I8" s="3620"/>
      <c r="J8" s="778"/>
      <c r="K8" s="779"/>
      <c r="L8" s="774" t="s">
        <v>1730</v>
      </c>
      <c r="M8" s="775">
        <f ca="1">INDIRECT("'数据-取费表'!ai"&amp;$G$1)</f>
        <v>0</v>
      </c>
    </row>
    <row r="9" spans="1:33" ht="18" customHeight="1">
      <c r="A9" s="776"/>
      <c r="B9" s="3621"/>
      <c r="C9" s="778"/>
      <c r="D9" s="779"/>
      <c r="E9" s="774" t="s">
        <v>1731</v>
      </c>
      <c r="F9" s="784">
        <f ca="1">INDIRECT("'数据-取费表'!w"&amp;$G$1)</f>
        <v>0</v>
      </c>
      <c r="G9" s="1945"/>
      <c r="H9" s="2358"/>
      <c r="I9" s="3620"/>
      <c r="J9" s="778"/>
      <c r="K9" s="779"/>
      <c r="L9" s="785" t="s">
        <v>1731</v>
      </c>
      <c r="M9" s="786">
        <f ca="1">INDIRECT("'数据-取费表'!ab"&amp;$G$1)</f>
        <v>0</v>
      </c>
    </row>
    <row r="10" spans="1:33" ht="18" customHeight="1">
      <c r="A10" s="1745" t="s">
        <v>2446</v>
      </c>
      <c r="B10" s="2347" t="s">
        <v>2439</v>
      </c>
      <c r="C10" s="789">
        <f ca="1">ROUND(IF(F10="押一",C6/12*F11,IF(F10="押二",C6/12*2*F11,IF(F10="押三",C6/12*3*F11,C11*F11))),0)</f>
        <v>0</v>
      </c>
      <c r="D10" s="2354" t="s">
        <v>2932</v>
      </c>
      <c r="E10" s="2351" t="s">
        <v>2444</v>
      </c>
      <c r="F10" s="2465"/>
      <c r="G10" s="1945"/>
      <c r="H10" s="2414" t="s">
        <v>2449</v>
      </c>
      <c r="I10" s="2419" t="s">
        <v>2439</v>
      </c>
      <c r="J10" s="773">
        <f ca="1">ROUND(IF(M10="押一",J6/12*M11,IF(M10="押二",J6/12*2*M11,IF(M10="押三",J6/12*3*M11,J11*M11))),0)</f>
        <v>0</v>
      </c>
      <c r="K10" s="2354" t="s">
        <v>2932</v>
      </c>
      <c r="L10" s="2351" t="s">
        <v>2444</v>
      </c>
      <c r="M10" s="2465"/>
    </row>
    <row r="11" spans="1:33" ht="18" customHeight="1">
      <c r="A11" s="780"/>
      <c r="B11" s="2348" t="s">
        <v>2553</v>
      </c>
      <c r="C11" s="2352"/>
      <c r="D11" s="779"/>
      <c r="E11" s="2351" t="s">
        <v>2445</v>
      </c>
      <c r="F11" s="786">
        <f ca="1">'数据-取费表'!B39</f>
        <v>1.4999999999999999E-2</v>
      </c>
      <c r="G11" s="1945"/>
      <c r="H11" s="2415"/>
      <c r="I11" s="2348" t="s">
        <v>2553</v>
      </c>
      <c r="J11" s="2352"/>
      <c r="K11" s="2416"/>
      <c r="L11" s="2351" t="s">
        <v>2445</v>
      </c>
      <c r="M11" s="2345">
        <f ca="1">'数据-取费表'!B39</f>
        <v>1.4999999999999999E-2</v>
      </c>
    </row>
    <row r="12" spans="1:33" ht="18" customHeight="1" thickBot="1">
      <c r="A12" s="2390" t="s">
        <v>2447</v>
      </c>
      <c r="B12" s="2391" t="s">
        <v>2440</v>
      </c>
      <c r="C12" s="2392"/>
      <c r="D12" s="2393"/>
      <c r="E12" s="2394"/>
      <c r="F12" s="2395"/>
      <c r="G12" s="1945"/>
      <c r="H12" s="2404" t="s">
        <v>2450</v>
      </c>
      <c r="I12" s="2417" t="s">
        <v>2440</v>
      </c>
      <c r="J12" s="2418"/>
      <c r="K12" s="2393"/>
      <c r="L12" s="2394"/>
      <c r="M12" s="2407"/>
    </row>
    <row r="13" spans="1:33" ht="18" customHeight="1" thickTop="1">
      <c r="A13" s="1744">
        <v>2</v>
      </c>
      <c r="B13" s="1742" t="s">
        <v>1732</v>
      </c>
      <c r="C13" s="782">
        <f ca="1">ROUND(C29*F13,0)</f>
        <v>0</v>
      </c>
      <c r="D13" s="1749" t="s">
        <v>2284</v>
      </c>
      <c r="E13" s="1749" t="s">
        <v>1734</v>
      </c>
      <c r="F13" s="2389">
        <f ca="1">INDIRECT("'数据-取费表'!y"&amp;$G$1)</f>
        <v>0</v>
      </c>
      <c r="G13" s="1945"/>
      <c r="H13" s="1744">
        <v>2</v>
      </c>
      <c r="I13" s="1742" t="s">
        <v>1732</v>
      </c>
      <c r="J13" s="1734">
        <f ca="1">ROUND(J14*J15,0)</f>
        <v>0</v>
      </c>
      <c r="K13" s="1736" t="s">
        <v>1733</v>
      </c>
      <c r="L13" s="2405"/>
      <c r="M13" s="2406"/>
    </row>
    <row r="14" spans="1:33" ht="18" customHeight="1">
      <c r="A14" s="1576" t="s">
        <v>1874</v>
      </c>
      <c r="B14" s="774" t="s">
        <v>639</v>
      </c>
      <c r="C14" s="794">
        <f ca="1">INDIRECT("'数据-取费表'!m"&amp;$G$1)+INDIRECT("'数据-取费表'!t"&amp;$G$1)</f>
        <v>0</v>
      </c>
      <c r="D14" s="1893" t="s">
        <v>1735</v>
      </c>
      <c r="E14" s="1894"/>
      <c r="F14" s="795"/>
      <c r="G14" s="1945"/>
      <c r="H14" s="1577" t="s">
        <v>1820</v>
      </c>
      <c r="I14" s="2111" t="s">
        <v>2804</v>
      </c>
      <c r="J14" s="53">
        <f ca="1">C29</f>
        <v>0</v>
      </c>
      <c r="K14" s="26"/>
      <c r="L14" s="791"/>
      <c r="M14" s="792"/>
    </row>
    <row r="15" spans="1:33" s="1947" customFormat="1" ht="18" customHeight="1" thickBot="1">
      <c r="A15" s="1576" t="s">
        <v>1875</v>
      </c>
      <c r="B15" s="774" t="s">
        <v>641</v>
      </c>
      <c r="C15" s="53">
        <f ca="1">ROUND(C14*F15,0)</f>
        <v>0</v>
      </c>
      <c r="D15" s="796" t="s">
        <v>1736</v>
      </c>
      <c r="E15" s="796" t="s">
        <v>1737</v>
      </c>
      <c r="F15" s="797">
        <f>'数据-取费表'!B33</f>
        <v>0.03</v>
      </c>
      <c r="G15" s="3261"/>
      <c r="H15" s="2404" t="s">
        <v>1879</v>
      </c>
      <c r="I15" s="2399" t="s">
        <v>1734</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5"/>
      <c r="H16" s="1744" t="s">
        <v>1738</v>
      </c>
      <c r="I16" s="1742" t="s">
        <v>1739</v>
      </c>
      <c r="J16" s="782">
        <f ca="1">ROUND(J17+J22+J23+J24,0)</f>
        <v>0</v>
      </c>
      <c r="K16" s="1736" t="s">
        <v>1740</v>
      </c>
      <c r="L16" s="2339"/>
      <c r="M16" s="2344"/>
    </row>
    <row r="17" spans="1:33" s="1947" customFormat="1" ht="18" customHeight="1">
      <c r="A17" s="1576" t="s">
        <v>1877</v>
      </c>
      <c r="B17" s="774" t="s">
        <v>647</v>
      </c>
      <c r="C17" s="53">
        <f ca="1">ROUND(F17*(F43+INDIRECT("'数据-取费表'!S"&amp;$G$1))/10000,0)</f>
        <v>0</v>
      </c>
      <c r="D17" s="774" t="s">
        <v>1741</v>
      </c>
      <c r="E17" s="774" t="s">
        <v>1742</v>
      </c>
      <c r="F17" s="56">
        <f>'数据-取费表'!B35</f>
        <v>200</v>
      </c>
      <c r="G17" s="3261"/>
      <c r="H17" s="1577" t="s">
        <v>1820</v>
      </c>
      <c r="I17" s="774" t="s">
        <v>650</v>
      </c>
      <c r="J17" s="3019">
        <f ca="1">ROUND(IF(AND(项目基本情况!B11="自然人",项目基本情况!B10="北京市"),J6*M17/(1+'数据-取费表'!C42),J18+J19+J20),0)</f>
        <v>0</v>
      </c>
      <c r="K17" s="2338" t="s">
        <v>1743</v>
      </c>
      <c r="L17" s="2337" t="s">
        <v>1744</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653</v>
      </c>
      <c r="C18" s="53">
        <f ca="1">ROUND(C14*F18,0)</f>
        <v>0</v>
      </c>
      <c r="D18" s="774" t="s">
        <v>1736</v>
      </c>
      <c r="E18" s="774" t="s">
        <v>1737</v>
      </c>
      <c r="F18" s="799">
        <f>'数据-取费表'!B36</f>
        <v>1.4999999999999999E-2</v>
      </c>
      <c r="G18" s="3261"/>
      <c r="H18" s="1576" t="s">
        <v>1874</v>
      </c>
      <c r="I18" s="774" t="s">
        <v>1745</v>
      </c>
      <c r="J18" s="53">
        <f ca="1">ROUND(J6*M18/(1+'数据-取费表'!C42),1)</f>
        <v>0</v>
      </c>
      <c r="K18" s="2337" t="s">
        <v>1746</v>
      </c>
      <c r="L18" s="774" t="s">
        <v>1737</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1820</v>
      </c>
      <c r="B19" s="774" t="s">
        <v>656</v>
      </c>
      <c r="C19" s="53">
        <f ca="1">SUM(C14:C18)</f>
        <v>0</v>
      </c>
      <c r="D19" s="259" t="s">
        <v>1747</v>
      </c>
      <c r="E19" s="1896"/>
      <c r="F19" s="56"/>
      <c r="G19" s="1945"/>
      <c r="H19" s="1576" t="s">
        <v>1875</v>
      </c>
      <c r="I19" s="774" t="s">
        <v>1748</v>
      </c>
      <c r="J19" s="53">
        <f ca="1">IF(K19="按租金收入计税",ROUND(J6*M19/(1+'数据-取费表'!C42),1),ROUND(C29*F33*0.7,1))</f>
        <v>0</v>
      </c>
      <c r="K19" s="800" t="s">
        <v>659</v>
      </c>
      <c r="L19" s="774" t="s">
        <v>1737</v>
      </c>
      <c r="M19" s="799">
        <f>IF(K19="按租金收入计税",'数据-取费表'!B51,'数据-取费表'!B50)</f>
        <v>1.2E-2</v>
      </c>
    </row>
    <row r="20" spans="1:33" s="1947" customFormat="1" ht="18" customHeight="1">
      <c r="A20" s="1577" t="s">
        <v>1879</v>
      </c>
      <c r="B20" s="774" t="s">
        <v>660</v>
      </c>
      <c r="C20" s="53">
        <f ca="1">ROUND(C19*F20,0)</f>
        <v>0</v>
      </c>
      <c r="D20" s="801" t="s">
        <v>1749</v>
      </c>
      <c r="E20" s="774" t="s">
        <v>1737</v>
      </c>
      <c r="F20" s="799">
        <f>'数据-取费表'!B37</f>
        <v>0.02</v>
      </c>
      <c r="G20" s="3261"/>
      <c r="H20" s="1579" t="s">
        <v>1870</v>
      </c>
      <c r="I20" s="339" t="s">
        <v>1750</v>
      </c>
      <c r="J20" s="54">
        <f ca="1">ROUND(M20*M21/10000,0)</f>
        <v>0</v>
      </c>
      <c r="K20" s="803" t="s">
        <v>1751</v>
      </c>
      <c r="L20" s="774" t="s">
        <v>1752</v>
      </c>
      <c r="M20" s="632">
        <f>'数据-取费表'!B52</f>
        <v>6</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1753</v>
      </c>
      <c r="C21" s="53" t="s">
        <v>1754</v>
      </c>
      <c r="D21" s="801" t="s">
        <v>2285</v>
      </c>
      <c r="E21" s="774" t="s">
        <v>1755</v>
      </c>
      <c r="F21" s="799">
        <f>'数据-取费表'!B38</f>
        <v>0.02</v>
      </c>
      <c r="G21" s="3261"/>
      <c r="H21" s="2359"/>
      <c r="I21" s="783"/>
      <c r="J21" s="69"/>
      <c r="K21" s="805"/>
      <c r="L21" s="774" t="s">
        <v>1756</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1757</v>
      </c>
      <c r="C22" s="53"/>
      <c r="D22" s="2424" t="str">
        <f>IF(F23&lt;=1,"单利计息。","复利计息。")&amp;"建造成本、管理费用、销售费用产生的利息。"</f>
        <v>复利计息。建造成本、管理费用、销售费用产生的利息。</v>
      </c>
      <c r="E22" s="1896"/>
      <c r="F22" s="56"/>
      <c r="G22" s="1945"/>
      <c r="H22" s="1577" t="s">
        <v>1879</v>
      </c>
      <c r="I22" s="774" t="s">
        <v>1758</v>
      </c>
      <c r="J22" s="53">
        <f ca="1">ROUND(J14*M22,0)</f>
        <v>0</v>
      </c>
      <c r="K22" s="2337" t="s">
        <v>1759</v>
      </c>
      <c r="L22" s="774" t="s">
        <v>1737</v>
      </c>
      <c r="M22" s="806">
        <f ca="1">INDIRECT("'数据-取费表'!Ak"&amp;$G$1)</f>
        <v>0</v>
      </c>
    </row>
    <row r="23" spans="1:33" s="1947" customFormat="1" ht="18" customHeight="1">
      <c r="A23" s="1576" t="s">
        <v>1821</v>
      </c>
      <c r="B23" s="774" t="s">
        <v>2515</v>
      </c>
      <c r="C23" s="53">
        <f ca="1">ROUND(IF('数据-取费表'!B22&lt;=1,(C19+C20)*F24*F23/2,(C19+C20)*(POWER((1+F24),F23/2)-1)),0)</f>
        <v>0</v>
      </c>
      <c r="D23" s="2423" t="str">
        <f>IF(F23&lt;=1,"(建造成本+管理费用)×利率×(建设周期÷2)","(建造成本+管理费用)×((1+利率)^(建设周期÷2)-1)")</f>
        <v>(建造成本+管理费用)×((1+利率)^(建设周期÷2)-1)</v>
      </c>
      <c r="E23" s="774" t="s">
        <v>1760</v>
      </c>
      <c r="F23" s="632">
        <f>'数据-取费表'!B20</f>
        <v>2</v>
      </c>
      <c r="G23" s="3261"/>
      <c r="H23" s="1577" t="s">
        <v>1880</v>
      </c>
      <c r="I23" s="774" t="s">
        <v>673</v>
      </c>
      <c r="J23" s="53">
        <f ca="1">ROUND(J13*M23,0)</f>
        <v>0</v>
      </c>
      <c r="K23" s="2337" t="s">
        <v>1761</v>
      </c>
      <c r="L23" s="774" t="s">
        <v>1737</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1762</v>
      </c>
      <c r="C24" s="53">
        <f ca="1">ROUND(IF('数据-取费表'!B22&lt;=1,F21*F24*F23/2,F21*(POWER((1+F24),F23/2)-1)),4)</f>
        <v>8.0000000000000004E-4</v>
      </c>
      <c r="D24" s="2423" t="str">
        <f>IF(F23&lt;=1,"销售费用×利率×(建设周期÷2)","销售费用×((1+利率)^(建设周期÷2)-1)")</f>
        <v>销售费用×((1+利率)^(建设周期÷2)-1)</v>
      </c>
      <c r="E24" s="774" t="s">
        <v>1763</v>
      </c>
      <c r="F24" s="808">
        <f ca="1">'数据-取费表'!B40</f>
        <v>3.85E-2</v>
      </c>
      <c r="G24" s="3261"/>
      <c r="H24" s="2404" t="s">
        <v>1881</v>
      </c>
      <c r="I24" s="2399" t="s">
        <v>660</v>
      </c>
      <c r="J24" s="2397">
        <f ca="1">ROUND(J5*M24,0)</f>
        <v>0</v>
      </c>
      <c r="K24" s="2398" t="s">
        <v>1764</v>
      </c>
      <c r="L24" s="2399" t="s">
        <v>1737</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678</v>
      </c>
      <c r="C25" s="53"/>
      <c r="D25" s="259" t="s">
        <v>1765</v>
      </c>
      <c r="E25" s="1896"/>
      <c r="F25" s="56"/>
      <c r="G25" s="1945"/>
      <c r="H25" s="1744" t="s">
        <v>1766</v>
      </c>
      <c r="I25" s="2723" t="s">
        <v>2800</v>
      </c>
      <c r="J25" s="782">
        <f ca="1">J5-J16</f>
        <v>0</v>
      </c>
      <c r="K25" s="2401" t="s">
        <v>1767</v>
      </c>
      <c r="L25" s="2402"/>
      <c r="M25" s="2403"/>
    </row>
    <row r="26" spans="1:33" ht="18" customHeight="1">
      <c r="A26" s="1576" t="s">
        <v>1821</v>
      </c>
      <c r="B26" s="774" t="s">
        <v>2421</v>
      </c>
      <c r="C26" s="53">
        <f ca="1">ROUND((C19+C20)*F26,0)</f>
        <v>0</v>
      </c>
      <c r="D26" s="801" t="s">
        <v>1768</v>
      </c>
      <c r="E26" s="785" t="s">
        <v>1769</v>
      </c>
      <c r="F26" s="784">
        <f ca="1">INDIRECT("'数据-取费表'!q"&amp;$G$1)</f>
        <v>0</v>
      </c>
      <c r="G26" s="1945"/>
      <c r="H26" s="2355" t="s">
        <v>1770</v>
      </c>
      <c r="I26" s="2112" t="s">
        <v>2805</v>
      </c>
      <c r="J26" s="773">
        <f ca="1">IF(J5&lt;&gt;0,ROUND(J25*(1-((1+M28)/(1+M26))^M27)/(M26-M28),0),0)</f>
        <v>0</v>
      </c>
      <c r="K26" s="803" t="s">
        <v>1771</v>
      </c>
      <c r="L26" s="774" t="s">
        <v>2403</v>
      </c>
      <c r="M26" s="784">
        <f ca="1">INDIRECT("'数据-取费表'!I"&amp;$G$1)</f>
        <v>0</v>
      </c>
    </row>
    <row r="27" spans="1:33" ht="18" customHeight="1">
      <c r="A27" s="1576" t="s">
        <v>1822</v>
      </c>
      <c r="B27" s="774" t="s">
        <v>680</v>
      </c>
      <c r="C27" s="53">
        <f ca="1">ROUND(F21*F26,4)</f>
        <v>0</v>
      </c>
      <c r="D27" s="801" t="s">
        <v>1772</v>
      </c>
      <c r="E27" s="796"/>
      <c r="F27" s="797"/>
      <c r="G27" s="1945"/>
      <c r="H27" s="2356"/>
      <c r="I27" s="777"/>
      <c r="J27" s="778"/>
      <c r="K27" s="810" t="s">
        <v>1773</v>
      </c>
      <c r="L27" s="774" t="s">
        <v>1774</v>
      </c>
      <c r="M27" s="811">
        <f ca="1">INDIRECT("'数据-取费表'!ag"&amp;$G$1)</f>
        <v>0</v>
      </c>
    </row>
    <row r="28" spans="1:33" s="1947" customFormat="1" ht="18" customHeight="1">
      <c r="A28" s="1578" t="s">
        <v>1831</v>
      </c>
      <c r="B28" s="774" t="s">
        <v>681</v>
      </c>
      <c r="C28" s="53">
        <f>ROUND(F28/(1+'数据-取费表'!C42),4)</f>
        <v>5.2400000000000002E-2</v>
      </c>
      <c r="D28" s="801" t="s">
        <v>2286</v>
      </c>
      <c r="E28" s="774" t="s">
        <v>1775</v>
      </c>
      <c r="F28" s="799">
        <f>'数据-取费表'!B41</f>
        <v>5.5000000000000007E-2</v>
      </c>
      <c r="G28" s="3261"/>
      <c r="H28" s="1744"/>
      <c r="I28" s="781"/>
      <c r="J28" s="782"/>
      <c r="K28" s="805"/>
      <c r="L28" s="774" t="s">
        <v>1776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0</v>
      </c>
      <c r="D29" s="2398"/>
      <c r="E29" s="2399"/>
      <c r="F29" s="2400"/>
      <c r="G29" s="3261"/>
      <c r="H29" s="812" t="s">
        <v>1777</v>
      </c>
      <c r="I29" s="813" t="s">
        <v>1778</v>
      </c>
      <c r="J29" s="814">
        <f ca="1">ROUND(J26/(1+F40)^F41,0)</f>
        <v>0</v>
      </c>
      <c r="K29" s="815" t="s">
        <v>1779</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1883</v>
      </c>
      <c r="B30" s="1742" t="s">
        <v>1780</v>
      </c>
      <c r="C30" s="782">
        <f ca="1">ROUND(C31+C36+C37+C38,0)</f>
        <v>0</v>
      </c>
      <c r="D30" s="1736" t="s">
        <v>1781</v>
      </c>
      <c r="E30" s="2339"/>
      <c r="F30" s="2344"/>
      <c r="G30" s="1945"/>
      <c r="H30" s="1948"/>
      <c r="I30" s="1949"/>
      <c r="J30" s="1950"/>
      <c r="K30" s="1951"/>
      <c r="L30" s="1952"/>
      <c r="M30" s="1953"/>
    </row>
    <row r="31" spans="1:33" ht="18" customHeight="1">
      <c r="A31" s="1577" t="s">
        <v>1820</v>
      </c>
      <c r="B31" s="774" t="s">
        <v>650</v>
      </c>
      <c r="C31" s="3019">
        <f ca="1">ROUND(IF(AND(项目基本情况!B11="自然人",项目基本情况!B10="北京市"),C6*F31/(1+'数据-取费表'!C42),C32+C33+C34),0)</f>
        <v>0</v>
      </c>
      <c r="D31" s="1893" t="s">
        <v>1782</v>
      </c>
      <c r="E31" s="1891" t="s">
        <v>1783</v>
      </c>
      <c r="F31" s="3018" t="str">
        <f>IF(项目基本情况!B11="企业","——",IF('数据-取费表'!B10="住宅",IF(F6*F7*F8/12/(1+'数据-取费表'!F30)&gt;100000,4%,2.5%),IF(F6*F7*F8/12/(1+'数据-取费表'!F30)&gt;100000,12%,7%)))</f>
        <v>——</v>
      </c>
      <c r="G31" s="1945"/>
      <c r="H31" s="3258" t="s">
        <v>2990</v>
      </c>
      <c r="I31" s="1949"/>
      <c r="J31" s="1950"/>
      <c r="K31" s="1951"/>
      <c r="L31" s="1952"/>
      <c r="M31" s="1953"/>
    </row>
    <row r="32" spans="1:33" ht="18" customHeight="1">
      <c r="A32" s="1576" t="s">
        <v>1821</v>
      </c>
      <c r="B32" s="774" t="s">
        <v>1784</v>
      </c>
      <c r="C32" s="53">
        <f ca="1">ROUND(C6*F32/(1+'数据-取费表'!C42),1)</f>
        <v>0</v>
      </c>
      <c r="D32" s="1891" t="s">
        <v>1785</v>
      </c>
      <c r="E32" s="774" t="s">
        <v>1786</v>
      </c>
      <c r="F32" s="799">
        <f>'数据-取费表'!B41</f>
        <v>5.5000000000000007E-2</v>
      </c>
      <c r="G32" s="1945"/>
      <c r="H32" s="1954"/>
      <c r="I32" s="1955"/>
      <c r="J32" s="1956"/>
      <c r="K32" s="1957"/>
      <c r="L32" s="1958"/>
      <c r="M32" s="1959"/>
    </row>
    <row r="33" spans="1:18" ht="18" customHeight="1">
      <c r="A33" s="1576" t="s">
        <v>1822</v>
      </c>
      <c r="B33" s="774" t="s">
        <v>1787</v>
      </c>
      <c r="C33" s="53">
        <f ca="1">IF(D33="按租金收入计税",ROUND(C6*F33/(1+'数据-取费表'!C42),1),IF(D33="按房产原值计税",ROUND(C29*F33*0.7,1),INDIRECT("'数据-取费表'!Aj"&amp;$G$1)))</f>
        <v>0</v>
      </c>
      <c r="D33" s="800" t="s">
        <v>1670</v>
      </c>
      <c r="E33" s="774" t="s">
        <v>1786</v>
      </c>
      <c r="F33" s="799">
        <f>IF(D33="按租金收入计税",'数据-取费表'!B51,'数据-取费表'!B50)</f>
        <v>1.2E-2</v>
      </c>
      <c r="G33" s="1945"/>
      <c r="H33" s="1960"/>
      <c r="I33" s="1960"/>
      <c r="J33" s="1960"/>
      <c r="K33" s="1961"/>
      <c r="L33" s="1960"/>
      <c r="M33" s="1960"/>
    </row>
    <row r="34" spans="1:18" ht="18" customHeight="1">
      <c r="A34" s="1579" t="s">
        <v>1823</v>
      </c>
      <c r="B34" s="339" t="s">
        <v>1788</v>
      </c>
      <c r="C34" s="54">
        <f ca="1">ROUND(F34*F35/10000,1)</f>
        <v>0</v>
      </c>
      <c r="D34" s="803" t="s">
        <v>1789</v>
      </c>
      <c r="E34" s="774" t="s">
        <v>1790</v>
      </c>
      <c r="F34" s="632">
        <f>'数据-取费表'!B52</f>
        <v>6</v>
      </c>
      <c r="G34" s="1945"/>
      <c r="H34" s="1948"/>
      <c r="I34" s="824" t="s">
        <v>1803</v>
      </c>
      <c r="J34" s="825"/>
      <c r="K34" s="1963"/>
      <c r="L34" s="1962"/>
      <c r="M34" s="1962"/>
    </row>
    <row r="35" spans="1:18" ht="18" customHeight="1">
      <c r="A35" s="804"/>
      <c r="B35" s="783"/>
      <c r="C35" s="69"/>
      <c r="D35" s="805"/>
      <c r="E35" s="774" t="s">
        <v>1791</v>
      </c>
      <c r="F35" s="775">
        <f ca="1">INDIRECT("'数据-取费表'!r"&amp;$G$1)</f>
        <v>0</v>
      </c>
      <c r="G35" s="1945"/>
      <c r="H35" s="1948"/>
      <c r="I35" s="826" t="s">
        <v>1804</v>
      </c>
      <c r="J35" s="827">
        <f ca="1">ROUND(C13*J36,0)</f>
        <v>0</v>
      </c>
      <c r="K35" s="1961"/>
      <c r="L35" s="1960"/>
      <c r="M35" s="1960"/>
    </row>
    <row r="36" spans="1:18" ht="18" customHeight="1">
      <c r="A36" s="1577" t="s">
        <v>1879</v>
      </c>
      <c r="B36" s="774" t="s">
        <v>1792</v>
      </c>
      <c r="C36" s="53">
        <f ca="1">ROUND(C29*F36,1)</f>
        <v>0</v>
      </c>
      <c r="D36" s="1891" t="s">
        <v>1793</v>
      </c>
      <c r="E36" s="774" t="s">
        <v>1786</v>
      </c>
      <c r="F36" s="806">
        <f ca="1">INDIRECT("'数据-取费表'!Ak"&amp;$G$1)</f>
        <v>0</v>
      </c>
      <c r="G36" s="1945"/>
      <c r="H36" s="1960"/>
      <c r="I36" s="828" t="s">
        <v>1805</v>
      </c>
      <c r="J36" s="829">
        <f ca="1">INDIRECT("'数据-取费表'!j"&amp;$G$1)</f>
        <v>0</v>
      </c>
      <c r="K36" s="1964"/>
      <c r="L36" s="1960"/>
      <c r="M36" s="1960"/>
    </row>
    <row r="37" spans="1:18" ht="18" customHeight="1">
      <c r="A37" s="1577" t="s">
        <v>1880</v>
      </c>
      <c r="B37" s="774" t="s">
        <v>673</v>
      </c>
      <c r="C37" s="53">
        <f ca="1">ROUND(C13*F37,1)</f>
        <v>0</v>
      </c>
      <c r="D37" s="1891" t="s">
        <v>1794</v>
      </c>
      <c r="E37" s="774" t="s">
        <v>1786</v>
      </c>
      <c r="F37" s="807">
        <f ca="1">INDIRECT("'数据-取费表'!Al"&amp;$G$1)</f>
        <v>0</v>
      </c>
      <c r="G37" s="1945"/>
      <c r="H37" s="1960"/>
      <c r="I37" s="830" t="s">
        <v>1806</v>
      </c>
      <c r="J37" s="831"/>
      <c r="K37" s="1964"/>
      <c r="L37" s="1960"/>
      <c r="M37" s="1960"/>
    </row>
    <row r="38" spans="1:18" ht="18" customHeight="1" thickBot="1">
      <c r="A38" s="2404" t="s">
        <v>1881</v>
      </c>
      <c r="B38" s="2399" t="s">
        <v>660</v>
      </c>
      <c r="C38" s="2397">
        <f ca="1">ROUND(C5*F38,1)</f>
        <v>0</v>
      </c>
      <c r="D38" s="2398" t="s">
        <v>1795</v>
      </c>
      <c r="E38" s="2399" t="s">
        <v>1786</v>
      </c>
      <c r="F38" s="2395">
        <f ca="1">INDIRECT("'数据-取费表'!Am"&amp;$G$1)</f>
        <v>0</v>
      </c>
      <c r="G38" s="1945"/>
      <c r="H38" s="1960"/>
      <c r="I38" s="832" t="s">
        <v>1807</v>
      </c>
      <c r="J38" s="833"/>
      <c r="K38" s="1965"/>
      <c r="L38" s="1960"/>
      <c r="M38" s="1960"/>
    </row>
    <row r="39" spans="1:18" ht="24.6" customHeight="1" thickTop="1">
      <c r="A39" s="1744" t="s">
        <v>1884</v>
      </c>
      <c r="B39" s="2723" t="s">
        <v>2800</v>
      </c>
      <c r="C39" s="782">
        <f ca="1">C5-C30</f>
        <v>0</v>
      </c>
      <c r="D39" s="2401" t="s">
        <v>1796</v>
      </c>
      <c r="E39" s="2402"/>
      <c r="F39" s="2403"/>
      <c r="G39" s="1945"/>
      <c r="H39" s="1960"/>
      <c r="I39" s="826" t="s">
        <v>1808</v>
      </c>
      <c r="J39" s="834" t="e">
        <f ca="1">ROUND(J35/C39,3)</f>
        <v>#DIV/0!</v>
      </c>
      <c r="K39" s="1965"/>
      <c r="L39" s="1960"/>
      <c r="M39" s="1960"/>
    </row>
    <row r="40" spans="1:18" ht="18" customHeight="1">
      <c r="A40" s="771" t="s">
        <v>1885</v>
      </c>
      <c r="B40" s="2112" t="s">
        <v>2288</v>
      </c>
      <c r="C40" s="773" t="e">
        <f ca="1">ROUND(C39*(1-((1+F42)/(1+F40))^F41)/(F40-F42),0)</f>
        <v>#DIV/0!</v>
      </c>
      <c r="D40" s="803" t="s">
        <v>1797</v>
      </c>
      <c r="E40" s="774" t="s">
        <v>2403</v>
      </c>
      <c r="F40" s="784">
        <f ca="1">INDIRECT("'数据-取费表'!I"&amp;$G$1)</f>
        <v>0</v>
      </c>
      <c r="G40" s="1945"/>
      <c r="H40" s="1945"/>
      <c r="I40" s="826" t="s">
        <v>1809</v>
      </c>
      <c r="J40" s="834" t="e">
        <f ca="1">1-J39</f>
        <v>#DIV/0!</v>
      </c>
      <c r="K40" s="1965"/>
      <c r="L40" s="1945"/>
      <c r="M40" s="1945"/>
    </row>
    <row r="41" spans="1:18" ht="18" customHeight="1">
      <c r="A41" s="776"/>
      <c r="B41" s="777"/>
      <c r="C41" s="778"/>
      <c r="D41" s="810" t="s">
        <v>1798</v>
      </c>
      <c r="E41" s="774" t="s">
        <v>2923</v>
      </c>
      <c r="F41" s="811">
        <f ca="1">IF(INDIRECT("'数据-取费表'!af"&amp;$G$1)=0,INDIRECT("'数据-取费表'!ae"&amp;$G$1),INDIRECT("'数据-取费表'!af"&amp;$G$1))</f>
        <v>0</v>
      </c>
      <c r="G41" s="1945"/>
      <c r="H41" s="1900"/>
      <c r="I41" s="832" t="s">
        <v>1810</v>
      </c>
      <c r="J41" s="835"/>
      <c r="K41" s="1964"/>
      <c r="L41" s="1900"/>
      <c r="M41" s="1900"/>
    </row>
    <row r="42" spans="1:18" ht="18" customHeight="1">
      <c r="A42" s="780"/>
      <c r="B42" s="781"/>
      <c r="C42" s="782"/>
      <c r="D42" s="805"/>
      <c r="E42" s="774" t="s">
        <v>1799</v>
      </c>
      <c r="F42" s="784">
        <f ca="1">INDIRECT("'数据-取费表'!v"&amp;$G$1)</f>
        <v>0</v>
      </c>
      <c r="G42" s="1945"/>
      <c r="H42" s="1900"/>
      <c r="I42" s="836" t="s">
        <v>1811</v>
      </c>
      <c r="J42" s="834" t="e">
        <f ca="1">ROUND(C13/C40,3)</f>
        <v>#DIV/0!</v>
      </c>
      <c r="K42" s="1964"/>
      <c r="L42" s="1900"/>
      <c r="M42" s="1900"/>
    </row>
    <row r="43" spans="1:18" ht="18" customHeight="1" thickBot="1">
      <c r="A43" s="812" t="s">
        <v>1777</v>
      </c>
      <c r="B43" s="813" t="s">
        <v>1800</v>
      </c>
      <c r="C43" s="814" t="e">
        <f ca="1">ROUND(C40*10000/F43,0)</f>
        <v>#DIV/0!</v>
      </c>
      <c r="D43" s="815" t="s">
        <v>1801</v>
      </c>
      <c r="E43" s="816" t="s">
        <v>1802</v>
      </c>
      <c r="F43" s="817">
        <f ca="1">INDIRECT("'数据-取费表'!k"&amp;$G$1)</f>
        <v>0</v>
      </c>
      <c r="G43" s="1945"/>
      <c r="H43" s="1900"/>
      <c r="I43" s="836" t="s">
        <v>1812</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t="e">
        <f ca="1">C67-C40</f>
        <v>#DIV/0!</v>
      </c>
      <c r="D46" s="3262"/>
      <c r="E46" s="3262"/>
      <c r="F46" s="3262"/>
      <c r="I46" s="2233" t="s">
        <v>2327</v>
      </c>
      <c r="J46" s="2234"/>
      <c r="K46" s="2235"/>
      <c r="L46" s="2811" t="e">
        <f ca="1">IF(OR(M47="住宅",D1="土地（套用方法）"),0,IF(L48&gt;J51,L60,J60))</f>
        <v>#DIV/0!</v>
      </c>
      <c r="M46" s="3263"/>
      <c r="O46" s="2249" t="s">
        <v>2394</v>
      </c>
      <c r="P46" s="1526"/>
      <c r="Q46" s="1534"/>
      <c r="R46" s="1526"/>
    </row>
    <row r="47" spans="1:18" s="1942" customFormat="1" ht="18" customHeight="1" thickBot="1">
      <c r="A47" s="2227">
        <v>1</v>
      </c>
      <c r="B47" s="2228" t="s">
        <v>629</v>
      </c>
      <c r="C47" s="2426">
        <f ca="1">C48+C52+C54</f>
        <v>0</v>
      </c>
      <c r="D47" s="3262"/>
      <c r="E47" s="3262"/>
      <c r="F47" s="3262"/>
      <c r="I47" s="2802" t="s">
        <v>2328</v>
      </c>
      <c r="J47" s="2236"/>
      <c r="K47" s="2808" t="s">
        <v>2333</v>
      </c>
      <c r="L47" s="2812">
        <f ca="1">INDIRECT("'数据-取费表'!d"&amp;$G$1)</f>
        <v>0</v>
      </c>
      <c r="M47" s="1534" t="str">
        <f>IF(ISNUMBER(FIND("住宅",C1)),"住宅","非住宅")</f>
        <v>非住宅</v>
      </c>
      <c r="O47" s="2250" t="s">
        <v>2359</v>
      </c>
      <c r="P47" s="2251" t="s">
        <v>2360</v>
      </c>
      <c r="Q47" s="2252" t="s">
        <v>2361</v>
      </c>
      <c r="R47" s="2251" t="s">
        <v>2362</v>
      </c>
    </row>
    <row r="48" spans="1:18" s="1942" customFormat="1" ht="18" customHeight="1" thickBot="1">
      <c r="A48" s="2484" t="s">
        <v>2517</v>
      </c>
      <c r="B48" s="2485" t="s">
        <v>2518</v>
      </c>
      <c r="C48" s="2229">
        <f ca="1">ROUND(F48*F50*F49*(1-F51)/10000,0)</f>
        <v>0</v>
      </c>
      <c r="D48" s="2230" t="s">
        <v>630</v>
      </c>
      <c r="E48" s="2231" t="s">
        <v>2283</v>
      </c>
      <c r="F48" s="2232"/>
      <c r="G48" s="1972"/>
      <c r="I48" s="2799" t="s">
        <v>2329</v>
      </c>
      <c r="J48" s="2237"/>
      <c r="K48" s="2809" t="s">
        <v>2335</v>
      </c>
      <c r="L48" s="1822">
        <f ca="1">INDIRECT("'数据-取费表'!f"&amp;$G$1)</f>
        <v>0</v>
      </c>
      <c r="M48" s="3263"/>
      <c r="O48" s="2253" t="s">
        <v>2363</v>
      </c>
      <c r="P48" s="2254" t="s">
        <v>2389</v>
      </c>
      <c r="Q48" s="2255" t="e">
        <f ca="1">C40+J29</f>
        <v>#DIV/0!</v>
      </c>
      <c r="R48" s="2254" t="s">
        <v>2364</v>
      </c>
    </row>
    <row r="49" spans="1:18" s="1942" customFormat="1" ht="18" customHeight="1" thickBot="1">
      <c r="A49" s="776"/>
      <c r="B49" s="777"/>
      <c r="C49" s="778"/>
      <c r="D49" s="779"/>
      <c r="E49" s="774" t="s">
        <v>1729</v>
      </c>
      <c r="F49" s="775">
        <f ca="1">F7</f>
        <v>0</v>
      </c>
      <c r="G49" s="1972"/>
      <c r="H49" s="1975"/>
      <c r="I49" s="2799" t="s">
        <v>2330</v>
      </c>
      <c r="J49" s="2238"/>
      <c r="K49" s="2810" t="s">
        <v>2336</v>
      </c>
      <c r="L49" s="2239"/>
      <c r="M49" s="3263"/>
      <c r="O49" s="2253" t="s">
        <v>2365</v>
      </c>
      <c r="P49" s="2254" t="s">
        <v>2390</v>
      </c>
      <c r="Q49" s="2255" t="e">
        <f ca="1">J60</f>
        <v>#DIV/0!</v>
      </c>
      <c r="R49" s="2254" t="s">
        <v>2366</v>
      </c>
    </row>
    <row r="50" spans="1:18" s="1942" customFormat="1" ht="18" customHeight="1" thickBot="1">
      <c r="A50" s="776"/>
      <c r="B50" s="777"/>
      <c r="C50" s="778"/>
      <c r="D50" s="779"/>
      <c r="E50" s="774" t="s">
        <v>1730</v>
      </c>
      <c r="F50" s="775">
        <f ca="1">F8</f>
        <v>0</v>
      </c>
      <c r="G50" s="1977"/>
      <c r="H50" s="1975"/>
      <c r="I50" s="2799" t="s">
        <v>2331</v>
      </c>
      <c r="J50" s="2806">
        <f>SUMPRODUCT((I63:I65=J47)*(J62:L62=J48)*(J63:L65))</f>
        <v>0</v>
      </c>
      <c r="K50" s="2810" t="s">
        <v>2337</v>
      </c>
      <c r="L50" s="2239"/>
      <c r="M50" s="3263"/>
      <c r="O50" s="2256" t="s">
        <v>2367</v>
      </c>
      <c r="P50" s="2254" t="s">
        <v>2391</v>
      </c>
      <c r="Q50" s="2255">
        <f ca="1">C29</f>
        <v>0</v>
      </c>
      <c r="R50" s="2254" t="s">
        <v>2364</v>
      </c>
    </row>
    <row r="51" spans="1:18" s="1942" customFormat="1" ht="18" customHeight="1" thickBot="1">
      <c r="A51" s="776"/>
      <c r="B51" s="777"/>
      <c r="C51" s="778"/>
      <c r="D51" s="779"/>
      <c r="E51" s="774" t="s">
        <v>634</v>
      </c>
      <c r="F51" s="2226"/>
      <c r="H51" s="1975"/>
      <c r="I51" s="2803" t="s">
        <v>2332</v>
      </c>
      <c r="J51" s="2807">
        <f>IF(J49="",J50,J49+J50-YEAR('数据-取费表'!B2))</f>
        <v>0</v>
      </c>
      <c r="K51" s="2799" t="s">
        <v>2338</v>
      </c>
      <c r="L51" s="2813">
        <f ca="1">ROUND(-PV(INDIRECT("'数据-取费表'!h"&amp;$G$1),J51,(C39-C13*J36),0),0)</f>
        <v>0</v>
      </c>
      <c r="M51" s="3263"/>
      <c r="O51" s="2256" t="s">
        <v>2368</v>
      </c>
      <c r="P51" s="2254" t="s">
        <v>2369</v>
      </c>
      <c r="Q51" s="2257" t="e">
        <f ca="1">J58</f>
        <v>#DIV/0!</v>
      </c>
      <c r="R51" s="2258"/>
    </row>
    <row r="52" spans="1:18" s="1942" customFormat="1" ht="18" customHeight="1" thickBot="1">
      <c r="A52" s="771" t="s">
        <v>2516</v>
      </c>
      <c r="B52" s="2347" t="s">
        <v>2439</v>
      </c>
      <c r="C52" s="789">
        <f ca="1">ROUND(IF(F52="押一",C48/12*F11,IF(F52="押二",C48/12*2*F11,IF(F52="押三",C48/12*3*F11,C53*F11))),0)</f>
        <v>0</v>
      </c>
      <c r="D52" s="2354" t="s">
        <v>2933</v>
      </c>
      <c r="E52" s="2351" t="s">
        <v>2444</v>
      </c>
      <c r="F52" s="2465"/>
      <c r="I52" s="2804" t="s">
        <v>2405</v>
      </c>
      <c r="J52" s="2240"/>
      <c r="K52" s="2804" t="s">
        <v>2404</v>
      </c>
      <c r="L52" s="2240"/>
      <c r="M52" s="3263"/>
      <c r="O52" s="2256" t="s">
        <v>2370</v>
      </c>
      <c r="P52" s="2254" t="s">
        <v>2371</v>
      </c>
      <c r="Q52" s="2257">
        <f>J52</f>
        <v>0</v>
      </c>
      <c r="R52" s="2258"/>
    </row>
    <row r="53" spans="1:18" s="1942" customFormat="1" ht="39.75" customHeight="1" thickBot="1">
      <c r="A53" s="776"/>
      <c r="B53" s="2348" t="s">
        <v>2553</v>
      </c>
      <c r="C53" s="2352"/>
      <c r="D53" s="2354"/>
      <c r="E53" s="2351"/>
      <c r="F53" s="790"/>
      <c r="I53" s="2805" t="s">
        <v>2936</v>
      </c>
      <c r="J53" s="2858">
        <f ca="1">IF(M47="住宅",IF(D1="——",MAX(J51,L48),MAX(J51,L48-'数据-取费表'!B20)),IF(D1="——",MIN(J51,L48),MIN(J51,L48-'数据-取费表'!B20)))</f>
        <v>0</v>
      </c>
      <c r="K53" s="3624" t="s">
        <v>2925</v>
      </c>
      <c r="L53" s="3625"/>
      <c r="M53" s="3263"/>
      <c r="O53" s="2256" t="s">
        <v>2372</v>
      </c>
      <c r="P53" s="2254" t="s">
        <v>2373</v>
      </c>
      <c r="Q53" s="2255">
        <f ca="1">J53</f>
        <v>0</v>
      </c>
      <c r="R53" s="2254" t="s">
        <v>2374</v>
      </c>
    </row>
    <row r="54" spans="1:18" s="1942" customFormat="1" ht="18" customHeight="1" thickBot="1">
      <c r="A54" s="2390" t="s">
        <v>2447</v>
      </c>
      <c r="B54" s="2391" t="s">
        <v>2440</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2375</v>
      </c>
      <c r="P54" s="2254" t="s">
        <v>2392</v>
      </c>
      <c r="Q54" s="2255" t="e">
        <f ca="1">Q48+Q49</f>
        <v>#DIV/0!</v>
      </c>
      <c r="R54" s="2258" t="s">
        <v>2376</v>
      </c>
    </row>
    <row r="55" spans="1:18" s="1942" customFormat="1" ht="18" customHeight="1" thickTop="1" thickBot="1">
      <c r="A55" s="787">
        <v>2</v>
      </c>
      <c r="B55" s="788" t="s">
        <v>638</v>
      </c>
      <c r="C55" s="789">
        <f ca="1">C13</f>
        <v>0</v>
      </c>
      <c r="D55" s="785"/>
      <c r="E55" s="785"/>
      <c r="F55" s="790"/>
      <c r="I55" s="2816" t="s">
        <v>2339</v>
      </c>
      <c r="J55" s="2788" t="e">
        <f ca="1">ROUND(IF(J47="钢混",J57/J50,1-(1-2%)*(J50-J57)/J50),3)</f>
        <v>#DIV/0!</v>
      </c>
      <c r="K55" s="2817" t="s">
        <v>2340</v>
      </c>
      <c r="L55" s="2241"/>
      <c r="M55" s="3263"/>
      <c r="O55" s="2259" t="s">
        <v>2395</v>
      </c>
      <c r="P55" s="1526"/>
      <c r="Q55" s="1534"/>
      <c r="R55" s="1526"/>
    </row>
    <row r="56" spans="1:18" s="1942" customFormat="1" ht="42.75" customHeight="1" thickBot="1">
      <c r="A56" s="1578"/>
      <c r="B56" s="2111" t="s">
        <v>2289</v>
      </c>
      <c r="C56" s="53">
        <f ca="1">C29</f>
        <v>0</v>
      </c>
      <c r="D56" s="2481"/>
      <c r="E56" s="774"/>
      <c r="F56" s="799"/>
      <c r="I56" s="2818" t="s">
        <v>2341</v>
      </c>
      <c r="J56" s="2828"/>
      <c r="K56" s="2799" t="s">
        <v>2346</v>
      </c>
      <c r="L56" s="1822">
        <f ca="1">IF(L48&lt;J51,"——",L48-J51)</f>
        <v>0</v>
      </c>
      <c r="M56" s="3263"/>
      <c r="O56" s="2250" t="s">
        <v>2359</v>
      </c>
      <c r="P56" s="2251" t="s">
        <v>2360</v>
      </c>
      <c r="Q56" s="2252" t="s">
        <v>2361</v>
      </c>
      <c r="R56" s="2251" t="s">
        <v>2362</v>
      </c>
    </row>
    <row r="57" spans="1:18" s="1942" customFormat="1" ht="28.5" customHeight="1" thickBot="1">
      <c r="A57" s="787" t="s">
        <v>1738</v>
      </c>
      <c r="B57" s="788" t="s">
        <v>645</v>
      </c>
      <c r="C57" s="789">
        <f ca="1">ROUND(C58+C63+C64+C65,0)</f>
        <v>0</v>
      </c>
      <c r="D57" s="26" t="s">
        <v>1740</v>
      </c>
      <c r="E57" s="2482"/>
      <c r="F57" s="56"/>
      <c r="I57" s="2819" t="s">
        <v>2342</v>
      </c>
      <c r="J57" s="2820">
        <f ca="1">IF(OR(M47="住宅",J51&lt;L48,J56="是"),"——",J51-L48)</f>
        <v>0</v>
      </c>
      <c r="K57" s="2799" t="s">
        <v>2347</v>
      </c>
      <c r="L57" s="1822">
        <f ca="1">IF(L48&lt;J51,"——",IF(L55="比较法",L49,IF(L55="基准地价",L50,L51)))</f>
        <v>0</v>
      </c>
      <c r="M57" s="3263"/>
      <c r="O57" s="2253" t="s">
        <v>2363</v>
      </c>
      <c r="P57" s="2254" t="s">
        <v>2393</v>
      </c>
      <c r="Q57" s="2255" t="e">
        <f ca="1">C40+J29</f>
        <v>#DIV/0!</v>
      </c>
      <c r="R57" s="2254" t="s">
        <v>2364</v>
      </c>
    </row>
    <row r="58" spans="1:18" s="1942" customFormat="1" ht="28.5" customHeight="1" thickBot="1">
      <c r="A58" s="1577" t="s">
        <v>1814</v>
      </c>
      <c r="B58" s="774" t="s">
        <v>650</v>
      </c>
      <c r="C58" s="3019">
        <f ca="1">ROUND(IF(AND(项目基本情况!B11="自然人",项目基本情况!B10="北京市"),C48*F58/(1+'数据-取费表'!C42),C59+C60+C61),0)</f>
        <v>0</v>
      </c>
      <c r="D58" s="2480" t="s">
        <v>651</v>
      </c>
      <c r="E58" s="2481" t="s">
        <v>684</v>
      </c>
      <c r="F58" s="3018" t="str">
        <f>IF(项目基本情况!B11="企业","——",IF('数据-取费表'!B10="住宅",IF(F48*F49*F50/12/(1+'数据-取费表'!F30)&gt;100000,4%,2.5%),IF(F48*F49*F50/12/(1+'数据-取费表'!F30)&gt;100000,12%,7%)))</f>
        <v>——</v>
      </c>
      <c r="I58" s="2819" t="s">
        <v>2343</v>
      </c>
      <c r="J58" s="2789" t="e">
        <f ca="1">IF(J55&lt;0.4,0.4,J55)</f>
        <v>#DIV/0!</v>
      </c>
      <c r="K58" s="2799" t="s">
        <v>2348</v>
      </c>
      <c r="L58" s="1822" t="e">
        <f ca="1">ROUND(POWER(1+L52,L47-L48)*(POWER(1+L52,L48)-1)/(POWER(1+L52,L47)-1),4)</f>
        <v>#DIV/0!</v>
      </c>
      <c r="M58" s="3263"/>
      <c r="O58" s="2253" t="s">
        <v>2365</v>
      </c>
      <c r="P58" s="2254" t="s">
        <v>2396</v>
      </c>
      <c r="Q58" s="2255" t="e">
        <f ca="1">L60</f>
        <v>#DIV/0!</v>
      </c>
      <c r="R58" s="2258" t="s">
        <v>2398</v>
      </c>
    </row>
    <row r="59" spans="1:18" s="1942" customFormat="1" ht="28.5" customHeight="1" thickBot="1">
      <c r="A59" s="1576" t="s">
        <v>1821</v>
      </c>
      <c r="B59" s="774" t="s">
        <v>654</v>
      </c>
      <c r="C59" s="53">
        <f ca="1">ROUND(C47*F59/1.05,1)</f>
        <v>0</v>
      </c>
      <c r="D59" s="2481" t="s">
        <v>1746</v>
      </c>
      <c r="E59" s="774" t="s">
        <v>1737</v>
      </c>
      <c r="F59" s="799">
        <f t="shared" ref="F59:F65" si="0">F32</f>
        <v>5.5000000000000007E-2</v>
      </c>
      <c r="I59" s="2819" t="s">
        <v>2344</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2367</v>
      </c>
      <c r="P59" s="2254" t="s">
        <v>2397</v>
      </c>
      <c r="Q59" s="2255">
        <f>IF(L55="比较法",L49,IF(L55="基准地价",L50,0))</f>
        <v>0</v>
      </c>
      <c r="R59" s="2254" t="s">
        <v>2364</v>
      </c>
    </row>
    <row r="60" spans="1:18" s="1942" customFormat="1" ht="18" customHeight="1" thickBot="1">
      <c r="A60" s="1576" t="s">
        <v>1822</v>
      </c>
      <c r="B60" s="774" t="s">
        <v>1748</v>
      </c>
      <c r="C60" s="53">
        <f ca="1">IF(D60="按租金收入计税",ROUND(C47*F60,1),IF(D60="按房产原值计税",ROUND(C56*F60*0.7,1),INDIRECT("'数据-取费表'!Aj"&amp;$G$1)))</f>
        <v>0</v>
      </c>
      <c r="D60" s="2481" t="str">
        <f>D33</f>
        <v>按房产原值计税</v>
      </c>
      <c r="E60" s="774" t="s">
        <v>1737</v>
      </c>
      <c r="F60" s="799">
        <f t="shared" si="0"/>
        <v>1.2E-2</v>
      </c>
      <c r="I60" s="2821" t="s">
        <v>2345</v>
      </c>
      <c r="J60" s="2822" t="e">
        <f ca="1">IF(OR(M47="住宅",J51&lt;L48,J56="是"),"0",ROUND(J59/(1+J52)^J53,0))</f>
        <v>#DIV/0!</v>
      </c>
      <c r="K60" s="2823" t="s">
        <v>2350</v>
      </c>
      <c r="L60" s="2822" t="e">
        <f ca="1">IF(OR(M47="住宅",L48&lt;J51),0,ROUND(L57*(L58/L59-1),0))</f>
        <v>#DIV/0!</v>
      </c>
      <c r="M60" s="3263"/>
      <c r="O60" s="2256" t="s">
        <v>2368</v>
      </c>
      <c r="P60" s="2254" t="s">
        <v>2377</v>
      </c>
      <c r="Q60" s="2257">
        <f>L52</f>
        <v>0</v>
      </c>
      <c r="R60" s="2258"/>
    </row>
    <row r="61" spans="1:18" s="1942" customFormat="1" ht="18" customHeight="1" thickBot="1">
      <c r="A61" s="1579" t="s">
        <v>1823</v>
      </c>
      <c r="B61" s="339" t="s">
        <v>662</v>
      </c>
      <c r="C61" s="54">
        <f ca="1">ROUND(F61*F62/10000,1)</f>
        <v>0</v>
      </c>
      <c r="D61" s="803" t="s">
        <v>663</v>
      </c>
      <c r="E61" s="774" t="s">
        <v>664</v>
      </c>
      <c r="F61" s="632">
        <f t="shared" si="0"/>
        <v>6</v>
      </c>
      <c r="K61" s="1968"/>
      <c r="O61" s="2256" t="s">
        <v>2370</v>
      </c>
      <c r="P61" s="2254" t="s">
        <v>2378</v>
      </c>
      <c r="Q61" s="2255" t="e">
        <f ca="1">L58</f>
        <v>#DIV/0!</v>
      </c>
      <c r="R61" s="2258" t="s">
        <v>2379</v>
      </c>
    </row>
    <row r="62" spans="1:18" s="1942" customFormat="1" ht="15.75" thickBot="1">
      <c r="A62" s="804"/>
      <c r="B62" s="783"/>
      <c r="C62" s="69"/>
      <c r="D62" s="805"/>
      <c r="E62" s="774" t="s">
        <v>668</v>
      </c>
      <c r="F62" s="775">
        <f t="shared" ca="1" si="0"/>
        <v>0</v>
      </c>
      <c r="I62" s="2824" t="s">
        <v>2351</v>
      </c>
      <c r="J62" s="2825" t="s">
        <v>2352</v>
      </c>
      <c r="K62" s="2825" t="s">
        <v>2353</v>
      </c>
      <c r="L62" s="2825" t="s">
        <v>2334</v>
      </c>
      <c r="M62" s="2826" t="s">
        <v>2904</v>
      </c>
      <c r="O62" s="2256" t="s">
        <v>2372</v>
      </c>
      <c r="P62" s="2254" t="str">
        <f>K59</f>
        <v>建筑物剩余耐用年限下的土地年期修正系数Kn</v>
      </c>
      <c r="Q62" s="2255" t="e">
        <f ca="1">L59</f>
        <v>#DIV/0!</v>
      </c>
      <c r="R62" s="2258" t="s">
        <v>2381</v>
      </c>
    </row>
    <row r="63" spans="1:18" s="1942" customFormat="1" ht="15.75" thickBot="1">
      <c r="A63" s="1577" t="s">
        <v>1879</v>
      </c>
      <c r="B63" s="774" t="s">
        <v>670</v>
      </c>
      <c r="C63" s="53">
        <f ca="1">ROUND(C56*F63,1)</f>
        <v>0</v>
      </c>
      <c r="D63" s="2481" t="s">
        <v>1793</v>
      </c>
      <c r="E63" s="774" t="s">
        <v>1737</v>
      </c>
      <c r="F63" s="806">
        <f t="shared" ca="1" si="0"/>
        <v>0</v>
      </c>
      <c r="I63" s="2824" t="s">
        <v>2354</v>
      </c>
      <c r="J63" s="2825">
        <v>70</v>
      </c>
      <c r="K63" s="2825">
        <v>50</v>
      </c>
      <c r="L63" s="2825">
        <v>80</v>
      </c>
      <c r="M63" s="2827">
        <v>0.02</v>
      </c>
      <c r="O63" s="2253" t="s">
        <v>2375</v>
      </c>
      <c r="P63" s="2254" t="s">
        <v>2392</v>
      </c>
      <c r="Q63" s="2255" t="e">
        <f ca="1">Q57+Q58</f>
        <v>#DIV/0!</v>
      </c>
      <c r="R63" s="2258" t="s">
        <v>2376</v>
      </c>
    </row>
    <row r="64" spans="1:18" s="1942" customFormat="1" ht="16.5" thickBot="1">
      <c r="A64" s="1577" t="s">
        <v>1880</v>
      </c>
      <c r="B64" s="774" t="s">
        <v>673</v>
      </c>
      <c r="C64" s="53">
        <f ca="1">ROUND(C55*F64,1)</f>
        <v>0</v>
      </c>
      <c r="D64" s="2481" t="s">
        <v>674</v>
      </c>
      <c r="E64" s="774" t="s">
        <v>1737</v>
      </c>
      <c r="F64" s="807">
        <f t="shared" ca="1" si="0"/>
        <v>0</v>
      </c>
      <c r="I64" s="2824" t="s">
        <v>2355</v>
      </c>
      <c r="J64" s="2825">
        <v>50</v>
      </c>
      <c r="K64" s="2825">
        <v>35</v>
      </c>
      <c r="L64" s="2825">
        <v>60</v>
      </c>
      <c r="M64" s="835">
        <v>0</v>
      </c>
      <c r="O64" s="2259" t="s">
        <v>2399</v>
      </c>
      <c r="P64" s="1526"/>
      <c r="Q64" s="1534"/>
      <c r="R64" s="1526"/>
    </row>
    <row r="65" spans="1:18" s="1942" customFormat="1" ht="15.75" thickBot="1">
      <c r="A65" s="1577" t="s">
        <v>1881</v>
      </c>
      <c r="B65" s="774" t="s">
        <v>660</v>
      </c>
      <c r="C65" s="53">
        <f ca="1">ROUND(C47*F65,1)</f>
        <v>0</v>
      </c>
      <c r="D65" s="2481" t="s">
        <v>677</v>
      </c>
      <c r="E65" s="774" t="s">
        <v>1737</v>
      </c>
      <c r="F65" s="784">
        <f t="shared" ca="1" si="0"/>
        <v>0</v>
      </c>
      <c r="I65" s="2824" t="s">
        <v>2356</v>
      </c>
      <c r="J65" s="2825">
        <v>40</v>
      </c>
      <c r="K65" s="2825">
        <v>30</v>
      </c>
      <c r="L65" s="2825">
        <v>50</v>
      </c>
      <c r="M65" s="2827">
        <v>0.02</v>
      </c>
      <c r="O65" s="2250" t="s">
        <v>2359</v>
      </c>
      <c r="P65" s="2251" t="s">
        <v>2360</v>
      </c>
      <c r="Q65" s="2252" t="s">
        <v>2361</v>
      </c>
      <c r="R65" s="2251" t="s">
        <v>2362</v>
      </c>
    </row>
    <row r="66" spans="1:18" s="1942" customFormat="1" ht="24.75" thickBot="1">
      <c r="A66" s="787" t="s">
        <v>1766</v>
      </c>
      <c r="B66" s="2724" t="s">
        <v>2800</v>
      </c>
      <c r="C66" s="789">
        <f ca="1">C47-C57</f>
        <v>0</v>
      </c>
      <c r="D66" s="2480" t="s">
        <v>694</v>
      </c>
      <c r="E66" s="2479"/>
      <c r="F66" s="809"/>
      <c r="K66" s="1968"/>
      <c r="O66" s="2253" t="s">
        <v>2363</v>
      </c>
      <c r="P66" s="2254" t="s">
        <v>2393</v>
      </c>
      <c r="Q66" s="2255" t="e">
        <f ca="1">C40+J29</f>
        <v>#DIV/0!</v>
      </c>
      <c r="R66" s="2254" t="s">
        <v>2364</v>
      </c>
    </row>
    <row r="67" spans="1:18" s="1942" customFormat="1" ht="20.25" thickBot="1">
      <c r="A67" s="771" t="s">
        <v>1770</v>
      </c>
      <c r="B67" s="2112" t="s">
        <v>2288</v>
      </c>
      <c r="C67" s="773" t="e">
        <f ca="1">ROUND(C66*(1-((1+F69)/(1+F67))^F68)/(F67-F69),0)</f>
        <v>#DIV/0!</v>
      </c>
      <c r="D67" s="803" t="s">
        <v>698</v>
      </c>
      <c r="E67" s="774" t="s">
        <v>699</v>
      </c>
      <c r="F67" s="784">
        <f ca="1">F40</f>
        <v>0</v>
      </c>
      <c r="K67" s="1968"/>
      <c r="O67" s="2253" t="s">
        <v>2365</v>
      </c>
      <c r="P67" s="2254" t="s">
        <v>2396</v>
      </c>
      <c r="Q67" s="2255" t="e">
        <f ca="1">L60</f>
        <v>#DIV/0!</v>
      </c>
      <c r="R67" s="2258" t="s">
        <v>2398</v>
      </c>
    </row>
    <row r="68" spans="1:18" ht="21.75" thickBot="1">
      <c r="A68" s="776"/>
      <c r="B68" s="777"/>
      <c r="C68" s="778"/>
      <c r="D68" s="810" t="s">
        <v>1798</v>
      </c>
      <c r="E68" s="774" t="s">
        <v>1774</v>
      </c>
      <c r="F68" s="811">
        <f ca="1">F41</f>
        <v>0</v>
      </c>
      <c r="O68" s="2256" t="s">
        <v>2367</v>
      </c>
      <c r="P68" s="2254" t="s">
        <v>2397</v>
      </c>
      <c r="Q68" s="2260">
        <f ca="1">L51</f>
        <v>0</v>
      </c>
      <c r="R68" s="2261" t="s">
        <v>2400</v>
      </c>
    </row>
    <row r="69" spans="1:18" ht="20.25" thickBot="1">
      <c r="A69" s="780"/>
      <c r="B69" s="781"/>
      <c r="C69" s="782"/>
      <c r="D69" s="805"/>
      <c r="E69" s="774" t="s">
        <v>704</v>
      </c>
      <c r="F69" s="2226"/>
      <c r="O69" s="2256" t="s">
        <v>2368</v>
      </c>
      <c r="P69" s="2262" t="s">
        <v>2382</v>
      </c>
      <c r="Q69" s="2255">
        <f ca="1">ROUND(Q70-Q71*Q72,0)</f>
        <v>0</v>
      </c>
      <c r="R69" s="2258"/>
    </row>
    <row r="70" spans="1:18" ht="15.75" thickBot="1">
      <c r="A70" s="812" t="s">
        <v>1777</v>
      </c>
      <c r="B70" s="813" t="s">
        <v>1800</v>
      </c>
      <c r="C70" s="814" t="e">
        <f ca="1">ROUND(C67*10000/F70,0)</f>
        <v>#DIV/0!</v>
      </c>
      <c r="D70" s="815" t="s">
        <v>1801</v>
      </c>
      <c r="E70" s="816" t="s">
        <v>1802</v>
      </c>
      <c r="F70" s="817">
        <f ca="1">F43</f>
        <v>0</v>
      </c>
      <c r="O70" s="2256" t="s">
        <v>2383</v>
      </c>
      <c r="P70" s="2262" t="s">
        <v>2384</v>
      </c>
      <c r="Q70" s="2255">
        <f ca="1">C39</f>
        <v>0</v>
      </c>
      <c r="R70" s="2254" t="s">
        <v>2364</v>
      </c>
    </row>
    <row r="71" spans="1:18" ht="15.75" thickBot="1">
      <c r="O71" s="2256" t="s">
        <v>2385</v>
      </c>
      <c r="P71" s="2262" t="s">
        <v>2386</v>
      </c>
      <c r="Q71" s="2255">
        <f ca="1">C13</f>
        <v>0</v>
      </c>
      <c r="R71" s="2254" t="s">
        <v>2364</v>
      </c>
    </row>
    <row r="72" spans="1:18" ht="15.75" thickBot="1">
      <c r="O72" s="2256" t="s">
        <v>2387</v>
      </c>
      <c r="P72" s="2262" t="s">
        <v>2388</v>
      </c>
      <c r="Q72" s="2257">
        <f ca="1">J36</f>
        <v>0</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建筑物剩余耐用年限下的土地年期修正系数Kn</v>
      </c>
      <c r="Q75" s="2255" t="e">
        <f ca="1">L59</f>
        <v>#DIV/0!</v>
      </c>
      <c r="R75" s="2258" t="s">
        <v>2381</v>
      </c>
    </row>
    <row r="76" spans="1:18" ht="15.75" thickBot="1">
      <c r="O76" s="2253" t="s">
        <v>2375</v>
      </c>
      <c r="P76" s="2254" t="s">
        <v>2392</v>
      </c>
      <c r="Q76" s="2255" t="e">
        <f ca="1">Q66+Q67</f>
        <v>#DIV/0!</v>
      </c>
      <c r="R76" s="2258"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42" t="s">
        <v>2451</v>
      </c>
      <c r="B1" s="3643"/>
      <c r="C1" s="3644"/>
      <c r="D1" s="3645">
        <f>SUM(I10,I15,I20,I21,I23)</f>
        <v>0</v>
      </c>
      <c r="E1" s="3645"/>
      <c r="F1" s="3645"/>
      <c r="G1" s="3645"/>
      <c r="H1" s="3645"/>
      <c r="I1" s="3646"/>
    </row>
    <row r="2" spans="1:9">
      <c r="A2" s="3632" t="s">
        <v>2452</v>
      </c>
      <c r="B2" s="3633" t="s">
        <v>2453</v>
      </c>
      <c r="C2" s="3633"/>
      <c r="D2" s="2360" t="s">
        <v>2454</v>
      </c>
      <c r="E2" s="2360" t="s">
        <v>2455</v>
      </c>
      <c r="F2" s="2360" t="s">
        <v>2456</v>
      </c>
      <c r="G2" s="2360" t="s">
        <v>2457</v>
      </c>
      <c r="H2" s="2360" t="s">
        <v>2458</v>
      </c>
      <c r="I2" s="2361" t="s">
        <v>2459</v>
      </c>
    </row>
    <row r="3" spans="1:9">
      <c r="A3" s="3632"/>
      <c r="B3" s="3633" t="s">
        <v>2460</v>
      </c>
      <c r="C3" s="3633"/>
      <c r="D3" s="2362"/>
      <c r="E3" s="2360"/>
      <c r="F3" s="2363"/>
      <c r="G3" s="2363"/>
      <c r="H3" s="2364"/>
      <c r="I3" s="2365">
        <f>ROUND(D3*E3*F3*G3*H3/10000,0)</f>
        <v>0</v>
      </c>
    </row>
    <row r="4" spans="1:9">
      <c r="A4" s="3632"/>
      <c r="B4" s="3633" t="s">
        <v>2461</v>
      </c>
      <c r="C4" s="3633"/>
      <c r="D4" s="2362"/>
      <c r="E4" s="2360"/>
      <c r="F4" s="2363"/>
      <c r="G4" s="2363"/>
      <c r="H4" s="2364"/>
      <c r="I4" s="2365">
        <f t="shared" ref="I4:I9" si="0">ROUND(D4*E4*F4*G4*H4/10000,0)</f>
        <v>0</v>
      </c>
    </row>
    <row r="5" spans="1:9">
      <c r="A5" s="3632"/>
      <c r="B5" s="3633" t="s">
        <v>2462</v>
      </c>
      <c r="C5" s="3633"/>
      <c r="D5" s="2362"/>
      <c r="E5" s="2360"/>
      <c r="F5" s="2363"/>
      <c r="G5" s="2363"/>
      <c r="H5" s="2364"/>
      <c r="I5" s="2365">
        <f t="shared" si="0"/>
        <v>0</v>
      </c>
    </row>
    <row r="6" spans="1:9">
      <c r="A6" s="3632"/>
      <c r="B6" s="3633" t="s">
        <v>2463</v>
      </c>
      <c r="C6" s="3633"/>
      <c r="D6" s="2362"/>
      <c r="E6" s="2360"/>
      <c r="F6" s="2363"/>
      <c r="G6" s="2363"/>
      <c r="H6" s="2364"/>
      <c r="I6" s="2365">
        <f t="shared" si="0"/>
        <v>0</v>
      </c>
    </row>
    <row r="7" spans="1:9">
      <c r="A7" s="3632"/>
      <c r="B7" s="3633" t="s">
        <v>2464</v>
      </c>
      <c r="C7" s="3633"/>
      <c r="D7" s="2362"/>
      <c r="E7" s="2360"/>
      <c r="F7" s="2363"/>
      <c r="G7" s="2363"/>
      <c r="H7" s="2364"/>
      <c r="I7" s="2365">
        <f t="shared" si="0"/>
        <v>0</v>
      </c>
    </row>
    <row r="8" spans="1:9">
      <c r="A8" s="3632"/>
      <c r="B8" s="3633" t="s">
        <v>2465</v>
      </c>
      <c r="C8" s="3633"/>
      <c r="D8" s="2362"/>
      <c r="E8" s="2360"/>
      <c r="F8" s="2363"/>
      <c r="G8" s="2363"/>
      <c r="H8" s="2364"/>
      <c r="I8" s="2365">
        <f t="shared" si="0"/>
        <v>0</v>
      </c>
    </row>
    <row r="9" spans="1:9">
      <c r="A9" s="3632"/>
      <c r="B9" s="3633" t="s">
        <v>2466</v>
      </c>
      <c r="C9" s="3633"/>
      <c r="D9" s="2362"/>
      <c r="E9" s="2360"/>
      <c r="F9" s="2363"/>
      <c r="G9" s="2363"/>
      <c r="H9" s="2364"/>
      <c r="I9" s="2365">
        <f t="shared" si="0"/>
        <v>0</v>
      </c>
    </row>
    <row r="10" spans="1:9">
      <c r="A10" s="3632"/>
      <c r="B10" s="3634" t="s">
        <v>2467</v>
      </c>
      <c r="C10" s="3634"/>
      <c r="D10" s="2366">
        <v>527</v>
      </c>
      <c r="E10" s="2366" t="e">
        <f>ROUND(D1*10000/D10/H9,0)</f>
        <v>#DIV/0!</v>
      </c>
      <c r="F10" s="2367"/>
      <c r="G10" s="2367"/>
      <c r="H10" s="2368"/>
      <c r="I10" s="2369">
        <f>SUM(I3:I9)</f>
        <v>0</v>
      </c>
    </row>
    <row r="11" spans="1:9" ht="14.25">
      <c r="A11" s="3632" t="s">
        <v>2468</v>
      </c>
      <c r="B11" s="3633" t="s">
        <v>2469</v>
      </c>
      <c r="C11" s="3633"/>
      <c r="D11" s="2362" t="s">
        <v>2470</v>
      </c>
      <c r="E11" s="2362" t="s">
        <v>2471</v>
      </c>
      <c r="F11" s="2363" t="s">
        <v>2472</v>
      </c>
      <c r="G11" s="2363" t="s">
        <v>2473</v>
      </c>
      <c r="H11" s="2370" t="s">
        <v>2474</v>
      </c>
      <c r="I11" s="2361" t="s">
        <v>2475</v>
      </c>
    </row>
    <row r="12" spans="1:9">
      <c r="A12" s="3632"/>
      <c r="B12" s="3633" t="s">
        <v>2476</v>
      </c>
      <c r="C12" s="3633"/>
      <c r="D12" s="2362"/>
      <c r="E12" s="2362"/>
      <c r="F12" s="2363"/>
      <c r="G12" s="2364"/>
      <c r="H12" s="2371"/>
      <c r="I12" s="2361">
        <f>ROUND(D12*E12*F12*G12/10000,0)</f>
        <v>0</v>
      </c>
    </row>
    <row r="13" spans="1:9">
      <c r="A13" s="3632"/>
      <c r="B13" s="3633" t="s">
        <v>2477</v>
      </c>
      <c r="C13" s="3633"/>
      <c r="D13" s="2362"/>
      <c r="E13" s="2362"/>
      <c r="F13" s="2363"/>
      <c r="G13" s="2364"/>
      <c r="H13" s="2371"/>
      <c r="I13" s="2361">
        <f>ROUND(D13*E13*F13*G13/10000,0)</f>
        <v>0</v>
      </c>
    </row>
    <row r="14" spans="1:9">
      <c r="A14" s="3632"/>
      <c r="B14" s="3633" t="s">
        <v>2478</v>
      </c>
      <c r="C14" s="3633"/>
      <c r="D14" s="2362"/>
      <c r="E14" s="2362"/>
      <c r="F14" s="2363"/>
      <c r="G14" s="2364"/>
      <c r="H14" s="2371"/>
      <c r="I14" s="2361">
        <f>ROUND(D14*E14*F14*G14/10000,0)</f>
        <v>0</v>
      </c>
    </row>
    <row r="15" spans="1:9">
      <c r="A15" s="3632"/>
      <c r="B15" s="3634" t="s">
        <v>2467</v>
      </c>
      <c r="C15" s="3634"/>
      <c r="D15" s="2366"/>
      <c r="E15" s="2366">
        <f>SUM(E12:E14)</f>
        <v>0</v>
      </c>
      <c r="F15" s="2367"/>
      <c r="G15" s="2364"/>
      <c r="H15" s="2371"/>
      <c r="I15" s="2372">
        <f>SUM(I12:I14)</f>
        <v>0</v>
      </c>
    </row>
    <row r="16" spans="1:9" ht="24">
      <c r="A16" s="3632" t="s">
        <v>2479</v>
      </c>
      <c r="B16" s="3633" t="s">
        <v>2480</v>
      </c>
      <c r="C16" s="3633"/>
      <c r="D16" s="2362" t="s">
        <v>2481</v>
      </c>
      <c r="E16" s="2373" t="s">
        <v>2482</v>
      </c>
      <c r="F16" s="2363" t="s">
        <v>2483</v>
      </c>
      <c r="G16" s="2364" t="s">
        <v>2473</v>
      </c>
      <c r="H16" s="2370" t="s">
        <v>2474</v>
      </c>
      <c r="I16" s="2361" t="s">
        <v>2475</v>
      </c>
    </row>
    <row r="17" spans="1:9" ht="14.25">
      <c r="A17" s="3632"/>
      <c r="B17" s="3633" t="s">
        <v>2484</v>
      </c>
      <c r="C17" s="3633"/>
      <c r="D17" s="2362"/>
      <c r="E17" s="2362"/>
      <c r="F17" s="2363"/>
      <c r="G17" s="2364"/>
      <c r="H17" s="2374"/>
      <c r="I17" s="2375">
        <f>ROUND(D17*E17*F17*G17/10000,0)</f>
        <v>0</v>
      </c>
    </row>
    <row r="18" spans="1:9" ht="14.25">
      <c r="A18" s="3632"/>
      <c r="B18" s="3633" t="s">
        <v>2485</v>
      </c>
      <c r="C18" s="3633"/>
      <c r="D18" s="2362"/>
      <c r="E18" s="2362"/>
      <c r="F18" s="2363"/>
      <c r="G18" s="2364"/>
      <c r="H18" s="2374"/>
      <c r="I18" s="2375">
        <f>ROUND(D18*E18*F18*G18/10000,0)</f>
        <v>0</v>
      </c>
    </row>
    <row r="19" spans="1:9" ht="14.25">
      <c r="A19" s="3632"/>
      <c r="B19" s="3633" t="s">
        <v>2486</v>
      </c>
      <c r="C19" s="3633"/>
      <c r="D19" s="2362"/>
      <c r="E19" s="2362"/>
      <c r="F19" s="2363"/>
      <c r="G19" s="2364"/>
      <c r="H19" s="2374"/>
      <c r="I19" s="2375">
        <f>ROUND(D19*E19*F19*G19/10000,0)</f>
        <v>0</v>
      </c>
    </row>
    <row r="20" spans="1:9">
      <c r="A20" s="3632"/>
      <c r="B20" s="3634" t="s">
        <v>2467</v>
      </c>
      <c r="C20" s="3634"/>
      <c r="D20" s="2366">
        <f>SUM(D17:D19)</f>
        <v>0</v>
      </c>
      <c r="E20" s="2366"/>
      <c r="F20" s="2367"/>
      <c r="G20" s="2364"/>
      <c r="H20" s="2371"/>
      <c r="I20" s="2372">
        <f>SUM(I17:I19)</f>
        <v>0</v>
      </c>
    </row>
    <row r="21" spans="1:9">
      <c r="A21" s="3632" t="s">
        <v>2487</v>
      </c>
      <c r="B21" s="3635"/>
      <c r="C21" s="3635"/>
      <c r="D21" s="3635"/>
      <c r="E21" s="3635"/>
      <c r="F21" s="3635"/>
      <c r="G21" s="3635"/>
      <c r="H21" s="2376">
        <v>0.1</v>
      </c>
      <c r="I21" s="2369">
        <f>ROUND(I10*H21,0)</f>
        <v>0</v>
      </c>
    </row>
    <row r="22" spans="1:9" ht="14.25">
      <c r="A22" s="3636" t="s">
        <v>2488</v>
      </c>
      <c r="B22" s="3637"/>
      <c r="C22" s="3638"/>
      <c r="D22" s="2377" t="s">
        <v>2489</v>
      </c>
      <c r="E22" s="2377" t="s">
        <v>2490</v>
      </c>
      <c r="F22" s="2378" t="s">
        <v>2491</v>
      </c>
      <c r="G22" s="2378" t="s">
        <v>2492</v>
      </c>
      <c r="H22" s="2370" t="s">
        <v>2493</v>
      </c>
      <c r="I22" s="2361" t="s">
        <v>2494</v>
      </c>
    </row>
    <row r="23" spans="1:9" ht="14.25" thickBot="1">
      <c r="A23" s="3639"/>
      <c r="B23" s="3640"/>
      <c r="C23" s="3641"/>
      <c r="D23" s="2379"/>
      <c r="E23" s="2379"/>
      <c r="F23" s="2379"/>
      <c r="G23" s="2380"/>
      <c r="H23" s="2381"/>
      <c r="I23" s="2382">
        <f>ROUND(E23*D23*F23*(1-G23)/10000,0)</f>
        <v>0</v>
      </c>
    </row>
    <row r="26" spans="1:9">
      <c r="A26" s="2383" t="s">
        <v>2495</v>
      </c>
      <c r="B26" s="2383"/>
      <c r="C26" s="2383"/>
      <c r="D26" s="2383"/>
      <c r="E26" s="3629">
        <f>C27-C30-C31-C32</f>
        <v>0</v>
      </c>
      <c r="F26" s="3629"/>
      <c r="G26" s="3629"/>
      <c r="H26" s="2756" t="s">
        <v>2821</v>
      </c>
    </row>
    <row r="27" spans="1:9">
      <c r="A27" s="2384">
        <v>1</v>
      </c>
      <c r="B27" s="2385" t="s">
        <v>2496</v>
      </c>
      <c r="C27" s="2385"/>
      <c r="D27" s="2385"/>
      <c r="E27" s="3630"/>
      <c r="F27" s="3630"/>
      <c r="G27" s="3630"/>
    </row>
    <row r="28" spans="1:9">
      <c r="A28" s="2386" t="s">
        <v>2497</v>
      </c>
      <c r="B28" s="2385" t="s">
        <v>2498</v>
      </c>
      <c r="C28" s="2385"/>
      <c r="D28" s="2385"/>
      <c r="E28" s="3630"/>
      <c r="F28" s="3630"/>
      <c r="G28" s="3630"/>
    </row>
    <row r="29" spans="1:9">
      <c r="A29" s="2386" t="s">
        <v>2499</v>
      </c>
      <c r="B29" s="2385" t="s">
        <v>2440</v>
      </c>
      <c r="C29" s="2385"/>
      <c r="D29" s="2385"/>
      <c r="E29" s="2385" t="s">
        <v>2500</v>
      </c>
      <c r="F29" s="2385"/>
      <c r="G29" s="2385"/>
    </row>
    <row r="30" spans="1:9">
      <c r="A30" s="2384">
        <v>2</v>
      </c>
      <c r="B30" s="2385" t="s">
        <v>2501</v>
      </c>
      <c r="C30" s="2385">
        <f>C27*D30</f>
        <v>0</v>
      </c>
      <c r="D30" s="2387">
        <v>0.2</v>
      </c>
      <c r="E30" s="2385" t="s">
        <v>2502</v>
      </c>
      <c r="F30" s="2385"/>
      <c r="G30" s="2385"/>
    </row>
    <row r="31" spans="1:9">
      <c r="A31" s="2384">
        <v>3</v>
      </c>
      <c r="B31" s="2385" t="s">
        <v>2503</v>
      </c>
      <c r="C31" s="2385">
        <f>C25*D31</f>
        <v>0</v>
      </c>
      <c r="D31" s="2387">
        <v>0.15</v>
      </c>
      <c r="E31" s="2385" t="s">
        <v>2504</v>
      </c>
      <c r="F31" s="2385"/>
      <c r="G31" s="2385"/>
    </row>
    <row r="32" spans="1:9">
      <c r="A32" s="2384">
        <v>4</v>
      </c>
      <c r="B32" s="2385" t="s">
        <v>2505</v>
      </c>
      <c r="C32" s="2385">
        <f>C27*D32</f>
        <v>0</v>
      </c>
      <c r="D32" s="2387">
        <v>0.05</v>
      </c>
      <c r="E32" s="3631"/>
      <c r="F32" s="3631"/>
      <c r="G32" s="3631"/>
    </row>
    <row r="33" spans="1:7" hidden="1">
      <c r="A33" s="3626" t="s">
        <v>2506</v>
      </c>
      <c r="B33" s="3627"/>
      <c r="C33" s="3627"/>
      <c r="D33" s="3628"/>
      <c r="E33" s="3629"/>
      <c r="F33" s="3629"/>
      <c r="G33" s="3629"/>
    </row>
    <row r="34" spans="1:7" hidden="1">
      <c r="A34" s="2388">
        <v>1</v>
      </c>
      <c r="B34" s="2385" t="s">
        <v>2507</v>
      </c>
      <c r="C34" s="2385"/>
      <c r="D34" s="2385"/>
      <c r="E34" s="3630"/>
      <c r="F34" s="3630"/>
      <c r="G34" s="3630"/>
    </row>
    <row r="35" spans="1:7" hidden="1">
      <c r="A35" s="2388">
        <v>2</v>
      </c>
      <c r="B35" s="2385" t="s">
        <v>2508</v>
      </c>
      <c r="C35" s="2385"/>
      <c r="D35" s="2385"/>
      <c r="E35" s="3630"/>
      <c r="F35" s="3630"/>
      <c r="G35" s="3630"/>
    </row>
    <row r="36" spans="1:7" hidden="1">
      <c r="A36" s="2388">
        <v>3</v>
      </c>
      <c r="B36" s="2385" t="s">
        <v>2509</v>
      </c>
      <c r="C36" s="2385"/>
      <c r="D36" s="2385"/>
      <c r="E36" s="3630"/>
      <c r="F36" s="3630"/>
      <c r="G36" s="3630"/>
    </row>
    <row r="37" spans="1:7" hidden="1">
      <c r="A37" s="2388">
        <v>4</v>
      </c>
      <c r="B37" s="2385" t="s">
        <v>2510</v>
      </c>
      <c r="C37" s="2385"/>
      <c r="D37" s="2385"/>
      <c r="E37" s="3630"/>
      <c r="F37" s="3630"/>
      <c r="G37" s="3630"/>
    </row>
    <row r="38" spans="1:7" hidden="1">
      <c r="A38" s="3626" t="s">
        <v>2511</v>
      </c>
      <c r="B38" s="3627"/>
      <c r="C38" s="3627"/>
      <c r="D38" s="3628"/>
      <c r="E38" s="3629"/>
      <c r="F38" s="3629"/>
      <c r="G38" s="362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8"/>
      <c r="D2" s="3268"/>
      <c r="E2" s="3268"/>
      <c r="F2" s="3268"/>
      <c r="G2" s="3268"/>
    </row>
    <row r="3" spans="1:25" s="1942" customFormat="1" ht="18" customHeight="1">
      <c r="A3" s="1330" t="s">
        <v>1675</v>
      </c>
      <c r="B3" s="419">
        <f ca="1">ROUND(B2*10000/'数据-汇总表'!E3,0)</f>
        <v>0</v>
      </c>
      <c r="C3" s="3268"/>
      <c r="D3" s="3268"/>
      <c r="E3" s="3268"/>
      <c r="F3" s="3268"/>
      <c r="G3" s="3268"/>
    </row>
    <row r="4" spans="1:25" s="1942" customFormat="1" ht="18" customHeight="1">
      <c r="A4" s="420" t="s">
        <v>462</v>
      </c>
      <c r="B4" s="421">
        <f ca="1">ROUND(B2*10000/'数据-汇总表'!D3,0)</f>
        <v>0</v>
      </c>
      <c r="C4" s="3221"/>
      <c r="D4" s="3268"/>
      <c r="E4" s="3268"/>
      <c r="F4" s="3268"/>
      <c r="G4" s="3268"/>
    </row>
    <row r="5" spans="1:25" s="1942" customFormat="1" ht="18" customHeight="1" thickBot="1">
      <c r="A5" s="423"/>
      <c r="B5" s="424">
        <f ca="1">ROUND(B2/('数据-汇总表'!D3/666.67),0)</f>
        <v>0</v>
      </c>
      <c r="C5" s="425" t="s">
        <v>463</v>
      </c>
      <c r="D5" s="3268"/>
      <c r="E5" s="3268"/>
      <c r="F5" s="3268"/>
      <c r="G5" s="3268"/>
    </row>
    <row r="6" spans="1:25" s="2064" customFormat="1" ht="13.5" customHeight="1">
      <c r="A6" s="735"/>
      <c r="B6" s="736" t="s">
        <v>598</v>
      </c>
      <c r="C6" s="737" t="s">
        <v>599</v>
      </c>
      <c r="D6" s="737" t="s">
        <v>600</v>
      </c>
      <c r="E6" s="738" t="s">
        <v>601</v>
      </c>
      <c r="F6" s="738" t="s">
        <v>602</v>
      </c>
      <c r="G6" s="3267" t="s">
        <v>2991</v>
      </c>
    </row>
    <row r="7" spans="1:25" s="2064" customFormat="1" ht="13.5" customHeight="1">
      <c r="A7" s="2323">
        <v>1</v>
      </c>
      <c r="B7" s="739" t="s">
        <v>603</v>
      </c>
      <c r="C7" s="740">
        <f>C8+C9</f>
        <v>0</v>
      </c>
      <c r="D7" s="740"/>
      <c r="E7" s="741"/>
      <c r="F7" s="741"/>
      <c r="G7" s="2332"/>
    </row>
    <row r="8" spans="1:25" s="2064" customFormat="1" ht="13.5" customHeight="1">
      <c r="A8" s="2323" t="s">
        <v>2422</v>
      </c>
      <c r="B8" s="2326" t="s">
        <v>2424</v>
      </c>
      <c r="C8" s="3271">
        <f t="shared" ref="C8:C9" si="0">ROUND(D8*E8/10000,0)</f>
        <v>0</v>
      </c>
      <c r="D8" s="3271">
        <v>0</v>
      </c>
      <c r="E8" s="3272">
        <v>0</v>
      </c>
      <c r="F8" s="741"/>
      <c r="G8" s="742"/>
    </row>
    <row r="9" spans="1:25" s="2064" customFormat="1" ht="13.5" customHeight="1">
      <c r="A9" s="2323" t="s">
        <v>2423</v>
      </c>
      <c r="B9" s="2326" t="s">
        <v>2425</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2422</v>
      </c>
      <c r="B11" s="743" t="s">
        <v>604</v>
      </c>
      <c r="C11" s="744">
        <f>'数据-取费表'!B29</f>
        <v>0</v>
      </c>
      <c r="D11" s="745"/>
      <c r="E11" s="744"/>
      <c r="F11" s="746"/>
      <c r="G11" s="2331" t="s">
        <v>2433</v>
      </c>
    </row>
    <row r="12" spans="1:25" s="2064" customFormat="1" ht="13.5" customHeight="1">
      <c r="A12" s="2329" t="s">
        <v>2430</v>
      </c>
      <c r="B12" s="747" t="s">
        <v>605</v>
      </c>
      <c r="C12" s="748">
        <f>ROUND(D12*E12/10000,0)</f>
        <v>2993</v>
      </c>
      <c r="D12" s="3271">
        <f>'数据-汇总表'!E5</f>
        <v>136066.92000000001</v>
      </c>
      <c r="E12" s="3271">
        <f>'数据-取费表'!B27</f>
        <v>220</v>
      </c>
      <c r="F12" s="746"/>
      <c r="G12" s="749"/>
    </row>
    <row r="13" spans="1:25" s="2064" customFormat="1" ht="13.5" customHeight="1">
      <c r="A13" s="2329" t="s">
        <v>2429</v>
      </c>
      <c r="B13" s="747" t="s">
        <v>606</v>
      </c>
      <c r="C13" s="748">
        <f>ROUND(D13*E13/10000,0)</f>
        <v>0</v>
      </c>
      <c r="D13" s="3271">
        <f>'数据-汇总表'!E6</f>
        <v>0</v>
      </c>
      <c r="E13" s="3271">
        <f>'数据-取费表'!B28</f>
        <v>220</v>
      </c>
      <c r="F13" s="746"/>
      <c r="G13" s="749"/>
    </row>
    <row r="14" spans="1:25" s="2064" customFormat="1" ht="13.5" customHeight="1">
      <c r="A14" s="2323" t="s">
        <v>2423</v>
      </c>
      <c r="B14" s="2328" t="s">
        <v>2426</v>
      </c>
      <c r="C14" s="3273">
        <f t="shared" ref="C14:C15" si="1">ROUND(D14*E14/10000,0)</f>
        <v>0</v>
      </c>
      <c r="D14" s="3271">
        <v>0</v>
      </c>
      <c r="E14" s="3272">
        <v>0</v>
      </c>
      <c r="F14" s="2327"/>
      <c r="G14" s="2330" t="s">
        <v>2431</v>
      </c>
    </row>
    <row r="15" spans="1:25" s="2064" customFormat="1" ht="13.5" customHeight="1">
      <c r="A15" s="2323" t="s">
        <v>2428</v>
      </c>
      <c r="B15" s="2328" t="s">
        <v>2427</v>
      </c>
      <c r="C15" s="3273">
        <f t="shared" si="1"/>
        <v>0</v>
      </c>
      <c r="D15" s="3271">
        <v>0</v>
      </c>
      <c r="E15" s="3272">
        <v>0</v>
      </c>
      <c r="F15" s="2327"/>
      <c r="G15" s="2330" t="s">
        <v>2432</v>
      </c>
    </row>
    <row r="16" spans="1:25" s="2065" customFormat="1" ht="48">
      <c r="A16" s="2323">
        <v>3</v>
      </c>
      <c r="B16" s="739" t="s">
        <v>609</v>
      </c>
      <c r="C16" s="3273">
        <f t="shared" ref="C16" si="2">ROUND(D16*E16/10000,0)</f>
        <v>0</v>
      </c>
      <c r="D16" s="3271">
        <v>0</v>
      </c>
      <c r="E16" s="3272">
        <v>0</v>
      </c>
      <c r="F16" s="751"/>
      <c r="G16" s="749" t="s">
        <v>2434</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1">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1">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0.95399999999999996</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D15" sqref="D15"/>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7" t="s">
        <v>713</v>
      </c>
      <c r="C1" s="2468" t="s">
        <v>714</v>
      </c>
      <c r="D1" s="2469" t="s">
        <v>913</v>
      </c>
      <c r="E1" s="2009"/>
      <c r="F1" s="2524" t="s">
        <v>3161</v>
      </c>
      <c r="G1" s="1531" t="s">
        <v>715</v>
      </c>
      <c r="H1" s="500"/>
      <c r="I1" s="500"/>
      <c r="J1" s="500"/>
      <c r="K1" s="501"/>
      <c r="L1" s="3210"/>
      <c r="M1" s="3211"/>
      <c r="N1" s="3211"/>
      <c r="O1" s="3211"/>
      <c r="P1" s="1499"/>
      <c r="Q1" s="1499"/>
      <c r="R1" s="1499"/>
      <c r="S1" s="1499"/>
      <c r="T1" s="1499"/>
      <c r="U1" s="1499"/>
      <c r="V1" s="1499"/>
      <c r="W1" s="1499"/>
      <c r="X1" s="1499"/>
      <c r="Y1" s="1499"/>
      <c r="Z1" s="1499"/>
      <c r="AA1" s="1499"/>
      <c r="AB1" s="1499"/>
      <c r="AC1" s="1500"/>
    </row>
    <row r="2" spans="1:29" s="1314" customFormat="1" ht="28.5" customHeight="1">
      <c r="A2" s="417" t="s">
        <v>461</v>
      </c>
      <c r="B2" s="2466">
        <f>ROUND(B3*D3/10000,0)</f>
        <v>129604</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9525</v>
      </c>
      <c r="C3" s="841" t="s">
        <v>716</v>
      </c>
      <c r="D3" s="840">
        <f>SUMIF('数据-汇总表'!$C19:$C33,D1,'数据-汇总表'!$E19:$E33)</f>
        <v>136066.92000000001</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549" t="s">
        <v>516</v>
      </c>
      <c r="D4" s="3550"/>
      <c r="E4" s="3574" t="s">
        <v>517</v>
      </c>
      <c r="F4" s="3575"/>
      <c r="G4" s="3549" t="s">
        <v>518</v>
      </c>
      <c r="H4" s="3550"/>
      <c r="I4" s="3549" t="s">
        <v>519</v>
      </c>
      <c r="J4" s="3550"/>
      <c r="K4" s="842" t="s">
        <v>520</v>
      </c>
      <c r="L4" s="2015"/>
      <c r="M4" s="2016"/>
      <c r="N4" s="2016"/>
      <c r="O4" s="2016"/>
      <c r="P4" s="3551" t="s">
        <v>521</v>
      </c>
      <c r="Q4" s="3552"/>
      <c r="R4" s="3537" t="s">
        <v>517</v>
      </c>
      <c r="S4" s="3538"/>
      <c r="T4" s="3537" t="s">
        <v>518</v>
      </c>
      <c r="U4" s="3538"/>
      <c r="V4" s="3557" t="s">
        <v>519</v>
      </c>
      <c r="W4" s="3557"/>
      <c r="X4" s="1501"/>
      <c r="Y4" s="3537" t="s">
        <v>521</v>
      </c>
      <c r="Z4" s="3538"/>
      <c r="AA4" s="3532" t="s">
        <v>517</v>
      </c>
      <c r="AB4" s="3532" t="s">
        <v>518</v>
      </c>
      <c r="AC4" s="3532" t="s">
        <v>519</v>
      </c>
    </row>
    <row r="5" spans="1:29" ht="15">
      <c r="A5" s="509"/>
      <c r="B5" s="510"/>
      <c r="C5" s="3560" t="s">
        <v>2891</v>
      </c>
      <c r="D5" s="3561"/>
      <c r="E5" s="3647" t="s">
        <v>3140</v>
      </c>
      <c r="F5" s="3577"/>
      <c r="G5" s="3648" t="s">
        <v>3141</v>
      </c>
      <c r="H5" s="3561"/>
      <c r="I5" s="3648" t="s">
        <v>3142</v>
      </c>
      <c r="J5" s="3561"/>
      <c r="K5" s="843"/>
      <c r="L5" s="2015"/>
      <c r="M5" s="2016"/>
      <c r="N5" s="2016"/>
      <c r="O5" s="2016"/>
      <c r="P5" s="3553"/>
      <c r="Q5" s="3554"/>
      <c r="R5" s="3539"/>
      <c r="S5" s="3540"/>
      <c r="T5" s="3539"/>
      <c r="U5" s="3540"/>
      <c r="V5" s="3557"/>
      <c r="W5" s="3557"/>
      <c r="X5" s="1501"/>
      <c r="Y5" s="3539"/>
      <c r="Z5" s="3540"/>
      <c r="AA5" s="3533"/>
      <c r="AB5" s="3533"/>
      <c r="AC5" s="3533"/>
    </row>
    <row r="6" spans="1:29" ht="15.75" thickBot="1">
      <c r="A6" s="511"/>
      <c r="B6" s="512"/>
      <c r="C6" s="3558" t="s">
        <v>2895</v>
      </c>
      <c r="D6" s="3559"/>
      <c r="E6" s="3578" t="s">
        <v>2895</v>
      </c>
      <c r="F6" s="3579"/>
      <c r="G6" s="3558" t="s">
        <v>2895</v>
      </c>
      <c r="H6" s="3559"/>
      <c r="I6" s="3558" t="s">
        <v>2895</v>
      </c>
      <c r="J6" s="3559"/>
      <c r="K6" s="843" t="s">
        <v>522</v>
      </c>
      <c r="L6" s="2015"/>
      <c r="M6" s="2016"/>
      <c r="N6" s="2016"/>
      <c r="O6" s="2016"/>
      <c r="P6" s="3555"/>
      <c r="Q6" s="3556"/>
      <c r="R6" s="3539"/>
      <c r="S6" s="3540"/>
      <c r="T6" s="3541"/>
      <c r="U6" s="3542"/>
      <c r="V6" s="3557"/>
      <c r="W6" s="3557"/>
      <c r="X6" s="1501"/>
      <c r="Y6" s="3541"/>
      <c r="Z6" s="3542"/>
      <c r="AA6" s="3534"/>
      <c r="AB6" s="3534"/>
      <c r="AC6" s="3534"/>
    </row>
    <row r="7" spans="1:29" s="1202" customFormat="1" ht="15.75" thickBot="1">
      <c r="A7" s="2629"/>
      <c r="B7" s="2636" t="s">
        <v>523</v>
      </c>
      <c r="C7" s="513">
        <f>'数据-取费表'!B2</f>
        <v>44258</v>
      </c>
      <c r="D7" s="514">
        <v>100</v>
      </c>
      <c r="E7" s="515">
        <v>44256</v>
      </c>
      <c r="F7" s="516">
        <f>SUMIF(58:58,YEAR(E7)&amp;"-"&amp;MONTH(E7),59:59)</f>
        <v>100</v>
      </c>
      <c r="G7" s="517">
        <v>44256</v>
      </c>
      <c r="H7" s="514">
        <f>SUMIF(58:58,YEAR(G7)&amp;"-"&amp;MONTH(G7),59:59)</f>
        <v>100</v>
      </c>
      <c r="I7" s="517">
        <v>44256</v>
      </c>
      <c r="J7" s="514">
        <f>SUMIF(58:58,YEAR(I7)&amp;"-"&amp;MONTH(I7),59:59)</f>
        <v>100</v>
      </c>
      <c r="K7" s="844"/>
      <c r="L7" s="2017"/>
      <c r="M7" s="2018"/>
      <c r="N7" s="2018"/>
      <c r="O7" s="2018"/>
      <c r="P7" s="3535" t="s">
        <v>524</v>
      </c>
      <c r="Q7" s="3544"/>
      <c r="R7" s="1502" t="s">
        <v>13</v>
      </c>
      <c r="S7" s="1503">
        <f t="shared" ref="S7:S15" si="0">F7</f>
        <v>100</v>
      </c>
      <c r="T7" s="1502" t="s">
        <v>13</v>
      </c>
      <c r="U7" s="1503">
        <f t="shared" ref="U7:U15" si="1">H7</f>
        <v>100</v>
      </c>
      <c r="V7" s="1502" t="s">
        <v>13</v>
      </c>
      <c r="W7" s="1503">
        <f t="shared" ref="W7:W15" si="2">J7</f>
        <v>100</v>
      </c>
      <c r="X7" s="1504"/>
      <c r="Y7" s="3535" t="s">
        <v>524</v>
      </c>
      <c r="Z7" s="3536"/>
      <c r="AA7" s="1505">
        <f>D7/F7</f>
        <v>1</v>
      </c>
      <c r="AB7" s="1505">
        <f>D7/H7</f>
        <v>1</v>
      </c>
      <c r="AC7" s="1505">
        <f>D7/J7</f>
        <v>1</v>
      </c>
    </row>
    <row r="8" spans="1:29" s="1202" customFormat="1" ht="15.75" thickBot="1">
      <c r="A8" s="2630"/>
      <c r="B8" s="2637" t="s">
        <v>525</v>
      </c>
      <c r="C8" s="519" t="s">
        <v>570</v>
      </c>
      <c r="D8" s="514">
        <v>100</v>
      </c>
      <c r="E8" s="3329" t="s">
        <v>3143</v>
      </c>
      <c r="F8" s="516">
        <f>SUMIF(61:61,E8,62:62)-SUMIF(61:61,C8,62:62)+100</f>
        <v>100</v>
      </c>
      <c r="G8" s="3317" t="s">
        <v>3143</v>
      </c>
      <c r="H8" s="514">
        <f>SUMIF(61:61,G8,62:62)-SUMIF(61:61,C8,62:62)+100</f>
        <v>100</v>
      </c>
      <c r="I8" s="3329" t="s">
        <v>3143</v>
      </c>
      <c r="J8" s="514">
        <f>SUMIF(61:61,I8,62:62)-SUMIF(61:61,C8,62:62)+100</f>
        <v>100</v>
      </c>
      <c r="K8" s="844"/>
      <c r="L8" s="2017"/>
      <c r="M8" s="2018"/>
      <c r="N8" s="2018"/>
      <c r="O8" s="2018"/>
      <c r="P8" s="3535" t="s">
        <v>527</v>
      </c>
      <c r="Q8" s="3536"/>
      <c r="R8" s="1502" t="s">
        <v>13</v>
      </c>
      <c r="S8" s="1503">
        <f t="shared" si="0"/>
        <v>100</v>
      </c>
      <c r="T8" s="1502" t="s">
        <v>13</v>
      </c>
      <c r="U8" s="1503">
        <f t="shared" si="1"/>
        <v>100</v>
      </c>
      <c r="V8" s="1502" t="s">
        <v>13</v>
      </c>
      <c r="W8" s="1503">
        <f t="shared" si="2"/>
        <v>100</v>
      </c>
      <c r="X8" s="1504"/>
      <c r="Y8" s="3535" t="s">
        <v>527</v>
      </c>
      <c r="Z8" s="3536"/>
      <c r="AA8" s="1505">
        <f t="shared" ref="AA8:AA46" si="3">D8/F8</f>
        <v>1</v>
      </c>
      <c r="AB8" s="1505">
        <f t="shared" ref="AB8:AB46" si="4">D8/H8</f>
        <v>1</v>
      </c>
      <c r="AC8" s="1505">
        <f t="shared" ref="AC8:AC46" si="5">D8/J8</f>
        <v>1</v>
      </c>
    </row>
    <row r="9" spans="1:29" s="1202" customFormat="1" ht="15">
      <c r="A9" s="2631"/>
      <c r="B9" s="2638" t="s">
        <v>2735</v>
      </c>
      <c r="C9" s="3330" t="s">
        <v>3144</v>
      </c>
      <c r="D9" s="252">
        <v>100</v>
      </c>
      <c r="E9" s="3331" t="s">
        <v>3144</v>
      </c>
      <c r="F9" s="848">
        <f>SUMIF(63:63,E9,64:64)-SUMIF(63:63,C9,64:64)+100</f>
        <v>100</v>
      </c>
      <c r="G9" s="3332" t="s">
        <v>3144</v>
      </c>
      <c r="H9" s="252">
        <f>SUMIF(63:63,G9,64:64)-SUMIF(63:63,C9,64:64)+100</f>
        <v>100</v>
      </c>
      <c r="I9" s="3332" t="s">
        <v>3144</v>
      </c>
      <c r="J9" s="252">
        <f>SUMIF(63:63,I9,64:64)-SUMIF(63:63,C9,64:64)+100</f>
        <v>100</v>
      </c>
      <c r="K9" s="844"/>
      <c r="L9" s="2017"/>
      <c r="M9" s="2018"/>
      <c r="N9" s="2018"/>
      <c r="O9" s="2019"/>
      <c r="P9" s="3543" t="s">
        <v>529</v>
      </c>
      <c r="Q9" s="1133" t="str">
        <f t="shared" ref="Q9:Q15" si="6">B9</f>
        <v>用途</v>
      </c>
      <c r="R9" s="1502" t="s">
        <v>8</v>
      </c>
      <c r="S9" s="1503">
        <f t="shared" si="0"/>
        <v>100</v>
      </c>
      <c r="T9" s="1502" t="s">
        <v>8</v>
      </c>
      <c r="U9" s="1503">
        <f t="shared" si="1"/>
        <v>100</v>
      </c>
      <c r="V9" s="1502" t="s">
        <v>8</v>
      </c>
      <c r="W9" s="1503">
        <f t="shared" si="2"/>
        <v>100</v>
      </c>
      <c r="X9" s="1504"/>
      <c r="Y9" s="3494" t="s">
        <v>530</v>
      </c>
      <c r="Z9" s="1132" t="str">
        <f t="shared" ref="Z9:Z15" si="7">Q9</f>
        <v>用途</v>
      </c>
      <c r="AA9" s="1505">
        <f t="shared" si="3"/>
        <v>1</v>
      </c>
      <c r="AB9" s="1505">
        <f t="shared" si="4"/>
        <v>1</v>
      </c>
      <c r="AC9" s="1505">
        <f t="shared" si="5"/>
        <v>1</v>
      </c>
    </row>
    <row r="10" spans="1:29" s="1291" customFormat="1" ht="27">
      <c r="A10" s="2632"/>
      <c r="B10" s="2637" t="s">
        <v>2736</v>
      </c>
      <c r="C10" s="850" t="s">
        <v>3145</v>
      </c>
      <c r="D10" s="253">
        <v>100</v>
      </c>
      <c r="E10" s="851" t="s">
        <v>3145</v>
      </c>
      <c r="F10" s="852">
        <f>SUMIF(65:65,E10,66:66)-SUMIF(65:65,C10,66:66)+100</f>
        <v>100</v>
      </c>
      <c r="G10" s="850" t="s">
        <v>3145</v>
      </c>
      <c r="H10" s="253">
        <f>SUMIF(65:65,G10,66:66)-SUMIF(65:65,C10,66:66)+100</f>
        <v>100</v>
      </c>
      <c r="I10" s="850" t="s">
        <v>3145</v>
      </c>
      <c r="J10" s="253">
        <f>SUMIF(65:65,I10,66:66)-SUMIF(65:65,C10,66:66)+100</f>
        <v>100</v>
      </c>
      <c r="K10" s="853"/>
      <c r="L10" s="2020"/>
      <c r="M10" s="2059"/>
      <c r="N10" s="2059"/>
      <c r="O10" s="2021"/>
      <c r="P10" s="3543"/>
      <c r="Q10" s="1133" t="str">
        <f t="shared" si="6"/>
        <v>土地使用年限（年）</v>
      </c>
      <c r="R10" s="1502" t="s">
        <v>8</v>
      </c>
      <c r="S10" s="1503">
        <f t="shared" si="0"/>
        <v>100</v>
      </c>
      <c r="T10" s="1502" t="s">
        <v>8</v>
      </c>
      <c r="U10" s="1503">
        <f t="shared" si="1"/>
        <v>100</v>
      </c>
      <c r="V10" s="1502" t="s">
        <v>8</v>
      </c>
      <c r="W10" s="1503">
        <f t="shared" si="2"/>
        <v>100</v>
      </c>
      <c r="X10" s="1504"/>
      <c r="Y10" s="3494"/>
      <c r="Z10" s="1132" t="str">
        <f t="shared" si="7"/>
        <v>土地使用年限（年）</v>
      </c>
      <c r="AA10" s="1505">
        <f t="shared" si="3"/>
        <v>1</v>
      </c>
      <c r="AB10" s="1505">
        <f t="shared" si="4"/>
        <v>1</v>
      </c>
      <c r="AC10" s="1505">
        <f t="shared" si="5"/>
        <v>1</v>
      </c>
    </row>
    <row r="11" spans="1:29" ht="15">
      <c r="A11" s="2633"/>
      <c r="B11" s="2637" t="s">
        <v>2737</v>
      </c>
      <c r="C11" s="527">
        <v>2.5</v>
      </c>
      <c r="D11" s="253">
        <v>100</v>
      </c>
      <c r="E11" s="528">
        <v>2.5</v>
      </c>
      <c r="F11" s="852">
        <f>LOOKUP(E11,68:68,69:69)-LOOKUP(C11,68:68,69:69)+100</f>
        <v>100</v>
      </c>
      <c r="G11" s="527">
        <v>2</v>
      </c>
      <c r="H11" s="253">
        <f>LOOKUP(G11,68:68,69:69)-LOOKUP(C11,68:68,69:69)+100</f>
        <v>101</v>
      </c>
      <c r="I11" s="527">
        <v>1.6</v>
      </c>
      <c r="J11" s="253">
        <f>LOOKUP(I11,68:68,69:69)-LOOKUP(C11,68:68,69:69)+100</f>
        <v>102</v>
      </c>
      <c r="K11" s="853">
        <v>1</v>
      </c>
      <c r="L11" s="2022"/>
      <c r="M11" s="2016"/>
      <c r="N11" s="2016"/>
      <c r="O11" s="2023"/>
      <c r="P11" s="3543"/>
      <c r="Q11" s="1133" t="str">
        <f t="shared" si="6"/>
        <v>容积率</v>
      </c>
      <c r="R11" s="1502" t="s">
        <v>11</v>
      </c>
      <c r="S11" s="1503">
        <f t="shared" si="0"/>
        <v>100</v>
      </c>
      <c r="T11" s="1502" t="s">
        <v>11</v>
      </c>
      <c r="U11" s="1503">
        <f t="shared" si="1"/>
        <v>101</v>
      </c>
      <c r="V11" s="1502" t="s">
        <v>11</v>
      </c>
      <c r="W11" s="1503">
        <f t="shared" si="2"/>
        <v>102</v>
      </c>
      <c r="X11" s="1504"/>
      <c r="Y11" s="3494"/>
      <c r="Z11" s="1132" t="str">
        <f t="shared" si="7"/>
        <v>容积率</v>
      </c>
      <c r="AA11" s="1505">
        <f t="shared" si="3"/>
        <v>1</v>
      </c>
      <c r="AB11" s="1505">
        <f t="shared" si="4"/>
        <v>0.99009900990099009</v>
      </c>
      <c r="AC11" s="1505">
        <f t="shared" si="5"/>
        <v>0.98039215686274506</v>
      </c>
    </row>
    <row r="12" spans="1:29" s="1202"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43"/>
      <c r="Q12" s="1133">
        <f t="shared" si="6"/>
        <v>111</v>
      </c>
      <c r="R12" s="1502" t="s">
        <v>11</v>
      </c>
      <c r="S12" s="1503">
        <f t="shared" si="0"/>
        <v>100</v>
      </c>
      <c r="T12" s="1502" t="s">
        <v>11</v>
      </c>
      <c r="U12" s="1503">
        <f t="shared" si="1"/>
        <v>100</v>
      </c>
      <c r="V12" s="1502" t="s">
        <v>11</v>
      </c>
      <c r="W12" s="1503">
        <f t="shared" si="2"/>
        <v>100</v>
      </c>
      <c r="X12" s="1504"/>
      <c r="Y12" s="3494"/>
      <c r="Z12" s="1132">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43"/>
      <c r="Q13" s="1133">
        <f t="shared" si="6"/>
        <v>111</v>
      </c>
      <c r="R13" s="1502" t="s">
        <v>11</v>
      </c>
      <c r="S13" s="1503">
        <f t="shared" si="0"/>
        <v>100</v>
      </c>
      <c r="T13" s="1502" t="s">
        <v>11</v>
      </c>
      <c r="U13" s="1503">
        <f t="shared" si="1"/>
        <v>100</v>
      </c>
      <c r="V13" s="1502" t="s">
        <v>11</v>
      </c>
      <c r="W13" s="1503">
        <f t="shared" si="2"/>
        <v>100</v>
      </c>
      <c r="X13" s="1504"/>
      <c r="Y13" s="3494"/>
      <c r="Z13" s="1132">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43"/>
      <c r="Q14" s="1133">
        <f t="shared" si="6"/>
        <v>111</v>
      </c>
      <c r="R14" s="1502" t="s">
        <v>11</v>
      </c>
      <c r="S14" s="1503">
        <f t="shared" si="0"/>
        <v>100</v>
      </c>
      <c r="T14" s="1502" t="s">
        <v>11</v>
      </c>
      <c r="U14" s="1503">
        <f t="shared" si="1"/>
        <v>100</v>
      </c>
      <c r="V14" s="1502" t="s">
        <v>11</v>
      </c>
      <c r="W14" s="1503">
        <f t="shared" si="2"/>
        <v>100</v>
      </c>
      <c r="X14" s="1504"/>
      <c r="Y14" s="3494"/>
      <c r="Z14" s="1132">
        <f t="shared" si="7"/>
        <v>111</v>
      </c>
      <c r="AA14" s="1505">
        <f t="shared" si="3"/>
        <v>1</v>
      </c>
      <c r="AB14" s="1505">
        <f t="shared" si="4"/>
        <v>1</v>
      </c>
      <c r="AC14" s="1505">
        <f t="shared" si="5"/>
        <v>1</v>
      </c>
    </row>
    <row r="15" spans="1:29" ht="99.75">
      <c r="A15" s="2627" t="s">
        <v>2733</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45" t="s">
        <v>534</v>
      </c>
      <c r="Q15" s="1506" t="str">
        <f t="shared" si="6"/>
        <v>居住社区成熟度</v>
      </c>
      <c r="R15" s="1507" t="s">
        <v>11</v>
      </c>
      <c r="S15" s="1508">
        <f t="shared" si="0"/>
        <v>100</v>
      </c>
      <c r="T15" s="1507" t="s">
        <v>11</v>
      </c>
      <c r="U15" s="1508">
        <f t="shared" si="1"/>
        <v>100</v>
      </c>
      <c r="V15" s="1507" t="s">
        <v>11</v>
      </c>
      <c r="W15" s="1508">
        <f t="shared" si="2"/>
        <v>100</v>
      </c>
      <c r="X15" s="1501"/>
      <c r="Y15" s="3545" t="s">
        <v>534</v>
      </c>
      <c r="Z15" s="1509" t="str">
        <f t="shared" si="7"/>
        <v>居住社区成熟度</v>
      </c>
      <c r="AA15" s="1510">
        <f t="shared" si="3"/>
        <v>1</v>
      </c>
      <c r="AB15" s="1510">
        <f t="shared" si="4"/>
        <v>1</v>
      </c>
      <c r="AC15" s="1510">
        <f t="shared" si="5"/>
        <v>1</v>
      </c>
    </row>
    <row r="16" spans="1:29" ht="15">
      <c r="A16" s="526"/>
      <c r="B16" s="858"/>
      <c r="C16" s="3324" t="s">
        <v>3146</v>
      </c>
      <c r="D16" s="549"/>
      <c r="E16" s="3320" t="s">
        <v>3146</v>
      </c>
      <c r="F16" s="551"/>
      <c r="G16" s="3319" t="s">
        <v>3146</v>
      </c>
      <c r="H16" s="553"/>
      <c r="I16" s="3320" t="s">
        <v>3146</v>
      </c>
      <c r="J16" s="549"/>
      <c r="K16" s="859"/>
      <c r="L16" s="2024"/>
      <c r="M16" s="2016"/>
      <c r="N16" s="2016"/>
      <c r="O16" s="2023"/>
      <c r="P16" s="3546"/>
      <c r="Q16" s="1506"/>
      <c r="R16" s="1507"/>
      <c r="S16" s="1508"/>
      <c r="T16" s="1507"/>
      <c r="U16" s="1508"/>
      <c r="V16" s="1507"/>
      <c r="W16" s="1508"/>
      <c r="X16" s="1501"/>
      <c r="Y16" s="3546"/>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46"/>
      <c r="Q17" s="1506" t="str">
        <f>B17</f>
        <v>交通便捷度</v>
      </c>
      <c r="R17" s="1507" t="s">
        <v>11</v>
      </c>
      <c r="S17" s="1508">
        <f>F17</f>
        <v>100</v>
      </c>
      <c r="T17" s="1507" t="s">
        <v>11</v>
      </c>
      <c r="U17" s="1508">
        <f>H17</f>
        <v>100</v>
      </c>
      <c r="V17" s="1507" t="s">
        <v>11</v>
      </c>
      <c r="W17" s="1508">
        <f>J17</f>
        <v>100</v>
      </c>
      <c r="X17" s="1501"/>
      <c r="Y17" s="3546"/>
      <c r="Z17" s="1509" t="str">
        <f>Q17</f>
        <v>交通便捷度</v>
      </c>
      <c r="AA17" s="1510">
        <f t="shared" si="3"/>
        <v>1</v>
      </c>
      <c r="AB17" s="1510">
        <f t="shared" si="4"/>
        <v>1</v>
      </c>
      <c r="AC17" s="1510">
        <f t="shared" si="5"/>
        <v>1</v>
      </c>
    </row>
    <row r="18" spans="1:29" ht="15">
      <c r="A18" s="526"/>
      <c r="B18" s="589"/>
      <c r="C18" s="3333" t="s">
        <v>3146</v>
      </c>
      <c r="D18" s="553"/>
      <c r="E18" s="3323" t="s">
        <v>3146</v>
      </c>
      <c r="F18" s="557"/>
      <c r="G18" s="3322" t="s">
        <v>3146</v>
      </c>
      <c r="H18" s="549"/>
      <c r="I18" s="3323" t="s">
        <v>3146</v>
      </c>
      <c r="J18" s="549"/>
      <c r="K18" s="859"/>
      <c r="L18" s="2024"/>
      <c r="M18" s="2016"/>
      <c r="N18" s="2016"/>
      <c r="O18" s="2023"/>
      <c r="P18" s="3546"/>
      <c r="Q18" s="1506"/>
      <c r="R18" s="1507"/>
      <c r="S18" s="1508"/>
      <c r="T18" s="1507"/>
      <c r="U18" s="1508"/>
      <c r="V18" s="1507"/>
      <c r="W18" s="1508"/>
      <c r="X18" s="1501"/>
      <c r="Y18" s="3546"/>
      <c r="Z18" s="1509"/>
      <c r="AA18" s="1510">
        <v>1</v>
      </c>
      <c r="AB18" s="1510">
        <v>1</v>
      </c>
      <c r="AC18" s="1510">
        <v>1</v>
      </c>
    </row>
    <row r="19" spans="1:29" ht="42.75">
      <c r="A19" s="526"/>
      <c r="B19" s="2444" t="s">
        <v>2526</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46"/>
      <c r="Q19" s="1506" t="str">
        <f>B19</f>
        <v>公共配套设施</v>
      </c>
      <c r="R19" s="1507" t="s">
        <v>11</v>
      </c>
      <c r="S19" s="1508">
        <f>F19</f>
        <v>100</v>
      </c>
      <c r="T19" s="1507" t="s">
        <v>11</v>
      </c>
      <c r="U19" s="1508">
        <f>H19</f>
        <v>100</v>
      </c>
      <c r="V19" s="1507" t="s">
        <v>11</v>
      </c>
      <c r="W19" s="1508">
        <f>J19</f>
        <v>100</v>
      </c>
      <c r="X19" s="1501"/>
      <c r="Y19" s="3546"/>
      <c r="Z19" s="1509" t="str">
        <f>Q19</f>
        <v>公共配套设施</v>
      </c>
      <c r="AA19" s="1510">
        <f t="shared" si="3"/>
        <v>1</v>
      </c>
      <c r="AB19" s="1510">
        <f t="shared" si="4"/>
        <v>1</v>
      </c>
      <c r="AC19" s="1510">
        <f t="shared" si="5"/>
        <v>1</v>
      </c>
    </row>
    <row r="20" spans="1:29" ht="15">
      <c r="A20" s="526"/>
      <c r="B20" s="589"/>
      <c r="C20" s="3324" t="s">
        <v>3146</v>
      </c>
      <c r="D20" s="549"/>
      <c r="E20" s="3320" t="s">
        <v>3146</v>
      </c>
      <c r="F20" s="551"/>
      <c r="G20" s="3319" t="s">
        <v>3146</v>
      </c>
      <c r="H20" s="549"/>
      <c r="I20" s="3320" t="s">
        <v>3146</v>
      </c>
      <c r="J20" s="549"/>
      <c r="K20" s="859"/>
      <c r="L20" s="2024"/>
      <c r="M20" s="2016"/>
      <c r="N20" s="2016"/>
      <c r="O20" s="2023"/>
      <c r="P20" s="3546"/>
      <c r="Q20" s="1506"/>
      <c r="R20" s="1507"/>
      <c r="S20" s="1508"/>
      <c r="T20" s="1507"/>
      <c r="U20" s="1508"/>
      <c r="V20" s="1507"/>
      <c r="W20" s="1508"/>
      <c r="X20" s="1501"/>
      <c r="Y20" s="3546"/>
      <c r="Z20" s="1509"/>
      <c r="AA20" s="1510">
        <v>1</v>
      </c>
      <c r="AB20" s="1510">
        <v>1</v>
      </c>
      <c r="AC20" s="1510">
        <v>1</v>
      </c>
    </row>
    <row r="21" spans="1:29" ht="28.5">
      <c r="A21" s="526"/>
      <c r="B21" s="2437" t="s">
        <v>2538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46"/>
      <c r="Q21" s="2429" t="str">
        <f>B21</f>
        <v>基础设施水平</v>
      </c>
      <c r="R21" s="1507" t="s">
        <v>11</v>
      </c>
      <c r="S21" s="1508">
        <f>F21</f>
        <v>100</v>
      </c>
      <c r="T21" s="1507" t="s">
        <v>11</v>
      </c>
      <c r="U21" s="1508">
        <f>H21</f>
        <v>100</v>
      </c>
      <c r="V21" s="1507" t="s">
        <v>11</v>
      </c>
      <c r="W21" s="1508">
        <f>J21</f>
        <v>100</v>
      </c>
      <c r="X21" s="2431"/>
      <c r="Y21" s="3546"/>
      <c r="Z21" s="2430" t="str">
        <f>Q21</f>
        <v>基础设施水平</v>
      </c>
      <c r="AA21" s="1510">
        <f t="shared" ref="AA21" si="8">D21/F21</f>
        <v>1</v>
      </c>
      <c r="AB21" s="1510">
        <f t="shared" ref="AB21" si="9">D21/H21</f>
        <v>1</v>
      </c>
      <c r="AC21" s="1510">
        <f t="shared" ref="AC21" si="10">D21/J21</f>
        <v>1</v>
      </c>
    </row>
    <row r="22" spans="1:29" ht="15">
      <c r="A22" s="526"/>
      <c r="B22" s="910"/>
      <c r="C22" s="3333" t="s">
        <v>3147</v>
      </c>
      <c r="D22" s="549"/>
      <c r="E22" s="3324" t="s">
        <v>3147</v>
      </c>
      <c r="F22" s="551"/>
      <c r="G22" s="3324" t="s">
        <v>3147</v>
      </c>
      <c r="H22" s="549"/>
      <c r="I22" s="3324" t="s">
        <v>3147</v>
      </c>
      <c r="J22" s="549"/>
      <c r="K22" s="2443"/>
      <c r="L22" s="2024"/>
      <c r="M22" s="2016"/>
      <c r="N22" s="2016"/>
      <c r="O22" s="2023"/>
      <c r="P22" s="3546"/>
      <c r="Q22" s="2429"/>
      <c r="R22" s="1507"/>
      <c r="S22" s="1508"/>
      <c r="T22" s="1507"/>
      <c r="U22" s="1508"/>
      <c r="V22" s="1507"/>
      <c r="W22" s="1508"/>
      <c r="X22" s="2431"/>
      <c r="Y22" s="3546"/>
      <c r="Z22" s="2430"/>
      <c r="AA22" s="1510">
        <v>1</v>
      </c>
      <c r="AB22" s="1510">
        <v>1</v>
      </c>
      <c r="AC22" s="1510">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46"/>
      <c r="Q23" s="1506" t="str">
        <f>B23</f>
        <v>自然及人文环境</v>
      </c>
      <c r="R23" s="1507" t="s">
        <v>11</v>
      </c>
      <c r="S23" s="1508">
        <f>F23</f>
        <v>100</v>
      </c>
      <c r="T23" s="1507" t="s">
        <v>11</v>
      </c>
      <c r="U23" s="1508">
        <f>H23</f>
        <v>100</v>
      </c>
      <c r="V23" s="1507" t="s">
        <v>11</v>
      </c>
      <c r="W23" s="1508">
        <f>J23</f>
        <v>100</v>
      </c>
      <c r="X23" s="1501"/>
      <c r="Y23" s="3546"/>
      <c r="Z23" s="1509" t="str">
        <f>Q23</f>
        <v>自然及人文环境</v>
      </c>
      <c r="AA23" s="1510">
        <f t="shared" si="3"/>
        <v>1</v>
      </c>
      <c r="AB23" s="1510">
        <f t="shared" si="4"/>
        <v>1</v>
      </c>
      <c r="AC23" s="1510">
        <f t="shared" si="5"/>
        <v>1</v>
      </c>
    </row>
    <row r="24" spans="1:29" ht="15">
      <c r="A24" s="526"/>
      <c r="B24" s="589"/>
      <c r="C24" s="3324" t="s">
        <v>3146</v>
      </c>
      <c r="D24" s="549"/>
      <c r="E24" s="3320" t="s">
        <v>3146</v>
      </c>
      <c r="F24" s="551"/>
      <c r="G24" s="3319" t="s">
        <v>3146</v>
      </c>
      <c r="H24" s="549"/>
      <c r="I24" s="3320" t="s">
        <v>3146</v>
      </c>
      <c r="J24" s="549"/>
      <c r="K24" s="859"/>
      <c r="L24" s="2024"/>
      <c r="M24" s="2016"/>
      <c r="N24" s="2016"/>
      <c r="O24" s="2023"/>
      <c r="P24" s="3546"/>
      <c r="Q24" s="1506"/>
      <c r="R24" s="1507"/>
      <c r="S24" s="1508"/>
      <c r="T24" s="1507"/>
      <c r="U24" s="1508"/>
      <c r="V24" s="1507"/>
      <c r="W24" s="1508"/>
      <c r="X24" s="1501"/>
      <c r="Y24" s="3546"/>
      <c r="Z24" s="1509"/>
      <c r="AA24" s="1510">
        <v>1</v>
      </c>
      <c r="AB24" s="1510">
        <v>1</v>
      </c>
      <c r="AC24" s="1510">
        <v>1</v>
      </c>
    </row>
    <row r="25" spans="1:29" ht="15">
      <c r="A25" s="526"/>
      <c r="B25" s="1809" t="s">
        <v>2244</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46"/>
      <c r="Q25" s="1506" t="str">
        <f t="shared" ref="Q25:Q46" si="11">B25</f>
        <v>楼层-1</v>
      </c>
      <c r="R25" s="1507" t="s">
        <v>11</v>
      </c>
      <c r="S25" s="1508">
        <f>F25</f>
        <v>100</v>
      </c>
      <c r="T25" s="1507" t="s">
        <v>11</v>
      </c>
      <c r="U25" s="1508">
        <f>H25</f>
        <v>100</v>
      </c>
      <c r="V25" s="1507" t="s">
        <v>11</v>
      </c>
      <c r="W25" s="1508">
        <f>J25</f>
        <v>100</v>
      </c>
      <c r="X25" s="1501"/>
      <c r="Y25" s="3546"/>
      <c r="Z25" s="1509" t="str">
        <f>Q25</f>
        <v>楼层-1</v>
      </c>
      <c r="AA25" s="1510">
        <f t="shared" si="3"/>
        <v>1</v>
      </c>
      <c r="AB25" s="1510">
        <f t="shared" si="4"/>
        <v>1</v>
      </c>
      <c r="AC25" s="1510">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46"/>
      <c r="Q26" s="1506" t="str">
        <f t="shared" si="11"/>
        <v>朝向</v>
      </c>
      <c r="R26" s="1507" t="s">
        <v>11</v>
      </c>
      <c r="S26" s="1508">
        <f>F26</f>
        <v>100</v>
      </c>
      <c r="T26" s="1507" t="s">
        <v>11</v>
      </c>
      <c r="U26" s="1508">
        <f>H26</f>
        <v>100</v>
      </c>
      <c r="V26" s="1507" t="s">
        <v>11</v>
      </c>
      <c r="W26" s="1508">
        <f>J26</f>
        <v>100</v>
      </c>
      <c r="X26" s="1501"/>
      <c r="Y26" s="3546"/>
      <c r="Z26" s="1509" t="str">
        <f>Q26</f>
        <v>朝向</v>
      </c>
      <c r="AA26" s="1510">
        <f t="shared" si="3"/>
        <v>1</v>
      </c>
      <c r="AB26" s="1510">
        <f t="shared" si="4"/>
        <v>1</v>
      </c>
      <c r="AC26" s="1510">
        <f t="shared" si="5"/>
        <v>1</v>
      </c>
    </row>
    <row r="27" spans="1:29" s="1202"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46"/>
      <c r="Q27" s="1133" t="str">
        <f t="shared" si="11"/>
        <v>道路级别</v>
      </c>
      <c r="R27" s="1502" t="s">
        <v>11</v>
      </c>
      <c r="S27" s="1503">
        <f>F27</f>
        <v>100</v>
      </c>
      <c r="T27" s="1502" t="s">
        <v>11</v>
      </c>
      <c r="U27" s="1503">
        <f>H27</f>
        <v>100</v>
      </c>
      <c r="V27" s="1502" t="s">
        <v>11</v>
      </c>
      <c r="W27" s="1503">
        <f>J27</f>
        <v>100</v>
      </c>
      <c r="X27" s="1504"/>
      <c r="Y27" s="3546"/>
      <c r="Z27" s="1132" t="str">
        <f>Q27</f>
        <v>道路级别</v>
      </c>
      <c r="AA27" s="1510">
        <f>D27/F27</f>
        <v>1</v>
      </c>
      <c r="AB27" s="1510">
        <f>D27/H27</f>
        <v>1</v>
      </c>
      <c r="AC27" s="1510">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46"/>
      <c r="Q28" s="1506">
        <f t="shared" si="11"/>
        <v>111</v>
      </c>
      <c r="R28" s="1507" t="s">
        <v>11</v>
      </c>
      <c r="S28" s="1508">
        <f t="shared" ref="S28:S46" si="12">F28</f>
        <v>100</v>
      </c>
      <c r="T28" s="1507" t="s">
        <v>11</v>
      </c>
      <c r="U28" s="1508">
        <f t="shared" ref="U28:U46" si="13">H28</f>
        <v>100</v>
      </c>
      <c r="V28" s="1507" t="s">
        <v>11</v>
      </c>
      <c r="W28" s="1508">
        <f t="shared" ref="W28:W46" si="14">J28</f>
        <v>100</v>
      </c>
      <c r="X28" s="1501"/>
      <c r="Y28" s="3546"/>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46"/>
      <c r="Q29" s="1506">
        <f t="shared" si="11"/>
        <v>111</v>
      </c>
      <c r="R29" s="1507" t="s">
        <v>11</v>
      </c>
      <c r="S29" s="1508">
        <f t="shared" si="12"/>
        <v>100</v>
      </c>
      <c r="T29" s="1507" t="s">
        <v>11</v>
      </c>
      <c r="U29" s="1508">
        <f t="shared" si="13"/>
        <v>100</v>
      </c>
      <c r="V29" s="1507" t="s">
        <v>11</v>
      </c>
      <c r="W29" s="1508">
        <f t="shared" si="14"/>
        <v>100</v>
      </c>
      <c r="X29" s="1501"/>
      <c r="Y29" s="3546"/>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46"/>
      <c r="Q30" s="1506">
        <f t="shared" si="11"/>
        <v>111</v>
      </c>
      <c r="R30" s="1507" t="s">
        <v>11</v>
      </c>
      <c r="S30" s="1508">
        <f t="shared" si="12"/>
        <v>100</v>
      </c>
      <c r="T30" s="1507" t="s">
        <v>11</v>
      </c>
      <c r="U30" s="1508">
        <f t="shared" si="13"/>
        <v>100</v>
      </c>
      <c r="V30" s="1507" t="s">
        <v>11</v>
      </c>
      <c r="W30" s="1508">
        <f t="shared" si="14"/>
        <v>100</v>
      </c>
      <c r="X30" s="1501"/>
      <c r="Y30" s="3546"/>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46"/>
      <c r="Q31" s="1506">
        <f t="shared" si="11"/>
        <v>111</v>
      </c>
      <c r="R31" s="1507" t="s">
        <v>11</v>
      </c>
      <c r="S31" s="1508">
        <f t="shared" si="12"/>
        <v>100</v>
      </c>
      <c r="T31" s="1507" t="s">
        <v>11</v>
      </c>
      <c r="U31" s="1508">
        <f t="shared" si="13"/>
        <v>100</v>
      </c>
      <c r="V31" s="1507" t="s">
        <v>11</v>
      </c>
      <c r="W31" s="1508">
        <f t="shared" si="14"/>
        <v>100</v>
      </c>
      <c r="X31" s="1501"/>
      <c r="Y31" s="3546"/>
      <c r="Z31" s="1509">
        <f t="shared" si="15"/>
        <v>111</v>
      </c>
      <c r="AA31" s="1510">
        <f t="shared" si="3"/>
        <v>1</v>
      </c>
      <c r="AB31" s="1510">
        <f t="shared" si="4"/>
        <v>1</v>
      </c>
      <c r="AC31" s="1510">
        <f t="shared" si="5"/>
        <v>1</v>
      </c>
    </row>
    <row r="32" spans="1:29" ht="15">
      <c r="A32" s="2624" t="s">
        <v>2734</v>
      </c>
      <c r="B32" s="170" t="s">
        <v>719</v>
      </c>
      <c r="C32" s="3334" t="s">
        <v>3148</v>
      </c>
      <c r="D32" s="591">
        <v>100</v>
      </c>
      <c r="E32" s="3335" t="s">
        <v>3149</v>
      </c>
      <c r="F32" s="569">
        <f>SUMIF(100:100,E32,101:101)-SUMIF(100:100,C32,101:101)+100</f>
        <v>100</v>
      </c>
      <c r="G32" s="3334" t="s">
        <v>3149</v>
      </c>
      <c r="H32" s="591">
        <f>SUMIF(100:100,G32,101:101)-SUMIF(100:100,C32,101:101)+100</f>
        <v>100</v>
      </c>
      <c r="I32" s="3335" t="s">
        <v>3148</v>
      </c>
      <c r="J32" s="534">
        <f>SUMIF(100:100,I32,101:101)-SUMIF(100:100,C32,101:101)+100</f>
        <v>100</v>
      </c>
      <c r="K32" s="853"/>
      <c r="L32" s="2024"/>
      <c r="M32" s="2016"/>
      <c r="N32" s="2016"/>
      <c r="O32" s="2023"/>
      <c r="P32" s="3547" t="s">
        <v>544</v>
      </c>
      <c r="Q32" s="1506" t="str">
        <f t="shared" si="11"/>
        <v>建筑类型</v>
      </c>
      <c r="R32" s="1507" t="s">
        <v>11</v>
      </c>
      <c r="S32" s="1508">
        <f t="shared" si="12"/>
        <v>100</v>
      </c>
      <c r="T32" s="1507" t="s">
        <v>11</v>
      </c>
      <c r="U32" s="1508">
        <f t="shared" si="13"/>
        <v>100</v>
      </c>
      <c r="V32" s="1507" t="s">
        <v>11</v>
      </c>
      <c r="W32" s="1508">
        <f t="shared" si="14"/>
        <v>100</v>
      </c>
      <c r="X32" s="1501"/>
      <c r="Y32" s="3548" t="s">
        <v>544</v>
      </c>
      <c r="Z32" s="1509" t="str">
        <f t="shared" si="15"/>
        <v>建筑类型</v>
      </c>
      <c r="AA32" s="1510">
        <f t="shared" si="3"/>
        <v>1</v>
      </c>
      <c r="AB32" s="1510">
        <f t="shared" si="4"/>
        <v>1</v>
      </c>
      <c r="AC32" s="1510">
        <f t="shared" si="5"/>
        <v>1</v>
      </c>
    </row>
    <row r="33" spans="1:29" s="1292" customFormat="1" ht="15">
      <c r="A33" s="597"/>
      <c r="B33" s="521" t="s">
        <v>720</v>
      </c>
      <c r="C33" s="868">
        <f>'数据-基础表'!I13</f>
        <v>136066.92000000001</v>
      </c>
      <c r="D33" s="253">
        <v>100</v>
      </c>
      <c r="E33" s="528">
        <v>214503</v>
      </c>
      <c r="F33" s="852">
        <f>LOOKUP(E33,103:103,104:104)-LOOKUP(C33,103:103,104:104)+100</f>
        <v>100</v>
      </c>
      <c r="G33" s="527">
        <v>1305647.18</v>
      </c>
      <c r="H33" s="253">
        <f>LOOKUP(G33,103:103,104:104)-LOOKUP(C33,103:103,104:104)+100</f>
        <v>102</v>
      </c>
      <c r="I33" s="528">
        <v>3096588</v>
      </c>
      <c r="J33" s="253">
        <f>LOOKUP(I33,103:103,104:104)-LOOKUP(C33,103:103,104:104)+100</f>
        <v>103</v>
      </c>
      <c r="K33" s="854"/>
      <c r="L33" s="2022"/>
      <c r="M33" s="2052"/>
      <c r="N33" s="2052"/>
      <c r="O33" s="2025"/>
      <c r="P33" s="3548"/>
      <c r="Q33" s="1535" t="str">
        <f t="shared" si="11"/>
        <v>项目建筑规模</v>
      </c>
      <c r="R33" s="1511" t="s">
        <v>11</v>
      </c>
      <c r="S33" s="1512">
        <f t="shared" si="12"/>
        <v>100</v>
      </c>
      <c r="T33" s="1511" t="s">
        <v>11</v>
      </c>
      <c r="U33" s="1512">
        <f t="shared" si="13"/>
        <v>102</v>
      </c>
      <c r="V33" s="1511" t="s">
        <v>11</v>
      </c>
      <c r="W33" s="1512">
        <f t="shared" si="14"/>
        <v>103</v>
      </c>
      <c r="X33" s="1513"/>
      <c r="Y33" s="3548"/>
      <c r="Z33" s="1514" t="str">
        <f t="shared" si="15"/>
        <v>项目建筑规模</v>
      </c>
      <c r="AA33" s="1510">
        <f t="shared" si="3"/>
        <v>1</v>
      </c>
      <c r="AB33" s="1510">
        <f t="shared" si="4"/>
        <v>0.98039215686274506</v>
      </c>
      <c r="AC33" s="1510">
        <f t="shared" si="5"/>
        <v>0.970873786407767</v>
      </c>
    </row>
    <row r="34" spans="1:29" ht="15">
      <c r="A34" s="588"/>
      <c r="B34" s="521" t="s">
        <v>721</v>
      </c>
      <c r="C34" s="3336" t="s">
        <v>3150</v>
      </c>
      <c r="D34" s="534">
        <v>100</v>
      </c>
      <c r="E34" s="3337" t="s">
        <v>3150</v>
      </c>
      <c r="F34" s="569">
        <f>SUMIF(105:105,E34,106:106)-SUMIF(105:105,C34,106:106)+100</f>
        <v>100</v>
      </c>
      <c r="G34" s="3336" t="s">
        <v>3150</v>
      </c>
      <c r="H34" s="534">
        <f>SUMIF(105:105,G34,106:106)-SUMIF(105:105,C34,106:106)+100</f>
        <v>100</v>
      </c>
      <c r="I34" s="3337" t="s">
        <v>3151</v>
      </c>
      <c r="J34" s="534">
        <f>SUMIF(105:105,I34,106:106)-SUMIF(105:105,C34,106:106)+100</f>
        <v>100</v>
      </c>
      <c r="K34" s="853"/>
      <c r="L34" s="2024"/>
      <c r="M34" s="2016"/>
      <c r="N34" s="2016"/>
      <c r="O34" s="2023"/>
      <c r="P34" s="3548"/>
      <c r="Q34" s="1506" t="str">
        <f t="shared" si="11"/>
        <v>建筑结构</v>
      </c>
      <c r="R34" s="1507" t="s">
        <v>11</v>
      </c>
      <c r="S34" s="1508">
        <f t="shared" si="12"/>
        <v>100</v>
      </c>
      <c r="T34" s="1507" t="s">
        <v>11</v>
      </c>
      <c r="U34" s="1508">
        <f t="shared" si="13"/>
        <v>100</v>
      </c>
      <c r="V34" s="1507" t="s">
        <v>11</v>
      </c>
      <c r="W34" s="1508">
        <f t="shared" si="14"/>
        <v>100</v>
      </c>
      <c r="X34" s="1501"/>
      <c r="Y34" s="3548"/>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48"/>
      <c r="Q35" s="1506" t="str">
        <f t="shared" si="11"/>
        <v>建筑品质</v>
      </c>
      <c r="R35" s="1507" t="s">
        <v>11</v>
      </c>
      <c r="S35" s="1508">
        <f t="shared" si="12"/>
        <v>100</v>
      </c>
      <c r="T35" s="1507" t="s">
        <v>11</v>
      </c>
      <c r="U35" s="1508">
        <f t="shared" si="13"/>
        <v>100</v>
      </c>
      <c r="V35" s="1507" t="s">
        <v>11</v>
      </c>
      <c r="W35" s="1508">
        <f t="shared" si="14"/>
        <v>100</v>
      </c>
      <c r="X35" s="1501"/>
      <c r="Y35" s="3548"/>
      <c r="Z35" s="1509" t="str">
        <f t="shared" si="15"/>
        <v>建筑品质</v>
      </c>
      <c r="AA35" s="1510">
        <f t="shared" si="3"/>
        <v>1</v>
      </c>
      <c r="AB35" s="1510">
        <f t="shared" si="4"/>
        <v>1</v>
      </c>
      <c r="AC35" s="1510">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48"/>
      <c r="Q36" s="1506" t="str">
        <f t="shared" si="11"/>
        <v>公共部分装修</v>
      </c>
      <c r="R36" s="1507" t="s">
        <v>11</v>
      </c>
      <c r="S36" s="1508">
        <f t="shared" si="12"/>
        <v>100</v>
      </c>
      <c r="T36" s="1507" t="s">
        <v>11</v>
      </c>
      <c r="U36" s="1508">
        <f t="shared" si="13"/>
        <v>100</v>
      </c>
      <c r="V36" s="1507" t="s">
        <v>11</v>
      </c>
      <c r="W36" s="1508">
        <f t="shared" si="14"/>
        <v>100</v>
      </c>
      <c r="X36" s="1501"/>
      <c r="Y36" s="3548"/>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2">
        <v>1</v>
      </c>
      <c r="F37" s="852">
        <f>LOOKUP(E37,112:112,113:113)-LOOKUP(C37,112:112,113:113)+100</f>
        <v>100</v>
      </c>
      <c r="G37" s="873">
        <v>1</v>
      </c>
      <c r="H37" s="253">
        <f>LOOKUP(G37,112:112,113:113)-LOOKUP(C37,112:112,113:113)+100</f>
        <v>100</v>
      </c>
      <c r="I37" s="872">
        <v>1</v>
      </c>
      <c r="J37" s="253">
        <f>LOOKUP(I37,112:112,113:113)-LOOKUP(C37,112:112,113:113)+100</f>
        <v>100</v>
      </c>
      <c r="K37" s="853"/>
      <c r="L37" s="2017"/>
      <c r="M37" s="2018"/>
      <c r="N37" s="2018"/>
      <c r="O37" s="2019"/>
      <c r="P37" s="3548"/>
      <c r="Q37" s="1133" t="str">
        <f t="shared" si="11"/>
        <v>成新度</v>
      </c>
      <c r="R37" s="1502" t="s">
        <v>11</v>
      </c>
      <c r="S37" s="1503">
        <f t="shared" si="12"/>
        <v>100</v>
      </c>
      <c r="T37" s="1502" t="s">
        <v>11</v>
      </c>
      <c r="U37" s="1503">
        <f t="shared" si="13"/>
        <v>100</v>
      </c>
      <c r="V37" s="1502" t="s">
        <v>11</v>
      </c>
      <c r="W37" s="1503">
        <f t="shared" si="14"/>
        <v>100</v>
      </c>
      <c r="X37" s="1504"/>
      <c r="Y37" s="3548"/>
      <c r="Z37" s="1132" t="str">
        <f t="shared" si="15"/>
        <v>成新度</v>
      </c>
      <c r="AA37" s="1505">
        <f t="shared" si="3"/>
        <v>1</v>
      </c>
      <c r="AB37" s="1505">
        <f t="shared" si="4"/>
        <v>1</v>
      </c>
      <c r="AC37" s="1505">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48" t="s">
        <v>544</v>
      </c>
      <c r="Q38" s="1506" t="str">
        <f t="shared" si="11"/>
        <v>物业管理</v>
      </c>
      <c r="R38" s="1507" t="s">
        <v>11</v>
      </c>
      <c r="S38" s="1508">
        <f t="shared" si="12"/>
        <v>100</v>
      </c>
      <c r="T38" s="1507" t="s">
        <v>11</v>
      </c>
      <c r="U38" s="1508">
        <f t="shared" si="13"/>
        <v>100</v>
      </c>
      <c r="V38" s="1507" t="s">
        <v>11</v>
      </c>
      <c r="W38" s="1508">
        <f t="shared" si="14"/>
        <v>100</v>
      </c>
      <c r="X38" s="1501"/>
      <c r="Y38" s="3548" t="s">
        <v>544</v>
      </c>
      <c r="Z38" s="1509" t="str">
        <f t="shared" si="15"/>
        <v>物业管理</v>
      </c>
      <c r="AA38" s="1510">
        <f t="shared" si="3"/>
        <v>1</v>
      </c>
      <c r="AB38" s="1510">
        <f t="shared" si="4"/>
        <v>1</v>
      </c>
      <c r="AC38" s="1510">
        <f t="shared" si="5"/>
        <v>1</v>
      </c>
    </row>
    <row r="39" spans="1:29" ht="15">
      <c r="A39" s="588"/>
      <c r="B39" s="1809" t="s">
        <v>2544</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48"/>
      <c r="Q39" s="1506" t="str">
        <f t="shared" si="11"/>
        <v>市政基础设施</v>
      </c>
      <c r="R39" s="1507" t="s">
        <v>11</v>
      </c>
      <c r="S39" s="1508">
        <f t="shared" si="12"/>
        <v>100</v>
      </c>
      <c r="T39" s="1507" t="s">
        <v>11</v>
      </c>
      <c r="U39" s="1508">
        <f t="shared" si="13"/>
        <v>100</v>
      </c>
      <c r="V39" s="1507" t="s">
        <v>11</v>
      </c>
      <c r="W39" s="1508">
        <f t="shared" si="14"/>
        <v>100</v>
      </c>
      <c r="X39" s="1501"/>
      <c r="Y39" s="3548"/>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48"/>
      <c r="Q40" s="1506" t="str">
        <f t="shared" si="11"/>
        <v>房型</v>
      </c>
      <c r="R40" s="1507" t="s">
        <v>11</v>
      </c>
      <c r="S40" s="1508">
        <f t="shared" si="12"/>
        <v>100</v>
      </c>
      <c r="T40" s="1507" t="s">
        <v>11</v>
      </c>
      <c r="U40" s="1508">
        <f t="shared" si="13"/>
        <v>100</v>
      </c>
      <c r="V40" s="1507" t="s">
        <v>11</v>
      </c>
      <c r="W40" s="1508">
        <f t="shared" si="14"/>
        <v>100</v>
      </c>
      <c r="X40" s="1501"/>
      <c r="Y40" s="3548"/>
      <c r="Z40" s="1509" t="str">
        <f t="shared" si="15"/>
        <v>房型</v>
      </c>
      <c r="AA40" s="1510">
        <f t="shared" si="3"/>
        <v>1</v>
      </c>
      <c r="AB40" s="1510">
        <f t="shared" si="4"/>
        <v>1</v>
      </c>
      <c r="AC40" s="1510">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48"/>
      <c r="Q41" s="1535" t="str">
        <f t="shared" si="11"/>
        <v>单套/主力户型建筑面积</v>
      </c>
      <c r="R41" s="1511" t="s">
        <v>11</v>
      </c>
      <c r="S41" s="1512">
        <f t="shared" si="12"/>
        <v>100</v>
      </c>
      <c r="T41" s="1511" t="s">
        <v>11</v>
      </c>
      <c r="U41" s="1512">
        <f t="shared" si="13"/>
        <v>100</v>
      </c>
      <c r="V41" s="1511" t="s">
        <v>11</v>
      </c>
      <c r="W41" s="1512">
        <f t="shared" si="14"/>
        <v>100</v>
      </c>
      <c r="X41" s="1513"/>
      <c r="Y41" s="3548"/>
      <c r="Z41" s="1514" t="str">
        <f t="shared" si="15"/>
        <v>单套/主力户型建筑面积</v>
      </c>
      <c r="AA41" s="1510">
        <f t="shared" si="3"/>
        <v>1</v>
      </c>
      <c r="AB41" s="1510">
        <f t="shared" si="4"/>
        <v>1</v>
      </c>
      <c r="AC41" s="1510">
        <f t="shared" si="5"/>
        <v>1</v>
      </c>
    </row>
    <row r="42" spans="1:29" ht="15">
      <c r="A42" s="588"/>
      <c r="B42" s="521" t="s">
        <v>728</v>
      </c>
      <c r="C42" s="3327" t="s">
        <v>3152</v>
      </c>
      <c r="D42" s="534">
        <v>100</v>
      </c>
      <c r="E42" s="3338" t="s">
        <v>3153</v>
      </c>
      <c r="F42" s="569">
        <f>SUMIF(122:122,E42,123:123)-SUMIF(122:122,C42,123:123)+100</f>
        <v>91</v>
      </c>
      <c r="G42" s="3327" t="s">
        <v>3153</v>
      </c>
      <c r="H42" s="534">
        <f>SUMIF(122:122,G42,123:123)-SUMIF(122:122,C42,123:123)+100</f>
        <v>91</v>
      </c>
      <c r="I42" s="3338" t="s">
        <v>3152</v>
      </c>
      <c r="J42" s="534">
        <f>SUMIF(122:122,I42,123:123)-SUMIF(122:122,C42,123:123)+100</f>
        <v>100</v>
      </c>
      <c r="K42" s="853">
        <v>3</v>
      </c>
      <c r="L42" s="2024"/>
      <c r="M42" s="2016"/>
      <c r="N42" s="2016"/>
      <c r="O42" s="2023"/>
      <c r="P42" s="3548"/>
      <c r="Q42" s="1506" t="str">
        <f t="shared" si="11"/>
        <v>内部装修</v>
      </c>
      <c r="R42" s="1507" t="s">
        <v>11</v>
      </c>
      <c r="S42" s="1508">
        <f t="shared" si="12"/>
        <v>91</v>
      </c>
      <c r="T42" s="1507" t="s">
        <v>11</v>
      </c>
      <c r="U42" s="1508">
        <f t="shared" si="13"/>
        <v>91</v>
      </c>
      <c r="V42" s="1507" t="s">
        <v>11</v>
      </c>
      <c r="W42" s="1508">
        <f t="shared" si="14"/>
        <v>100</v>
      </c>
      <c r="X42" s="1501"/>
      <c r="Y42" s="3548"/>
      <c r="Z42" s="1509" t="str">
        <f t="shared" si="15"/>
        <v>内部装修</v>
      </c>
      <c r="AA42" s="1510">
        <f t="shared" si="3"/>
        <v>1.098901098901099</v>
      </c>
      <c r="AB42" s="1510">
        <f t="shared" si="4"/>
        <v>1.098901098901099</v>
      </c>
      <c r="AC42" s="1510">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48"/>
      <c r="Q43" s="1506" t="str">
        <f t="shared" si="11"/>
        <v>内部装修维护情况</v>
      </c>
      <c r="R43" s="1507" t="s">
        <v>11</v>
      </c>
      <c r="S43" s="1508">
        <f t="shared" si="12"/>
        <v>100</v>
      </c>
      <c r="T43" s="1507" t="s">
        <v>11</v>
      </c>
      <c r="U43" s="1508">
        <f t="shared" si="13"/>
        <v>100</v>
      </c>
      <c r="V43" s="1507" t="s">
        <v>11</v>
      </c>
      <c r="W43" s="1508">
        <f t="shared" si="14"/>
        <v>100</v>
      </c>
      <c r="X43" s="1501"/>
      <c r="Y43" s="3548"/>
      <c r="Z43" s="1509" t="str">
        <f t="shared" si="15"/>
        <v>内部装修维护情况</v>
      </c>
      <c r="AA43" s="1510">
        <f t="shared" si="3"/>
        <v>1</v>
      </c>
      <c r="AB43" s="1510">
        <f t="shared" si="4"/>
        <v>1</v>
      </c>
      <c r="AC43" s="1510">
        <f t="shared" si="5"/>
        <v>1</v>
      </c>
    </row>
    <row r="44" spans="1:29" s="1202" customFormat="1" ht="15">
      <c r="A44" s="594"/>
      <c r="B44" s="3339" t="s">
        <v>3154</v>
      </c>
      <c r="C44" s="3340" t="s">
        <v>3155</v>
      </c>
      <c r="D44" s="253">
        <v>100</v>
      </c>
      <c r="E44" s="3340" t="s">
        <v>3155</v>
      </c>
      <c r="F44" s="852">
        <f>SUMIF(126:126,E44,127:127)-SUMIF(126:126,C44,127:127)+100</f>
        <v>100</v>
      </c>
      <c r="G44" s="3340" t="s">
        <v>3156</v>
      </c>
      <c r="H44" s="253">
        <f>SUMIF(126:126,G44,127:127)-SUMIF(126:126,C44,127:127)+100</f>
        <v>120</v>
      </c>
      <c r="I44" s="3340" t="s">
        <v>3155</v>
      </c>
      <c r="J44" s="253">
        <f>SUMIF(126:126,I44,127:127)-SUMIF(126:126,C44,127:127)+100</f>
        <v>100</v>
      </c>
      <c r="K44" s="854"/>
      <c r="L44" s="2017"/>
      <c r="M44" s="2018"/>
      <c r="N44" s="2018"/>
      <c r="O44" s="2019"/>
      <c r="P44" s="3548"/>
      <c r="Q44" s="1133" t="str">
        <f t="shared" si="11"/>
        <v>赠送面积</v>
      </c>
      <c r="R44" s="1502" t="s">
        <v>11</v>
      </c>
      <c r="S44" s="1503">
        <f t="shared" si="12"/>
        <v>100</v>
      </c>
      <c r="T44" s="1502" t="s">
        <v>11</v>
      </c>
      <c r="U44" s="1503">
        <f t="shared" si="13"/>
        <v>120</v>
      </c>
      <c r="V44" s="1502" t="s">
        <v>11</v>
      </c>
      <c r="W44" s="1503">
        <f t="shared" si="14"/>
        <v>100</v>
      </c>
      <c r="X44" s="1504"/>
      <c r="Y44" s="3548"/>
      <c r="Z44" s="1132" t="str">
        <f t="shared" si="15"/>
        <v>赠送面积</v>
      </c>
      <c r="AA44" s="1505">
        <f t="shared" si="3"/>
        <v>1</v>
      </c>
      <c r="AB44" s="1505">
        <f t="shared" si="4"/>
        <v>0.83333333333333337</v>
      </c>
      <c r="AC44" s="1505">
        <f t="shared" si="5"/>
        <v>1</v>
      </c>
    </row>
    <row r="45" spans="1:29" ht="15">
      <c r="A45" s="588"/>
      <c r="B45" s="3339"/>
      <c r="C45" s="3341"/>
      <c r="D45" s="534">
        <v>100</v>
      </c>
      <c r="E45" s="3341"/>
      <c r="F45" s="569">
        <f>SUMIF(128:128,E45,129:129)-SUMIF(128:128,C45,129:129)+100</f>
        <v>100</v>
      </c>
      <c r="G45" s="3341"/>
      <c r="H45" s="534">
        <f>SUMIF(128:128,G45,129:129)-SUMIF(128:128,C45,129:129)+100</f>
        <v>100</v>
      </c>
      <c r="I45" s="3341"/>
      <c r="J45" s="534">
        <f>SUMIF(128:128,I45,129:129)-SUMIF(128:128,C45,129:129)+100</f>
        <v>100</v>
      </c>
      <c r="K45" s="854"/>
      <c r="L45" s="2024"/>
      <c r="M45" s="2016"/>
      <c r="N45" s="2016"/>
      <c r="O45" s="2023"/>
      <c r="P45" s="3548"/>
      <c r="Q45" s="1506">
        <f t="shared" si="11"/>
        <v>0</v>
      </c>
      <c r="R45" s="1507" t="s">
        <v>11</v>
      </c>
      <c r="S45" s="1508">
        <f t="shared" si="12"/>
        <v>100</v>
      </c>
      <c r="T45" s="1507" t="s">
        <v>11</v>
      </c>
      <c r="U45" s="1508">
        <f t="shared" si="13"/>
        <v>100</v>
      </c>
      <c r="V45" s="1507" t="s">
        <v>11</v>
      </c>
      <c r="W45" s="1508">
        <f t="shared" si="14"/>
        <v>100</v>
      </c>
      <c r="X45" s="1501"/>
      <c r="Y45" s="3548"/>
      <c r="Z45" s="1509">
        <f t="shared" si="15"/>
        <v>0</v>
      </c>
      <c r="AA45" s="1510">
        <f t="shared" si="3"/>
        <v>1</v>
      </c>
      <c r="AB45" s="1510">
        <f t="shared" si="4"/>
        <v>1</v>
      </c>
      <c r="AC45" s="1510">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51"/>
      <c r="Q46" s="1506">
        <f t="shared" si="11"/>
        <v>111</v>
      </c>
      <c r="R46" s="1507" t="s">
        <v>10</v>
      </c>
      <c r="S46" s="1508">
        <f t="shared" si="12"/>
        <v>100</v>
      </c>
      <c r="T46" s="1507" t="s">
        <v>10</v>
      </c>
      <c r="U46" s="1508">
        <f t="shared" si="13"/>
        <v>100</v>
      </c>
      <c r="V46" s="1507" t="s">
        <v>10</v>
      </c>
      <c r="W46" s="1508">
        <f t="shared" si="14"/>
        <v>100</v>
      </c>
      <c r="X46" s="1501"/>
      <c r="Y46" s="3651"/>
      <c r="Z46" s="1509">
        <f t="shared" si="15"/>
        <v>111</v>
      </c>
      <c r="AA46" s="1510">
        <f t="shared" si="3"/>
        <v>1</v>
      </c>
      <c r="AB46" s="1510">
        <f t="shared" si="4"/>
        <v>1</v>
      </c>
      <c r="AC46" s="1510">
        <f t="shared" si="5"/>
        <v>1</v>
      </c>
    </row>
    <row r="47" spans="1:29" ht="15">
      <c r="A47" s="601" t="s">
        <v>730</v>
      </c>
      <c r="B47" s="875"/>
      <c r="C47" s="2470" t="s">
        <v>9</v>
      </c>
      <c r="D47" s="2471"/>
      <c r="E47" s="2472">
        <v>8500</v>
      </c>
      <c r="F47" s="2473"/>
      <c r="G47" s="2474">
        <v>12000</v>
      </c>
      <c r="H47" s="2475"/>
      <c r="I47" s="2472">
        <v>9000</v>
      </c>
      <c r="J47" s="2475"/>
      <c r="K47" s="1536"/>
      <c r="L47" s="2026"/>
      <c r="M47" s="2027"/>
      <c r="N47" s="2016"/>
      <c r="O47" s="2027"/>
      <c r="P47" s="3543" t="str">
        <f>A47</f>
        <v>成交单价（元/平方米）</v>
      </c>
      <c r="Q47" s="3543"/>
      <c r="R47" s="3650">
        <f>E47</f>
        <v>8500</v>
      </c>
      <c r="S47" s="3650"/>
      <c r="T47" s="3650">
        <f>G47</f>
        <v>12000</v>
      </c>
      <c r="U47" s="3650"/>
      <c r="V47" s="3650">
        <f>I47</f>
        <v>9000</v>
      </c>
      <c r="W47" s="3650"/>
      <c r="X47" s="1496"/>
      <c r="Y47" s="1515"/>
      <c r="Z47" s="1496"/>
      <c r="AA47" s="1496"/>
      <c r="AB47" s="1496"/>
      <c r="AC47" s="1496"/>
    </row>
    <row r="48" spans="1:29" ht="15.75" thickBot="1">
      <c r="A48" s="609" t="s">
        <v>2739</v>
      </c>
      <c r="B48" s="876"/>
      <c r="C48" s="2476">
        <f>R49</f>
        <v>9525</v>
      </c>
      <c r="D48" s="3014" t="s">
        <v>2965</v>
      </c>
      <c r="E48" s="2477">
        <f>R48</f>
        <v>9341</v>
      </c>
      <c r="F48" s="3015"/>
      <c r="G48" s="2476">
        <f>T48</f>
        <v>10667</v>
      </c>
      <c r="H48" s="3015"/>
      <c r="I48" s="2477">
        <f>V48</f>
        <v>8567</v>
      </c>
      <c r="J48" s="3015"/>
      <c r="K48" s="3023">
        <f>F48+H48+J48</f>
        <v>0</v>
      </c>
      <c r="L48" s="2026"/>
      <c r="M48" s="2027"/>
      <c r="N48" s="2027"/>
      <c r="O48" s="2027"/>
      <c r="P48" s="3543" t="str">
        <f>A48</f>
        <v>比较价格（元/平方米）</v>
      </c>
      <c r="Q48" s="3543"/>
      <c r="R48" s="3650">
        <f>IF(F1="售价",ROUND(PRODUCT(R47,AA7:AA46),0),ROUND(PRODUCT(R47,AA7:AA46),1))</f>
        <v>9341</v>
      </c>
      <c r="S48" s="3650"/>
      <c r="T48" s="3650">
        <f>IF(F1="售价",ROUND(PRODUCT(T47,AB7:AB46),0),ROUND(PRODUCT(T47,AB7:AB46),1))</f>
        <v>10667</v>
      </c>
      <c r="U48" s="3650"/>
      <c r="V48" s="3650">
        <f>IF(F1="售价",ROUND(PRODUCT(V47,AC7:AC46),0),ROUND(PRODUCT(V47,AC7:AC46),1))</f>
        <v>8567</v>
      </c>
      <c r="W48" s="3650"/>
      <c r="X48" s="1496"/>
      <c r="Y48" s="1496"/>
      <c r="Z48" s="1496"/>
      <c r="AA48" s="1496"/>
      <c r="AB48" s="1496"/>
      <c r="AC48" s="1496"/>
    </row>
    <row r="49" spans="1:29" ht="15.75" thickBot="1">
      <c r="A49" s="613" t="s">
        <v>2897</v>
      </c>
      <c r="B49" s="614"/>
      <c r="C49" s="2478">
        <f>R49</f>
        <v>9525</v>
      </c>
      <c r="D49" s="2478"/>
      <c r="E49" s="2478"/>
      <c r="F49" s="2478"/>
      <c r="G49" s="2478"/>
      <c r="H49" s="2478"/>
      <c r="I49" s="2478"/>
      <c r="J49" s="2478"/>
      <c r="K49" s="1537"/>
      <c r="L49" s="2026"/>
      <c r="M49" s="2027"/>
      <c r="N49" s="2027"/>
      <c r="O49" s="2027"/>
      <c r="P49" s="3564" t="str">
        <f>A49</f>
        <v>估价对象XX用房的比较价格（楼面单价，元/平方米）</v>
      </c>
      <c r="Q49" s="3565"/>
      <c r="R49" s="3649">
        <f>IF(F1="售价",ROUND(IF(D48="简单平均",AVERAGE(R48:V48),R48*F48+T48*H48+V48*J48),0),ROUND(IF(D48="简单平均",AVERAGE(R48:V48),R48*F48+T48*H48+V48*J48),1))</f>
        <v>9525</v>
      </c>
      <c r="S49" s="3649"/>
      <c r="T49" s="3649"/>
      <c r="U49" s="3649"/>
      <c r="V49" s="3649"/>
      <c r="W49" s="3649"/>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f>IF(E47&lt;E48,E48/E47-1,E47/E48-1)</f>
        <v>9.894117647058831E-2</v>
      </c>
      <c r="F52" s="619" t="str">
        <f>IF(OR(E52&gt;=0.3,E52&lt;=-0.3),"超过30%","")</f>
        <v/>
      </c>
      <c r="G52" s="618">
        <f>IF(G47&lt;G48,G48/G47-1,G47/G48-1)</f>
        <v>0.12496484484859849</v>
      </c>
      <c r="H52" s="619" t="str">
        <f>IF(OR(G52&gt;=0.3,G52&lt;=-0.3),"超过30%","")</f>
        <v/>
      </c>
      <c r="I52" s="618">
        <f>IF(I47&lt;I48,I48/I47-1,I47/I48-1)</f>
        <v>5.0542780436558798E-2</v>
      </c>
      <c r="J52" s="619" t="str">
        <f>IF(OR(I52&gt;=0.3,I52&lt;=-0.3),"超过30%","")</f>
        <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f>IF(E48&lt;G48,G48/E48-1,E48/G48-1)</f>
        <v>0.14195482282410876</v>
      </c>
      <c r="F53" s="619" t="str">
        <f>IF(OR(E53&gt;=0.2,E53&lt;=-0.2),"超过20%","")</f>
        <v/>
      </c>
      <c r="G53" s="618">
        <f>IF(G48&lt;I48,I48/G48-1,G48/I48-1)</f>
        <v>0.24512664876853041</v>
      </c>
      <c r="H53" s="619" t="str">
        <f>IF(OR(G53&gt;=0.2,G53&lt;=-0.2),"超过20%","")</f>
        <v>超过20%</v>
      </c>
      <c r="I53" s="618">
        <f>IF(I48&lt;E48,E48/I48-1,I48/E48-1)</f>
        <v>9.0346679117544015E-2</v>
      </c>
      <c r="J53" s="619" t="str">
        <f>IF(OR(I53&gt;=0.2,I53&lt;=-0.2),"超过20%","")</f>
        <v/>
      </c>
      <c r="K53" s="3217"/>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5"/>
      <c r="B54" s="3215"/>
      <c r="C54" s="616" t="s">
        <v>553</v>
      </c>
      <c r="D54" s="620"/>
      <c r="E54" s="618">
        <f>IF(E47&lt;G47,G47/E47-1,E47/G47-1)</f>
        <v>0.41176470588235303</v>
      </c>
      <c r="F54" s="619" t="str">
        <f>IF(OR(E54&gt;=0.3,E54&lt;=-0.3),"超过30%","")</f>
        <v>超过30%</v>
      </c>
      <c r="G54" s="618">
        <f>IF(G47&lt;I47,I47/G47-1,G47/I47-1)</f>
        <v>0.33333333333333326</v>
      </c>
      <c r="H54" s="619" t="str">
        <f>IF(OR(G54&gt;=0.3,G54&lt;=-0.3),"超过30%","")</f>
        <v>超过30%</v>
      </c>
      <c r="I54" s="618">
        <f>IF(I47&lt;E47,E47/I47-1,I47/E47-1)</f>
        <v>5.8823529411764719E-2</v>
      </c>
      <c r="J54" s="619" t="str">
        <f>IF(OR(I54&gt;=0.3,I54&lt;=-0.3),"超过30%","")</f>
        <v/>
      </c>
      <c r="K54" s="3218"/>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21"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2（含）-2.5</v>
      </c>
      <c r="H67" s="674" t="str">
        <f t="shared" si="18"/>
        <v>2.5（含）-3</v>
      </c>
      <c r="I67" s="674" t="str">
        <f t="shared" si="18"/>
        <v>3（含）-3.5</v>
      </c>
      <c r="J67" s="674" t="str">
        <f t="shared" si="18"/>
        <v>3.5（含）-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0.5</v>
      </c>
      <c r="E68" s="535">
        <v>1</v>
      </c>
      <c r="F68" s="535">
        <v>1.5</v>
      </c>
      <c r="G68" s="535">
        <v>2</v>
      </c>
      <c r="H68" s="535">
        <v>2.5</v>
      </c>
      <c r="I68" s="535">
        <v>3</v>
      </c>
      <c r="J68" s="535">
        <v>3.5</v>
      </c>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99</v>
      </c>
      <c r="E69" s="671">
        <f t="shared" si="19"/>
        <v>98</v>
      </c>
      <c r="F69" s="671">
        <f t="shared" si="19"/>
        <v>97</v>
      </c>
      <c r="G69" s="671">
        <f t="shared" si="19"/>
        <v>96</v>
      </c>
      <c r="H69" s="671">
        <f t="shared" si="19"/>
        <v>95</v>
      </c>
      <c r="I69" s="671">
        <f t="shared" si="19"/>
        <v>94</v>
      </c>
      <c r="J69" s="671">
        <f t="shared" si="19"/>
        <v>93</v>
      </c>
      <c r="K69" s="671">
        <f t="shared" si="19"/>
        <v>92</v>
      </c>
      <c r="L69" s="671">
        <f t="shared" si="19"/>
        <v>91</v>
      </c>
      <c r="M69" s="672">
        <f t="shared" si="19"/>
        <v>90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2537</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2538</v>
      </c>
      <c r="C82" s="2442" t="s">
        <v>2539</v>
      </c>
      <c r="D82" s="2442" t="s">
        <v>2540</v>
      </c>
      <c r="E82" s="2442" t="s">
        <v>2541</v>
      </c>
      <c r="F82" s="2442" t="s">
        <v>2542</v>
      </c>
      <c r="G82" s="2442" t="s">
        <v>2543</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740</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742</v>
      </c>
      <c r="C102" s="700" t="str">
        <f>C103&amp;"(含)"&amp;"-"&amp;D103</f>
        <v>0(含)-500000</v>
      </c>
      <c r="D102" s="700" t="str">
        <f t="shared" ref="D102:L102" si="23">D103&amp;"(含)"&amp;"-"&amp;E103</f>
        <v>500000(含)-1000000</v>
      </c>
      <c r="E102" s="700" t="str">
        <f t="shared" si="23"/>
        <v>1000000(含)-1500000</v>
      </c>
      <c r="F102" s="700" t="str">
        <f t="shared" si="23"/>
        <v>1500000(含)-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v>0</v>
      </c>
      <c r="D103" s="722">
        <v>500000</v>
      </c>
      <c r="E103" s="722">
        <v>1000000</v>
      </c>
      <c r="F103" s="722">
        <v>1500000</v>
      </c>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v>100</v>
      </c>
      <c r="D104" s="663">
        <v>101</v>
      </c>
      <c r="E104" s="663">
        <v>102</v>
      </c>
      <c r="F104" s="663">
        <v>103</v>
      </c>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2536</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727</v>
      </c>
      <c r="C120" s="680"/>
      <c r="D120" s="680"/>
      <c r="E120" s="680"/>
      <c r="F120" s="680"/>
      <c r="G120" s="680"/>
      <c r="H120" s="680"/>
      <c r="I120" s="680"/>
      <c r="J120" s="680"/>
      <c r="K120" s="680"/>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3342" t="s">
        <v>3152</v>
      </c>
      <c r="D122" s="3342" t="s">
        <v>3162</v>
      </c>
      <c r="E122" s="3342" t="s">
        <v>3163</v>
      </c>
      <c r="F122" s="3343" t="s">
        <v>3164</v>
      </c>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97</v>
      </c>
      <c r="E123" s="671">
        <f t="shared" si="29"/>
        <v>94</v>
      </c>
      <c r="F123" s="671">
        <f t="shared" si="29"/>
        <v>91</v>
      </c>
      <c r="G123" s="671">
        <f t="shared" si="29"/>
        <v>88</v>
      </c>
      <c r="H123" s="671">
        <f t="shared" si="29"/>
        <v>85</v>
      </c>
      <c r="I123" s="671">
        <f t="shared" si="29"/>
        <v>82</v>
      </c>
      <c r="J123" s="671">
        <f t="shared" si="29"/>
        <v>79</v>
      </c>
      <c r="K123" s="671">
        <f t="shared" si="29"/>
        <v>76</v>
      </c>
      <c r="L123" s="671">
        <f t="shared" si="29"/>
        <v>73</v>
      </c>
      <c r="M123" s="671">
        <f t="shared" si="29"/>
        <v>70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t="str">
        <f>B44</f>
        <v>赠送面积</v>
      </c>
      <c r="C126" s="3342" t="s">
        <v>3157</v>
      </c>
      <c r="D126" s="3342" t="s">
        <v>3158</v>
      </c>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v>100</v>
      </c>
      <c r="D127" s="663">
        <v>120</v>
      </c>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0</v>
      </c>
      <c r="C128" s="3342" t="s">
        <v>3159</v>
      </c>
      <c r="D128" s="3342" t="s">
        <v>3160</v>
      </c>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v>100</v>
      </c>
      <c r="D129" s="684">
        <v>115</v>
      </c>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2246</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2247</v>
      </c>
      <c r="C137" s="1833"/>
      <c r="D137" s="1833"/>
      <c r="E137" s="1833"/>
      <c r="F137" s="1833"/>
      <c r="G137" s="1834"/>
      <c r="H137" s="1835"/>
      <c r="I137" s="1836" t="s">
        <v>2248</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2249</v>
      </c>
      <c r="D138" s="1839" t="s">
        <v>2250</v>
      </c>
      <c r="E138" s="1840" t="s">
        <v>2251</v>
      </c>
      <c r="F138" s="1841" t="s">
        <v>2252</v>
      </c>
      <c r="G138" s="1839" t="s">
        <v>2253</v>
      </c>
      <c r="H138" s="1842" t="s">
        <v>2254</v>
      </c>
      <c r="I138" s="1843"/>
      <c r="J138" s="1839" t="s">
        <v>2255</v>
      </c>
      <c r="K138" s="1842" t="s">
        <v>2256</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2257</v>
      </c>
      <c r="E139" s="1813">
        <v>100</v>
      </c>
      <c r="F139" s="1814">
        <v>102.5</v>
      </c>
      <c r="G139" s="1844" t="s">
        <v>2258</v>
      </c>
      <c r="H139" s="1815">
        <v>105</v>
      </c>
      <c r="I139" s="1845" t="s">
        <v>2259</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2260</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2261</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2262</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2263</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2264</v>
      </c>
      <c r="E144" s="1819">
        <v>102</v>
      </c>
      <c r="F144" s="1825">
        <v>100</v>
      </c>
      <c r="G144" s="1848" t="s">
        <v>2264</v>
      </c>
      <c r="H144" s="1821">
        <v>105</v>
      </c>
      <c r="I144" s="1847" t="s">
        <v>2263</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2265</v>
      </c>
      <c r="C145" s="1826">
        <f>ROUND(MAX(C139:C144)/MIN(C139:C144)-1,3)</f>
        <v>7.2999999999999995E-2</v>
      </c>
      <c r="D145" s="1850"/>
      <c r="E145" s="1850"/>
      <c r="F145" s="1851" t="s">
        <v>2266</v>
      </c>
      <c r="G145" s="1852"/>
      <c r="H145" s="1853"/>
      <c r="I145" s="1854" t="s">
        <v>2263</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2274</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2275</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5"/>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49" t="s">
        <v>516</v>
      </c>
      <c r="D4" s="3550"/>
      <c r="E4" s="3574" t="s">
        <v>517</v>
      </c>
      <c r="F4" s="3575"/>
      <c r="G4" s="3549" t="s">
        <v>518</v>
      </c>
      <c r="H4" s="3550"/>
      <c r="I4" s="3549" t="s">
        <v>519</v>
      </c>
      <c r="J4" s="3550"/>
      <c r="K4" s="508" t="s">
        <v>520</v>
      </c>
      <c r="L4" s="2015"/>
      <c r="M4" s="2016"/>
      <c r="N4" s="2016"/>
      <c r="O4" s="2016"/>
      <c r="P4" s="3551" t="s">
        <v>521</v>
      </c>
      <c r="Q4" s="3552"/>
      <c r="R4" s="3537" t="s">
        <v>517</v>
      </c>
      <c r="S4" s="3538"/>
      <c r="T4" s="3537" t="s">
        <v>518</v>
      </c>
      <c r="U4" s="3538"/>
      <c r="V4" s="3557" t="s">
        <v>519</v>
      </c>
      <c r="W4" s="3557"/>
      <c r="X4" s="1501"/>
      <c r="Y4" s="3537" t="s">
        <v>521</v>
      </c>
      <c r="Z4" s="3538"/>
      <c r="AA4" s="3532" t="s">
        <v>517</v>
      </c>
      <c r="AB4" s="3557" t="s">
        <v>518</v>
      </c>
      <c r="AC4" s="3532" t="s">
        <v>519</v>
      </c>
    </row>
    <row r="5" spans="1:29" ht="15">
      <c r="A5" s="509"/>
      <c r="B5" s="510"/>
      <c r="C5" s="3560" t="s">
        <v>2891</v>
      </c>
      <c r="D5" s="3561"/>
      <c r="E5" s="3576" t="s">
        <v>2892</v>
      </c>
      <c r="F5" s="3577"/>
      <c r="G5" s="3560" t="s">
        <v>2893</v>
      </c>
      <c r="H5" s="3561"/>
      <c r="I5" s="3560" t="s">
        <v>2894</v>
      </c>
      <c r="J5" s="3561"/>
      <c r="K5" s="508"/>
      <c r="L5" s="2015"/>
      <c r="M5" s="2016"/>
      <c r="N5" s="2016"/>
      <c r="O5" s="2016"/>
      <c r="P5" s="3553"/>
      <c r="Q5" s="3554"/>
      <c r="R5" s="3539"/>
      <c r="S5" s="3540"/>
      <c r="T5" s="3539"/>
      <c r="U5" s="3540"/>
      <c r="V5" s="3557"/>
      <c r="W5" s="3557"/>
      <c r="X5" s="1501"/>
      <c r="Y5" s="3539"/>
      <c r="Z5" s="3540"/>
      <c r="AA5" s="3533"/>
      <c r="AB5" s="3557"/>
      <c r="AC5" s="3533"/>
    </row>
    <row r="6" spans="1:29" ht="15.75" thickBot="1">
      <c r="A6" s="511"/>
      <c r="B6" s="512"/>
      <c r="C6" s="3558" t="s">
        <v>2895</v>
      </c>
      <c r="D6" s="3559"/>
      <c r="E6" s="3578" t="s">
        <v>2895</v>
      </c>
      <c r="F6" s="3579"/>
      <c r="G6" s="3558" t="s">
        <v>2895</v>
      </c>
      <c r="H6" s="3559"/>
      <c r="I6" s="3558" t="s">
        <v>2895</v>
      </c>
      <c r="J6" s="3559"/>
      <c r="K6" s="508" t="s">
        <v>522</v>
      </c>
      <c r="L6" s="2015"/>
      <c r="M6" s="2016"/>
      <c r="N6" s="2016"/>
      <c r="O6" s="2016"/>
      <c r="P6" s="3555"/>
      <c r="Q6" s="3556"/>
      <c r="R6" s="3539"/>
      <c r="S6" s="3540"/>
      <c r="T6" s="3541"/>
      <c r="U6" s="3542"/>
      <c r="V6" s="3557"/>
      <c r="W6" s="3557"/>
      <c r="X6" s="1501"/>
      <c r="Y6" s="3541"/>
      <c r="Z6" s="3542"/>
      <c r="AA6" s="3534"/>
      <c r="AB6" s="3557"/>
      <c r="AC6" s="3534"/>
    </row>
    <row r="7" spans="1:29" s="1202" customFormat="1" ht="15.75" thickBot="1">
      <c r="A7" s="2629"/>
      <c r="B7" s="2636" t="s">
        <v>523</v>
      </c>
      <c r="C7" s="513">
        <f>'数据-取费表'!B2</f>
        <v>44258</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35" t="s">
        <v>524</v>
      </c>
      <c r="Q7" s="3544"/>
      <c r="R7" s="1502" t="s">
        <v>8</v>
      </c>
      <c r="S7" s="1503">
        <f t="shared" ref="S7:S15" si="0">F7</f>
        <v>0</v>
      </c>
      <c r="T7" s="1502" t="s">
        <v>8</v>
      </c>
      <c r="U7" s="1503">
        <f t="shared" ref="U7:U15" si="1">H7</f>
        <v>0</v>
      </c>
      <c r="V7" s="1502" t="s">
        <v>8</v>
      </c>
      <c r="W7" s="1503">
        <f t="shared" ref="W7:W15" si="2">J7</f>
        <v>0</v>
      </c>
      <c r="X7" s="1504"/>
      <c r="Y7" s="3535" t="s">
        <v>524</v>
      </c>
      <c r="Z7" s="3536"/>
      <c r="AA7" s="1505" t="e">
        <f>D7/F7</f>
        <v>#DIV/0!</v>
      </c>
      <c r="AB7" s="1505" t="e">
        <f>D7/H7</f>
        <v>#DIV/0!</v>
      </c>
      <c r="AC7" s="1505" t="e">
        <f>D7/J7</f>
        <v>#DIV/0!</v>
      </c>
    </row>
    <row r="8" spans="1:29" s="1202"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35" t="s">
        <v>527</v>
      </c>
      <c r="Q8" s="3536"/>
      <c r="R8" s="1502" t="s">
        <v>8</v>
      </c>
      <c r="S8" s="1503">
        <f t="shared" si="0"/>
        <v>0</v>
      </c>
      <c r="T8" s="1502" t="s">
        <v>8</v>
      </c>
      <c r="U8" s="1503">
        <f t="shared" si="1"/>
        <v>0</v>
      </c>
      <c r="V8" s="1502" t="s">
        <v>8</v>
      </c>
      <c r="W8" s="1503">
        <f t="shared" si="2"/>
        <v>0</v>
      </c>
      <c r="X8" s="1504"/>
      <c r="Y8" s="3535" t="s">
        <v>527</v>
      </c>
      <c r="Z8" s="3536"/>
      <c r="AA8" s="1505" t="e">
        <f t="shared" ref="AA8:AA46" si="3">D8/F8</f>
        <v>#DIV/0!</v>
      </c>
      <c r="AB8" s="1505" t="e">
        <f t="shared" ref="AB8:AB46" si="4">D8/H8</f>
        <v>#DIV/0!</v>
      </c>
      <c r="AC8" s="1505" t="e">
        <f t="shared" ref="AC8:AC46" si="5">D8/J8</f>
        <v>#DIV/0!</v>
      </c>
    </row>
    <row r="9" spans="1:29" s="1202" customFormat="1" ht="15">
      <c r="A9" s="2631"/>
      <c r="B9" s="2638" t="s">
        <v>2735</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43" t="s">
        <v>529</v>
      </c>
      <c r="Q9" s="1133" t="str">
        <f t="shared" ref="Q9:Q15" si="6">B9</f>
        <v>用途</v>
      </c>
      <c r="R9" s="1502" t="s">
        <v>8</v>
      </c>
      <c r="S9" s="1503">
        <f t="shared" si="0"/>
        <v>100</v>
      </c>
      <c r="T9" s="1502" t="s">
        <v>8</v>
      </c>
      <c r="U9" s="1503">
        <f t="shared" si="1"/>
        <v>100</v>
      </c>
      <c r="V9" s="1502" t="s">
        <v>8</v>
      </c>
      <c r="W9" s="1503">
        <f t="shared" si="2"/>
        <v>100</v>
      </c>
      <c r="X9" s="1504"/>
      <c r="Y9" s="3494" t="s">
        <v>530</v>
      </c>
      <c r="Z9" s="1132" t="str">
        <f t="shared" ref="Z9:Z15" si="7">Q9</f>
        <v>用途</v>
      </c>
      <c r="AA9" s="1505">
        <f t="shared" si="3"/>
        <v>1</v>
      </c>
      <c r="AB9" s="1505">
        <f t="shared" si="4"/>
        <v>1</v>
      </c>
      <c r="AC9" s="1505">
        <f t="shared" si="5"/>
        <v>1</v>
      </c>
    </row>
    <row r="10" spans="1:29" s="1291" customFormat="1" ht="27">
      <c r="A10" s="2632"/>
      <c r="B10" s="2637" t="s">
        <v>2736</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43"/>
      <c r="Q10" s="1133" t="str">
        <f t="shared" si="6"/>
        <v>土地使用年限（年）</v>
      </c>
      <c r="R10" s="1502" t="s">
        <v>8</v>
      </c>
      <c r="S10" s="1503">
        <f t="shared" si="0"/>
        <v>100</v>
      </c>
      <c r="T10" s="1502" t="s">
        <v>8</v>
      </c>
      <c r="U10" s="1503">
        <f t="shared" si="1"/>
        <v>100</v>
      </c>
      <c r="V10" s="1502" t="s">
        <v>8</v>
      </c>
      <c r="W10" s="1503">
        <f t="shared" si="2"/>
        <v>100</v>
      </c>
      <c r="X10" s="1504"/>
      <c r="Y10" s="3494"/>
      <c r="Z10" s="1132"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43"/>
      <c r="Q11" s="1133" t="str">
        <f t="shared" si="6"/>
        <v>容积率</v>
      </c>
      <c r="R11" s="1502" t="s">
        <v>8</v>
      </c>
      <c r="S11" s="1503" t="e">
        <f t="shared" si="0"/>
        <v>#N/A</v>
      </c>
      <c r="T11" s="1502" t="s">
        <v>8</v>
      </c>
      <c r="U11" s="1503" t="e">
        <f t="shared" si="1"/>
        <v>#N/A</v>
      </c>
      <c r="V11" s="1502" t="s">
        <v>8</v>
      </c>
      <c r="W11" s="1503" t="e">
        <f t="shared" si="2"/>
        <v>#N/A</v>
      </c>
      <c r="X11" s="1504"/>
      <c r="Y11" s="3494"/>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SUMIF(70:70,E12,71:71)-SUMIF(70:70,C12,71:71)+100</f>
        <v>100</v>
      </c>
      <c r="G12" s="900"/>
      <c r="H12" s="253">
        <f>SUMIF(70:70,G12,71:71)-SUMIF(70:70,C12,71:71)+100</f>
        <v>100</v>
      </c>
      <c r="I12" s="533"/>
      <c r="J12" s="253">
        <f>SUMIF(70:70,I12,71:71)-SUMIF(70:70,C12,71:71)+100</f>
        <v>100</v>
      </c>
      <c r="K12" s="575"/>
      <c r="L12" s="2017"/>
      <c r="M12" s="2018"/>
      <c r="N12" s="2018"/>
      <c r="O12" s="2019"/>
      <c r="P12" s="3543"/>
      <c r="Q12" s="1133">
        <f t="shared" si="6"/>
        <v>111</v>
      </c>
      <c r="R12" s="1502" t="s">
        <v>8</v>
      </c>
      <c r="S12" s="1503">
        <f t="shared" si="0"/>
        <v>100</v>
      </c>
      <c r="T12" s="1502" t="s">
        <v>8</v>
      </c>
      <c r="U12" s="1503">
        <f t="shared" si="1"/>
        <v>100</v>
      </c>
      <c r="V12" s="1502" t="s">
        <v>8</v>
      </c>
      <c r="W12" s="1503">
        <f t="shared" si="2"/>
        <v>100</v>
      </c>
      <c r="X12" s="1504"/>
      <c r="Y12" s="3494"/>
      <c r="Z12" s="1132">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0"/>
      <c r="H13" s="534">
        <f>SUMIF(72:72,G13,73:73)-SUMIF(72:72,C13,73:73)+100</f>
        <v>100</v>
      </c>
      <c r="I13" s="533"/>
      <c r="J13" s="534">
        <f>SUMIF(72:72,I13,73:73)-SUMIF(72:72,C13,73:73)+100</f>
        <v>100</v>
      </c>
      <c r="K13" s="575"/>
      <c r="L13" s="2024"/>
      <c r="M13" s="2016"/>
      <c r="N13" s="2016"/>
      <c r="O13" s="2023"/>
      <c r="P13" s="3543"/>
      <c r="Q13" s="1133">
        <f t="shared" si="6"/>
        <v>111</v>
      </c>
      <c r="R13" s="1502" t="s">
        <v>8</v>
      </c>
      <c r="S13" s="1503">
        <f t="shared" si="0"/>
        <v>100</v>
      </c>
      <c r="T13" s="1502" t="s">
        <v>8</v>
      </c>
      <c r="U13" s="1503">
        <f t="shared" si="1"/>
        <v>100</v>
      </c>
      <c r="V13" s="1502" t="s">
        <v>8</v>
      </c>
      <c r="W13" s="1503">
        <f t="shared" si="2"/>
        <v>100</v>
      </c>
      <c r="X13" s="1504"/>
      <c r="Y13" s="3494"/>
      <c r="Z13" s="1132">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0"/>
      <c r="H14" s="540">
        <f>SUMIF(74:74,G14,75:75)-SUMIF(74:74,C14,75:75)+100</f>
        <v>100</v>
      </c>
      <c r="I14" s="533"/>
      <c r="J14" s="540">
        <f>SUMIF(74:74,I14,75:75)-SUMIF(74:74,C14,75:75)+100</f>
        <v>100</v>
      </c>
      <c r="K14" s="575"/>
      <c r="L14" s="2024"/>
      <c r="M14" s="2016"/>
      <c r="N14" s="2016"/>
      <c r="O14" s="2023"/>
      <c r="P14" s="3543"/>
      <c r="Q14" s="1133">
        <f t="shared" si="6"/>
        <v>111</v>
      </c>
      <c r="R14" s="1502" t="s">
        <v>8</v>
      </c>
      <c r="S14" s="1503">
        <f t="shared" si="0"/>
        <v>100</v>
      </c>
      <c r="T14" s="1502" t="s">
        <v>8</v>
      </c>
      <c r="U14" s="1503">
        <f t="shared" si="1"/>
        <v>100</v>
      </c>
      <c r="V14" s="1502" t="s">
        <v>8</v>
      </c>
      <c r="W14" s="1503">
        <f t="shared" si="2"/>
        <v>100</v>
      </c>
      <c r="X14" s="1504"/>
      <c r="Y14" s="3494"/>
      <c r="Z14" s="1132">
        <f t="shared" si="7"/>
        <v>111</v>
      </c>
      <c r="AA14" s="1505">
        <f t="shared" si="3"/>
        <v>1</v>
      </c>
      <c r="AB14" s="1505">
        <f t="shared" si="4"/>
        <v>1</v>
      </c>
      <c r="AC14" s="1505">
        <f t="shared" si="5"/>
        <v>1</v>
      </c>
    </row>
    <row r="15" spans="1:29" ht="71.25">
      <c r="A15" s="2627" t="s">
        <v>2733</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4"/>
      <c r="M15" s="2016"/>
      <c r="N15" s="2016"/>
      <c r="O15" s="2023"/>
      <c r="P15" s="3545" t="s">
        <v>534</v>
      </c>
      <c r="Q15" s="1506" t="str">
        <f t="shared" si="6"/>
        <v>商业繁华度</v>
      </c>
      <c r="R15" s="1507" t="s">
        <v>8</v>
      </c>
      <c r="S15" s="1508">
        <f t="shared" si="0"/>
        <v>100</v>
      </c>
      <c r="T15" s="1507" t="s">
        <v>8</v>
      </c>
      <c r="U15" s="1508">
        <f t="shared" si="1"/>
        <v>100</v>
      </c>
      <c r="V15" s="1507" t="s">
        <v>8</v>
      </c>
      <c r="W15" s="1508">
        <f t="shared" si="2"/>
        <v>100</v>
      </c>
      <c r="X15" s="1501"/>
      <c r="Y15" s="3545"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46"/>
      <c r="Q16" s="1506"/>
      <c r="R16" s="1507"/>
      <c r="S16" s="1508"/>
      <c r="T16" s="1507"/>
      <c r="U16" s="1508"/>
      <c r="V16" s="1507"/>
      <c r="W16" s="1508"/>
      <c r="X16" s="1501"/>
      <c r="Y16" s="3546"/>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4"/>
      <c r="M17" s="2016"/>
      <c r="N17" s="2016"/>
      <c r="O17" s="2023"/>
      <c r="P17" s="3546"/>
      <c r="Q17" s="1506" t="str">
        <f>B17</f>
        <v>交通便捷度</v>
      </c>
      <c r="R17" s="1507" t="s">
        <v>8</v>
      </c>
      <c r="S17" s="1508">
        <f>F17</f>
        <v>100</v>
      </c>
      <c r="T17" s="1507" t="s">
        <v>8</v>
      </c>
      <c r="U17" s="1508">
        <f>H17</f>
        <v>100</v>
      </c>
      <c r="V17" s="1507" t="s">
        <v>8</v>
      </c>
      <c r="W17" s="1508">
        <f>J17</f>
        <v>100</v>
      </c>
      <c r="X17" s="1501"/>
      <c r="Y17" s="3546"/>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46"/>
      <c r="Q18" s="1506"/>
      <c r="R18" s="1507"/>
      <c r="S18" s="1508"/>
      <c r="T18" s="1507"/>
      <c r="U18" s="1508"/>
      <c r="V18" s="1507"/>
      <c r="W18" s="1508"/>
      <c r="X18" s="1501"/>
      <c r="Y18" s="3546"/>
      <c r="Z18" s="1509"/>
      <c r="AA18" s="1510">
        <v>1</v>
      </c>
      <c r="AB18" s="1510">
        <v>1</v>
      </c>
      <c r="AC18" s="1510">
        <v>1</v>
      </c>
    </row>
    <row r="19" spans="1:29" ht="42.75">
      <c r="A19" s="526"/>
      <c r="B19" s="2444" t="s">
        <v>2526</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6"/>
      <c r="L19" s="2024"/>
      <c r="M19" s="2016"/>
      <c r="N19" s="2016"/>
      <c r="O19" s="2023"/>
      <c r="P19" s="3546"/>
      <c r="Q19" s="1506" t="str">
        <f>B19</f>
        <v>公共配套设施</v>
      </c>
      <c r="R19" s="1507" t="s">
        <v>8</v>
      </c>
      <c r="S19" s="1508">
        <f>F19</f>
        <v>100</v>
      </c>
      <c r="T19" s="1507" t="s">
        <v>8</v>
      </c>
      <c r="U19" s="1508">
        <f>H19</f>
        <v>100</v>
      </c>
      <c r="V19" s="1507" t="s">
        <v>8</v>
      </c>
      <c r="W19" s="1508">
        <f>J19</f>
        <v>100</v>
      </c>
      <c r="X19" s="1501"/>
      <c r="Y19" s="3546"/>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4"/>
      <c r="M20" s="2016"/>
      <c r="N20" s="2016"/>
      <c r="O20" s="2023"/>
      <c r="P20" s="3546"/>
      <c r="Q20" s="1506"/>
      <c r="R20" s="1507"/>
      <c r="S20" s="1508"/>
      <c r="T20" s="1507"/>
      <c r="U20" s="1508"/>
      <c r="V20" s="1507"/>
      <c r="W20" s="1508"/>
      <c r="X20" s="1501"/>
      <c r="Y20" s="3546"/>
      <c r="Z20" s="1509"/>
      <c r="AA20" s="1510">
        <v>1</v>
      </c>
      <c r="AB20" s="1510">
        <v>1</v>
      </c>
      <c r="AC20" s="1510">
        <v>1</v>
      </c>
    </row>
    <row r="21" spans="1:29" ht="28.5">
      <c r="A21" s="526"/>
      <c r="B21" s="2437" t="s">
        <v>2538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4"/>
      <c r="M21" s="2016"/>
      <c r="N21" s="2016"/>
      <c r="O21" s="2023"/>
      <c r="P21" s="3546"/>
      <c r="Q21" s="2429" t="str">
        <f>B21</f>
        <v>基础设施水平</v>
      </c>
      <c r="R21" s="1507" t="s">
        <v>8</v>
      </c>
      <c r="S21" s="1508">
        <f>F21</f>
        <v>100</v>
      </c>
      <c r="T21" s="1507" t="s">
        <v>8</v>
      </c>
      <c r="U21" s="1508">
        <f>H21</f>
        <v>100</v>
      </c>
      <c r="V21" s="1507" t="s">
        <v>8</v>
      </c>
      <c r="W21" s="1508">
        <f>J21</f>
        <v>100</v>
      </c>
      <c r="X21" s="2431"/>
      <c r="Y21" s="3546"/>
      <c r="Z21" s="2430"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6"/>
      <c r="L22" s="2024"/>
      <c r="M22" s="2016"/>
      <c r="N22" s="2016"/>
      <c r="O22" s="2023"/>
      <c r="P22" s="3546"/>
      <c r="Q22" s="2429"/>
      <c r="R22" s="1507"/>
      <c r="S22" s="1508"/>
      <c r="T22" s="1507"/>
      <c r="U22" s="1508"/>
      <c r="V22" s="1507"/>
      <c r="W22" s="1508"/>
      <c r="X22" s="2431"/>
      <c r="Y22" s="3546"/>
      <c r="Z22" s="2430"/>
      <c r="AA22" s="1510">
        <v>1</v>
      </c>
      <c r="AB22" s="1510">
        <v>1</v>
      </c>
      <c r="AC22" s="1510">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4"/>
      <c r="M23" s="2016"/>
      <c r="N23" s="2016"/>
      <c r="O23" s="2023"/>
      <c r="P23" s="3546"/>
      <c r="Q23" s="1506" t="str">
        <f>B23</f>
        <v>自然及人文环境</v>
      </c>
      <c r="R23" s="1507" t="s">
        <v>8</v>
      </c>
      <c r="S23" s="1508">
        <f>F23</f>
        <v>100</v>
      </c>
      <c r="T23" s="1507" t="s">
        <v>8</v>
      </c>
      <c r="U23" s="1508">
        <f>H23</f>
        <v>100</v>
      </c>
      <c r="V23" s="1507" t="s">
        <v>8</v>
      </c>
      <c r="W23" s="1508">
        <f>J23</f>
        <v>100</v>
      </c>
      <c r="X23" s="1501"/>
      <c r="Y23" s="3546"/>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4"/>
      <c r="M24" s="2016"/>
      <c r="N24" s="2016"/>
      <c r="O24" s="2023"/>
      <c r="P24" s="3546"/>
      <c r="Q24" s="1506"/>
      <c r="R24" s="1507"/>
      <c r="S24" s="1508"/>
      <c r="T24" s="1507"/>
      <c r="U24" s="1508"/>
      <c r="V24" s="1507"/>
      <c r="W24" s="1508"/>
      <c r="X24" s="1501"/>
      <c r="Y24" s="3546"/>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46"/>
      <c r="Q25" s="1506" t="str">
        <f t="shared" ref="Q25:Q46" si="11">B25</f>
        <v>临街状况</v>
      </c>
      <c r="R25" s="1507" t="s">
        <v>8</v>
      </c>
      <c r="S25" s="1508">
        <f>F25</f>
        <v>100</v>
      </c>
      <c r="T25" s="1507" t="s">
        <v>8</v>
      </c>
      <c r="U25" s="1508">
        <f>H25</f>
        <v>100</v>
      </c>
      <c r="V25" s="1507" t="s">
        <v>8</v>
      </c>
      <c r="W25" s="1508">
        <f>J25</f>
        <v>100</v>
      </c>
      <c r="X25" s="1501"/>
      <c r="Y25" s="3546"/>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46"/>
      <c r="Q26" s="1506" t="str">
        <f t="shared" si="11"/>
        <v>平面位置/可视性</v>
      </c>
      <c r="R26" s="1507" t="s">
        <v>8</v>
      </c>
      <c r="S26" s="1508">
        <f>F26</f>
        <v>100</v>
      </c>
      <c r="T26" s="1507" t="s">
        <v>8</v>
      </c>
      <c r="U26" s="1508">
        <f>H26</f>
        <v>100</v>
      </c>
      <c r="V26" s="1507" t="s">
        <v>8</v>
      </c>
      <c r="W26" s="1508">
        <f>J26</f>
        <v>100</v>
      </c>
      <c r="X26" s="1501"/>
      <c r="Y26" s="3546"/>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7"/>
      <c r="M27" s="2018"/>
      <c r="N27" s="2018"/>
      <c r="O27" s="2019"/>
      <c r="P27" s="3546"/>
      <c r="Q27" s="1133" t="str">
        <f t="shared" si="11"/>
        <v>人流量</v>
      </c>
      <c r="R27" s="1502" t="s">
        <v>8</v>
      </c>
      <c r="S27" s="1503">
        <f>F27</f>
        <v>100</v>
      </c>
      <c r="T27" s="1502" t="s">
        <v>8</v>
      </c>
      <c r="U27" s="1503">
        <f>H27</f>
        <v>100</v>
      </c>
      <c r="V27" s="1502" t="s">
        <v>8</v>
      </c>
      <c r="W27" s="1503">
        <f>J27</f>
        <v>100</v>
      </c>
      <c r="X27" s="1504"/>
      <c r="Y27" s="3546"/>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46"/>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46"/>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46"/>
      <c r="Q29" s="1506">
        <f t="shared" si="11"/>
        <v>111</v>
      </c>
      <c r="R29" s="1507" t="s">
        <v>8</v>
      </c>
      <c r="S29" s="1508">
        <f t="shared" si="12"/>
        <v>100</v>
      </c>
      <c r="T29" s="1507" t="s">
        <v>8</v>
      </c>
      <c r="U29" s="1508">
        <f t="shared" si="13"/>
        <v>100</v>
      </c>
      <c r="V29" s="1507" t="s">
        <v>8</v>
      </c>
      <c r="W29" s="1508">
        <f t="shared" si="14"/>
        <v>100</v>
      </c>
      <c r="X29" s="1501"/>
      <c r="Y29" s="3546"/>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46"/>
      <c r="Q30" s="1506">
        <f t="shared" si="11"/>
        <v>111</v>
      </c>
      <c r="R30" s="1507" t="s">
        <v>8</v>
      </c>
      <c r="S30" s="1508">
        <f t="shared" si="12"/>
        <v>100</v>
      </c>
      <c r="T30" s="1507" t="s">
        <v>8</v>
      </c>
      <c r="U30" s="1508">
        <f t="shared" si="13"/>
        <v>100</v>
      </c>
      <c r="V30" s="1507" t="s">
        <v>8</v>
      </c>
      <c r="W30" s="1508">
        <f t="shared" si="14"/>
        <v>100</v>
      </c>
      <c r="X30" s="1501"/>
      <c r="Y30" s="3546"/>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46"/>
      <c r="Q31" s="1506">
        <f t="shared" si="11"/>
        <v>111</v>
      </c>
      <c r="R31" s="1507" t="s">
        <v>8</v>
      </c>
      <c r="S31" s="1508">
        <f t="shared" si="12"/>
        <v>100</v>
      </c>
      <c r="T31" s="1507" t="s">
        <v>8</v>
      </c>
      <c r="U31" s="1508">
        <f t="shared" si="13"/>
        <v>100</v>
      </c>
      <c r="V31" s="1507" t="s">
        <v>8</v>
      </c>
      <c r="W31" s="1508">
        <f t="shared" si="14"/>
        <v>100</v>
      </c>
      <c r="X31" s="1501"/>
      <c r="Y31" s="3546"/>
      <c r="Z31" s="1509">
        <f t="shared" si="15"/>
        <v>111</v>
      </c>
      <c r="AA31" s="1510">
        <f t="shared" si="3"/>
        <v>1</v>
      </c>
      <c r="AB31" s="1510">
        <f t="shared" si="4"/>
        <v>1</v>
      </c>
      <c r="AC31" s="1510">
        <f t="shared" si="5"/>
        <v>1</v>
      </c>
    </row>
    <row r="32" spans="1:29" ht="15">
      <c r="A32" s="2624" t="s">
        <v>2734</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47" t="s">
        <v>544</v>
      </c>
      <c r="Q32" s="1506" t="str">
        <f t="shared" si="11"/>
        <v>商业类型</v>
      </c>
      <c r="R32" s="1507" t="s">
        <v>8</v>
      </c>
      <c r="S32" s="1508">
        <f t="shared" si="12"/>
        <v>100</v>
      </c>
      <c r="T32" s="1507" t="s">
        <v>8</v>
      </c>
      <c r="U32" s="1508">
        <f t="shared" si="13"/>
        <v>100</v>
      </c>
      <c r="V32" s="1507" t="s">
        <v>8</v>
      </c>
      <c r="W32" s="1508">
        <f t="shared" si="14"/>
        <v>100</v>
      </c>
      <c r="X32" s="1501"/>
      <c r="Y32" s="3548"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48"/>
      <c r="Q33" s="1535" t="str">
        <f t="shared" si="11"/>
        <v>项目建筑规模</v>
      </c>
      <c r="R33" s="1511" t="s">
        <v>8</v>
      </c>
      <c r="S33" s="1512" t="e">
        <f t="shared" si="12"/>
        <v>#N/A</v>
      </c>
      <c r="T33" s="1511" t="s">
        <v>8</v>
      </c>
      <c r="U33" s="1512" t="e">
        <f t="shared" si="13"/>
        <v>#N/A</v>
      </c>
      <c r="V33" s="1511" t="s">
        <v>8</v>
      </c>
      <c r="W33" s="1512" t="e">
        <f t="shared" si="14"/>
        <v>#N/A</v>
      </c>
      <c r="X33" s="1513"/>
      <c r="Y33" s="3548"/>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4"/>
      <c r="M34" s="2016"/>
      <c r="N34" s="2016"/>
      <c r="O34" s="2023"/>
      <c r="P34" s="3548"/>
      <c r="Q34" s="1506" t="str">
        <f t="shared" si="11"/>
        <v>建筑结构</v>
      </c>
      <c r="R34" s="1507" t="s">
        <v>8</v>
      </c>
      <c r="S34" s="1508">
        <f t="shared" si="12"/>
        <v>100</v>
      </c>
      <c r="T34" s="1507" t="s">
        <v>8</v>
      </c>
      <c r="U34" s="1508">
        <f t="shared" si="13"/>
        <v>100</v>
      </c>
      <c r="V34" s="1507" t="s">
        <v>8</v>
      </c>
      <c r="W34" s="1508">
        <f t="shared" si="14"/>
        <v>100</v>
      </c>
      <c r="X34" s="1501"/>
      <c r="Y34" s="3548"/>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48"/>
      <c r="Q35" s="1506" t="str">
        <f t="shared" si="11"/>
        <v>公共部分装修</v>
      </c>
      <c r="R35" s="1507" t="s">
        <v>8</v>
      </c>
      <c r="S35" s="1508">
        <f t="shared" si="12"/>
        <v>100</v>
      </c>
      <c r="T35" s="1507" t="s">
        <v>8</v>
      </c>
      <c r="U35" s="1508">
        <f t="shared" si="13"/>
        <v>100</v>
      </c>
      <c r="V35" s="1507" t="s">
        <v>8</v>
      </c>
      <c r="W35" s="1508">
        <f t="shared" si="14"/>
        <v>100</v>
      </c>
      <c r="X35" s="1501"/>
      <c r="Y35" s="3548"/>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4"/>
      <c r="M36" s="2016"/>
      <c r="N36" s="2016"/>
      <c r="O36" s="2023"/>
      <c r="P36" s="3548"/>
      <c r="Q36" s="1506" t="str">
        <f t="shared" si="11"/>
        <v>成新度</v>
      </c>
      <c r="R36" s="1507" t="s">
        <v>8</v>
      </c>
      <c r="S36" s="1508" t="e">
        <f t="shared" si="12"/>
        <v>#N/A</v>
      </c>
      <c r="T36" s="1507" t="s">
        <v>8</v>
      </c>
      <c r="U36" s="1508" t="e">
        <f t="shared" si="13"/>
        <v>#N/A</v>
      </c>
      <c r="V36" s="1507" t="s">
        <v>8</v>
      </c>
      <c r="W36" s="1508" t="e">
        <f t="shared" si="14"/>
        <v>#N/A</v>
      </c>
      <c r="X36" s="1501"/>
      <c r="Y36" s="3548"/>
      <c r="Z36" s="1509" t="str">
        <f t="shared" si="15"/>
        <v>成新度</v>
      </c>
      <c r="AA36" s="1510" t="e">
        <f t="shared" si="3"/>
        <v>#N/A</v>
      </c>
      <c r="AB36" s="1510" t="e">
        <f t="shared" si="4"/>
        <v>#N/A</v>
      </c>
      <c r="AC36" s="1510" t="e">
        <f t="shared" si="5"/>
        <v>#N/A</v>
      </c>
    </row>
    <row r="37" spans="1:29" s="1202" customFormat="1" ht="15">
      <c r="A37" s="594"/>
      <c r="B37" s="1809" t="s">
        <v>2545</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48"/>
      <c r="Q37" s="1133" t="str">
        <f t="shared" si="11"/>
        <v>市政基础设施</v>
      </c>
      <c r="R37" s="1502" t="s">
        <v>8</v>
      </c>
      <c r="S37" s="1503">
        <f t="shared" si="12"/>
        <v>100</v>
      </c>
      <c r="T37" s="1502" t="s">
        <v>8</v>
      </c>
      <c r="U37" s="1503">
        <f t="shared" si="13"/>
        <v>100</v>
      </c>
      <c r="V37" s="1502" t="s">
        <v>8</v>
      </c>
      <c r="W37" s="1503">
        <f t="shared" si="14"/>
        <v>100</v>
      </c>
      <c r="X37" s="1504"/>
      <c r="Y37" s="3548"/>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48" t="s">
        <v>760</v>
      </c>
      <c r="Q38" s="1506" t="str">
        <f t="shared" si="11"/>
        <v>业态</v>
      </c>
      <c r="R38" s="1507" t="s">
        <v>8</v>
      </c>
      <c r="S38" s="1508">
        <f t="shared" si="12"/>
        <v>100</v>
      </c>
      <c r="T38" s="1507" t="s">
        <v>8</v>
      </c>
      <c r="U38" s="1508">
        <f t="shared" si="13"/>
        <v>100</v>
      </c>
      <c r="V38" s="1507" t="s">
        <v>8</v>
      </c>
      <c r="W38" s="1508">
        <f t="shared" si="14"/>
        <v>100</v>
      </c>
      <c r="X38" s="1501"/>
      <c r="Y38" s="3548"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48"/>
      <c r="Q39" s="1506" t="str">
        <f t="shared" si="11"/>
        <v>层高</v>
      </c>
      <c r="R39" s="1507" t="s">
        <v>8</v>
      </c>
      <c r="S39" s="1508">
        <f t="shared" si="12"/>
        <v>100</v>
      </c>
      <c r="T39" s="1507" t="s">
        <v>8</v>
      </c>
      <c r="U39" s="1508">
        <f t="shared" si="13"/>
        <v>100</v>
      </c>
      <c r="V39" s="1507" t="s">
        <v>8</v>
      </c>
      <c r="W39" s="1508">
        <f t="shared" si="14"/>
        <v>100</v>
      </c>
      <c r="X39" s="1501"/>
      <c r="Y39" s="3548"/>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4"/>
      <c r="M40" s="2016"/>
      <c r="N40" s="2016"/>
      <c r="O40" s="2023"/>
      <c r="P40" s="3548"/>
      <c r="Q40" s="1506" t="str">
        <f t="shared" si="11"/>
        <v>单套建筑面积</v>
      </c>
      <c r="R40" s="1507" t="s">
        <v>8</v>
      </c>
      <c r="S40" s="1508">
        <f t="shared" si="12"/>
        <v>100</v>
      </c>
      <c r="T40" s="1507" t="s">
        <v>8</v>
      </c>
      <c r="U40" s="1508">
        <f t="shared" si="13"/>
        <v>100</v>
      </c>
      <c r="V40" s="1507" t="s">
        <v>8</v>
      </c>
      <c r="W40" s="1508">
        <f t="shared" si="14"/>
        <v>100</v>
      </c>
      <c r="X40" s="1501"/>
      <c r="Y40" s="3548"/>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48"/>
      <c r="Q41" s="1535" t="str">
        <f t="shared" si="11"/>
        <v>进深比</v>
      </c>
      <c r="R41" s="1511" t="s">
        <v>8</v>
      </c>
      <c r="S41" s="1512">
        <f t="shared" si="12"/>
        <v>100</v>
      </c>
      <c r="T41" s="1511" t="s">
        <v>8</v>
      </c>
      <c r="U41" s="1512">
        <f t="shared" si="13"/>
        <v>100</v>
      </c>
      <c r="V41" s="1511" t="s">
        <v>8</v>
      </c>
      <c r="W41" s="1512">
        <f t="shared" si="14"/>
        <v>100</v>
      </c>
      <c r="X41" s="1513"/>
      <c r="Y41" s="3548"/>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48"/>
      <c r="Q42" s="1506" t="str">
        <f t="shared" si="11"/>
        <v>内部装修</v>
      </c>
      <c r="R42" s="1507" t="s">
        <v>8</v>
      </c>
      <c r="S42" s="1508">
        <f t="shared" si="12"/>
        <v>100</v>
      </c>
      <c r="T42" s="1507" t="s">
        <v>8</v>
      </c>
      <c r="U42" s="1508">
        <f t="shared" si="13"/>
        <v>100</v>
      </c>
      <c r="V42" s="1507" t="s">
        <v>8</v>
      </c>
      <c r="W42" s="1508">
        <f t="shared" si="14"/>
        <v>100</v>
      </c>
      <c r="X42" s="1501"/>
      <c r="Y42" s="3548"/>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48"/>
      <c r="Q43" s="1506" t="str">
        <f t="shared" si="11"/>
        <v>内部装修维护情况</v>
      </c>
      <c r="R43" s="1507" t="s">
        <v>8</v>
      </c>
      <c r="S43" s="1508">
        <f t="shared" si="12"/>
        <v>100</v>
      </c>
      <c r="T43" s="1507" t="s">
        <v>8</v>
      </c>
      <c r="U43" s="1508">
        <f t="shared" si="13"/>
        <v>100</v>
      </c>
      <c r="V43" s="1507" t="s">
        <v>8</v>
      </c>
      <c r="W43" s="1508">
        <f t="shared" si="14"/>
        <v>100</v>
      </c>
      <c r="X43" s="1501"/>
      <c r="Y43" s="3548"/>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48"/>
      <c r="Q44" s="1133">
        <f t="shared" si="11"/>
        <v>111</v>
      </c>
      <c r="R44" s="1502" t="s">
        <v>8</v>
      </c>
      <c r="S44" s="1503">
        <f t="shared" si="12"/>
        <v>100</v>
      </c>
      <c r="T44" s="1502" t="s">
        <v>8</v>
      </c>
      <c r="U44" s="1503">
        <f t="shared" si="13"/>
        <v>100</v>
      </c>
      <c r="V44" s="1502" t="s">
        <v>8</v>
      </c>
      <c r="W44" s="1503">
        <f t="shared" si="14"/>
        <v>100</v>
      </c>
      <c r="X44" s="1504"/>
      <c r="Y44" s="3548"/>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48"/>
      <c r="Q45" s="1506">
        <f t="shared" si="11"/>
        <v>111</v>
      </c>
      <c r="R45" s="1507" t="s">
        <v>8</v>
      </c>
      <c r="S45" s="1508">
        <f t="shared" si="12"/>
        <v>100</v>
      </c>
      <c r="T45" s="1507" t="s">
        <v>8</v>
      </c>
      <c r="U45" s="1508">
        <f t="shared" si="13"/>
        <v>100</v>
      </c>
      <c r="V45" s="1507" t="s">
        <v>8</v>
      </c>
      <c r="W45" s="1508">
        <f t="shared" si="14"/>
        <v>100</v>
      </c>
      <c r="X45" s="1501"/>
      <c r="Y45" s="3548"/>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51"/>
      <c r="Q46" s="1506">
        <f t="shared" si="11"/>
        <v>111</v>
      </c>
      <c r="R46" s="1507" t="s">
        <v>8</v>
      </c>
      <c r="S46" s="1508">
        <f t="shared" si="12"/>
        <v>100</v>
      </c>
      <c r="T46" s="1507" t="s">
        <v>8</v>
      </c>
      <c r="U46" s="1508">
        <f t="shared" si="13"/>
        <v>100</v>
      </c>
      <c r="V46" s="1507" t="s">
        <v>8</v>
      </c>
      <c r="W46" s="1508">
        <f t="shared" si="14"/>
        <v>100</v>
      </c>
      <c r="X46" s="1501"/>
      <c r="Y46" s="3651"/>
      <c r="Z46" s="1509">
        <f t="shared" si="15"/>
        <v>111</v>
      </c>
      <c r="AA46" s="1510">
        <f t="shared" si="3"/>
        <v>1</v>
      </c>
      <c r="AB46" s="1510">
        <f t="shared" si="4"/>
        <v>1</v>
      </c>
      <c r="AC46" s="1510">
        <f t="shared" si="5"/>
        <v>1</v>
      </c>
    </row>
    <row r="47" spans="1:29" ht="15">
      <c r="A47" s="601" t="s">
        <v>730</v>
      </c>
      <c r="B47" s="875"/>
      <c r="C47" s="2470" t="s">
        <v>1</v>
      </c>
      <c r="D47" s="2471"/>
      <c r="E47" s="2472"/>
      <c r="F47" s="2473"/>
      <c r="G47" s="2474"/>
      <c r="H47" s="2475"/>
      <c r="I47" s="2472"/>
      <c r="J47" s="2475"/>
      <c r="K47" s="1540"/>
      <c r="L47" s="2026"/>
      <c r="M47" s="2027"/>
      <c r="N47" s="2016"/>
      <c r="O47" s="2027"/>
      <c r="P47" s="3543" t="str">
        <f>A47</f>
        <v>成交单价（元/平方米）</v>
      </c>
      <c r="Q47" s="3543"/>
      <c r="R47" s="3650">
        <f>E47</f>
        <v>0</v>
      </c>
      <c r="S47" s="3650"/>
      <c r="T47" s="3650">
        <f>G47</f>
        <v>0</v>
      </c>
      <c r="U47" s="3650"/>
      <c r="V47" s="3650">
        <f>I47</f>
        <v>0</v>
      </c>
      <c r="W47" s="3650"/>
      <c r="X47" s="1496"/>
      <c r="Y47" s="1515"/>
      <c r="Z47" s="1496"/>
      <c r="AA47" s="1496"/>
      <c r="AB47" s="1496"/>
      <c r="AC47" s="1496"/>
    </row>
    <row r="48" spans="1:29" ht="15.75" thickBot="1">
      <c r="A48" s="609" t="s">
        <v>2739</v>
      </c>
      <c r="B48" s="876"/>
      <c r="C48" s="2476" t="e">
        <f>R49</f>
        <v>#DIV/0!</v>
      </c>
      <c r="D48" s="3014" t="s">
        <v>2965</v>
      </c>
      <c r="E48" s="2477" t="e">
        <f>R48</f>
        <v>#DIV/0!</v>
      </c>
      <c r="F48" s="3015"/>
      <c r="G48" s="2476" t="e">
        <f>T48</f>
        <v>#DIV/0!</v>
      </c>
      <c r="H48" s="3015"/>
      <c r="I48" s="2477" t="e">
        <f>V48</f>
        <v>#DIV/0!</v>
      </c>
      <c r="J48" s="3015"/>
      <c r="K48" s="3023">
        <f>F48+H48+J48</f>
        <v>0</v>
      </c>
      <c r="L48" s="2026"/>
      <c r="M48" s="2027"/>
      <c r="N48" s="2016"/>
      <c r="O48" s="2027"/>
      <c r="P48" s="3543" t="str">
        <f>A48</f>
        <v>比较价格（元/平方米）</v>
      </c>
      <c r="Q48" s="3543"/>
      <c r="R48" s="3650" t="e">
        <f>IF(F1="售价",ROUND(PRODUCT(R47,AA7:AA46),0),ROUND(PRODUCT(R47,AA7:AA46),1))</f>
        <v>#DIV/0!</v>
      </c>
      <c r="S48" s="3650"/>
      <c r="T48" s="3650" t="e">
        <f>IF(F1="售价",ROUND(PRODUCT(T47,AB7:AB46),0),ROUND(PRODUCT(T47,AB7:AB46),1))</f>
        <v>#DIV/0!</v>
      </c>
      <c r="U48" s="3650"/>
      <c r="V48" s="3650" t="e">
        <f>IF(F1="售价",ROUND(PRODUCT(V47,AC7:AC46),0),ROUND(PRODUCT(V47,AC7:AC46),1))</f>
        <v>#DIV/0!</v>
      </c>
      <c r="W48" s="3650"/>
      <c r="X48" s="1496"/>
      <c r="Y48" s="1496"/>
      <c r="Z48" s="1496"/>
      <c r="AA48" s="1496"/>
      <c r="AB48" s="1496"/>
      <c r="AC48" s="1496"/>
    </row>
    <row r="49" spans="1:29" ht="15.75" thickBot="1">
      <c r="A49" s="613" t="s">
        <v>2897</v>
      </c>
      <c r="B49" s="614"/>
      <c r="C49" s="2478" t="e">
        <f>R49</f>
        <v>#DIV/0!</v>
      </c>
      <c r="D49" s="2478"/>
      <c r="E49" s="2478"/>
      <c r="F49" s="2478"/>
      <c r="G49" s="2478"/>
      <c r="H49" s="2478"/>
      <c r="I49" s="2478"/>
      <c r="J49" s="2478"/>
      <c r="K49" s="1541"/>
      <c r="L49" s="2026"/>
      <c r="M49" s="2027"/>
      <c r="N49" s="2016"/>
      <c r="O49" s="2027"/>
      <c r="P49" s="3564" t="str">
        <f>A49</f>
        <v>估价对象XX用房的比较价格（楼面单价，元/平方米）</v>
      </c>
      <c r="Q49" s="3565"/>
      <c r="R49" s="3649" t="e">
        <f>IF(F1="售价",ROUND(IF(D48="简单平均",AVERAGE(R48:V48),R48*F48+T48*H48+V48*J48),0),ROUND(IF(D48="简单平均",AVERAGE(R48:V48),R48*F48+T48*H48+V48*J48),1))</f>
        <v>#DIV/0!</v>
      </c>
      <c r="S49" s="3649"/>
      <c r="T49" s="3649"/>
      <c r="U49" s="3649"/>
      <c r="V49" s="3649"/>
      <c r="W49" s="3649"/>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19"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2537</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2538</v>
      </c>
      <c r="C82" s="2442" t="s">
        <v>2539</v>
      </c>
      <c r="D82" s="2442" t="s">
        <v>2540</v>
      </c>
      <c r="E82" s="2442" t="s">
        <v>2541</v>
      </c>
      <c r="F82" s="2442" t="s">
        <v>2542</v>
      </c>
      <c r="G82" s="2442" t="s">
        <v>2543</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2536</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7"/>
      <c r="D118" s="897"/>
      <c r="E118" s="897"/>
      <c r="F118" s="897"/>
      <c r="G118" s="897"/>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4"/>
      <c r="G1" s="1531"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89"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549" t="s">
        <v>516</v>
      </c>
      <c r="D4" s="3550"/>
      <c r="E4" s="3574" t="s">
        <v>517</v>
      </c>
      <c r="F4" s="3575"/>
      <c r="G4" s="3549" t="s">
        <v>518</v>
      </c>
      <c r="H4" s="3550"/>
      <c r="I4" s="3549" t="s">
        <v>519</v>
      </c>
      <c r="J4" s="3550"/>
      <c r="K4" s="508" t="s">
        <v>520</v>
      </c>
      <c r="L4" s="2015"/>
      <c r="M4" s="2016"/>
      <c r="N4" s="2016"/>
      <c r="O4" s="2016"/>
      <c r="P4" s="3652" t="s">
        <v>521</v>
      </c>
      <c r="Q4" s="3552"/>
      <c r="R4" s="3537" t="s">
        <v>517</v>
      </c>
      <c r="S4" s="3538"/>
      <c r="T4" s="3537" t="s">
        <v>518</v>
      </c>
      <c r="U4" s="3538"/>
      <c r="V4" s="3557" t="s">
        <v>519</v>
      </c>
      <c r="W4" s="3557"/>
      <c r="X4" s="1501"/>
      <c r="Y4" s="3537" t="s">
        <v>521</v>
      </c>
      <c r="Z4" s="3538"/>
      <c r="AA4" s="3532" t="s">
        <v>517</v>
      </c>
      <c r="AB4" s="3532" t="s">
        <v>518</v>
      </c>
      <c r="AC4" s="3532" t="s">
        <v>519</v>
      </c>
    </row>
    <row r="5" spans="1:29" ht="15">
      <c r="A5" s="509"/>
      <c r="B5" s="510"/>
      <c r="C5" s="3560" t="s">
        <v>2891</v>
      </c>
      <c r="D5" s="3561"/>
      <c r="E5" s="3576" t="s">
        <v>2892</v>
      </c>
      <c r="F5" s="3577"/>
      <c r="G5" s="3560" t="s">
        <v>2893</v>
      </c>
      <c r="H5" s="3561"/>
      <c r="I5" s="3560" t="s">
        <v>2894</v>
      </c>
      <c r="J5" s="3561"/>
      <c r="K5" s="508"/>
      <c r="L5" s="2015"/>
      <c r="M5" s="2016"/>
      <c r="N5" s="2016"/>
      <c r="O5" s="2016"/>
      <c r="P5" s="3653"/>
      <c r="Q5" s="3554"/>
      <c r="R5" s="3539"/>
      <c r="S5" s="3540"/>
      <c r="T5" s="3539"/>
      <c r="U5" s="3540"/>
      <c r="V5" s="3557"/>
      <c r="W5" s="3557"/>
      <c r="X5" s="1501"/>
      <c r="Y5" s="3539"/>
      <c r="Z5" s="3540"/>
      <c r="AA5" s="3533"/>
      <c r="AB5" s="3533"/>
      <c r="AC5" s="3533"/>
    </row>
    <row r="6" spans="1:29" ht="15.75" thickBot="1">
      <c r="A6" s="511"/>
      <c r="B6" s="512"/>
      <c r="C6" s="3558" t="s">
        <v>2895</v>
      </c>
      <c r="D6" s="3559"/>
      <c r="E6" s="3578" t="s">
        <v>2895</v>
      </c>
      <c r="F6" s="3579"/>
      <c r="G6" s="3558" t="s">
        <v>2895</v>
      </c>
      <c r="H6" s="3559"/>
      <c r="I6" s="3558" t="s">
        <v>2895</v>
      </c>
      <c r="J6" s="3559"/>
      <c r="K6" s="508" t="s">
        <v>522</v>
      </c>
      <c r="L6" s="2015"/>
      <c r="M6" s="2016"/>
      <c r="N6" s="2016"/>
      <c r="O6" s="2016"/>
      <c r="P6" s="3654"/>
      <c r="Q6" s="3556"/>
      <c r="R6" s="3539"/>
      <c r="S6" s="3540"/>
      <c r="T6" s="3541"/>
      <c r="U6" s="3542"/>
      <c r="V6" s="3557"/>
      <c r="W6" s="3557"/>
      <c r="X6" s="1501"/>
      <c r="Y6" s="3541"/>
      <c r="Z6" s="3542"/>
      <c r="AA6" s="3534"/>
      <c r="AB6" s="3534"/>
      <c r="AC6" s="3534"/>
    </row>
    <row r="7" spans="1:29" s="1202" customFormat="1" ht="15.75" thickBot="1">
      <c r="A7" s="2629"/>
      <c r="B7" s="2636" t="s">
        <v>523</v>
      </c>
      <c r="C7" s="513">
        <f>'数据-取费表'!B2</f>
        <v>44258</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44" t="s">
        <v>524</v>
      </c>
      <c r="Q7" s="3544"/>
      <c r="R7" s="1502" t="s">
        <v>8</v>
      </c>
      <c r="S7" s="1503">
        <f t="shared" ref="S7:S15" si="0">F7</f>
        <v>0</v>
      </c>
      <c r="T7" s="1502" t="s">
        <v>8</v>
      </c>
      <c r="U7" s="1503">
        <f t="shared" ref="U7:U15" si="1">H7</f>
        <v>0</v>
      </c>
      <c r="V7" s="1502" t="s">
        <v>8</v>
      </c>
      <c r="W7" s="1503">
        <f t="shared" ref="W7:W15" si="2">J7</f>
        <v>0</v>
      </c>
      <c r="X7" s="1504"/>
      <c r="Y7" s="3535" t="s">
        <v>524</v>
      </c>
      <c r="Z7" s="3536"/>
      <c r="AA7" s="1505" t="e">
        <f>D7/F7</f>
        <v>#DIV/0!</v>
      </c>
      <c r="AB7" s="1505" t="e">
        <f>D7/H7</f>
        <v>#DIV/0!</v>
      </c>
      <c r="AC7" s="1505" t="e">
        <f>D7/J7</f>
        <v>#DIV/0!</v>
      </c>
    </row>
    <row r="8" spans="1:29" s="1202"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44" t="s">
        <v>527</v>
      </c>
      <c r="Q8" s="3536"/>
      <c r="R8" s="1502" t="s">
        <v>8</v>
      </c>
      <c r="S8" s="1503">
        <f t="shared" si="0"/>
        <v>0</v>
      </c>
      <c r="T8" s="1502" t="s">
        <v>8</v>
      </c>
      <c r="U8" s="1503">
        <f t="shared" si="1"/>
        <v>0</v>
      </c>
      <c r="V8" s="1502" t="s">
        <v>8</v>
      </c>
      <c r="W8" s="1503">
        <f t="shared" si="2"/>
        <v>0</v>
      </c>
      <c r="X8" s="1504"/>
      <c r="Y8" s="3535" t="s">
        <v>527</v>
      </c>
      <c r="Z8" s="3536"/>
      <c r="AA8" s="1505" t="e">
        <f t="shared" ref="AA8:AA47" si="3">D8/F8</f>
        <v>#DIV/0!</v>
      </c>
      <c r="AB8" s="1505" t="e">
        <f t="shared" ref="AB8:AB47" si="4">D8/H8</f>
        <v>#DIV/0!</v>
      </c>
      <c r="AC8" s="1505" t="e">
        <f t="shared" ref="AC8:AC47" si="5">D8/J8</f>
        <v>#DIV/0!</v>
      </c>
    </row>
    <row r="9" spans="1:29" s="1202" customFormat="1" ht="15">
      <c r="A9" s="2631"/>
      <c r="B9" s="2638" t="s">
        <v>2735</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43" t="s">
        <v>529</v>
      </c>
      <c r="Q9" s="1133" t="str">
        <f t="shared" ref="Q9:Q15" si="6">B9</f>
        <v>用途</v>
      </c>
      <c r="R9" s="1502" t="s">
        <v>8</v>
      </c>
      <c r="S9" s="1503">
        <f t="shared" si="0"/>
        <v>100</v>
      </c>
      <c r="T9" s="1502" t="s">
        <v>8</v>
      </c>
      <c r="U9" s="1503">
        <f t="shared" si="1"/>
        <v>100</v>
      </c>
      <c r="V9" s="1502" t="s">
        <v>8</v>
      </c>
      <c r="W9" s="1503">
        <f t="shared" si="2"/>
        <v>100</v>
      </c>
      <c r="X9" s="1504"/>
      <c r="Y9" s="3494" t="s">
        <v>530</v>
      </c>
      <c r="Z9" s="1132" t="str">
        <f t="shared" ref="Z9:Z15" si="7">Q9</f>
        <v>用途</v>
      </c>
      <c r="AA9" s="1505">
        <f t="shared" si="3"/>
        <v>1</v>
      </c>
      <c r="AB9" s="1505">
        <f t="shared" si="4"/>
        <v>1</v>
      </c>
      <c r="AC9" s="1505">
        <f t="shared" si="5"/>
        <v>1</v>
      </c>
    </row>
    <row r="10" spans="1:29" s="1291" customFormat="1" ht="27">
      <c r="A10" s="2632"/>
      <c r="B10" s="2637" t="s">
        <v>2736</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43"/>
      <c r="Q10" s="1133" t="str">
        <f t="shared" si="6"/>
        <v>土地使用年限（年）</v>
      </c>
      <c r="R10" s="1502" t="s">
        <v>8</v>
      </c>
      <c r="S10" s="1503">
        <f t="shared" si="0"/>
        <v>100</v>
      </c>
      <c r="T10" s="1502" t="s">
        <v>8</v>
      </c>
      <c r="U10" s="1503">
        <f t="shared" si="1"/>
        <v>100</v>
      </c>
      <c r="V10" s="1502" t="s">
        <v>8</v>
      </c>
      <c r="W10" s="1503">
        <f t="shared" si="2"/>
        <v>100</v>
      </c>
      <c r="X10" s="1504"/>
      <c r="Y10" s="3494"/>
      <c r="Z10" s="1132"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43"/>
      <c r="Q11" s="1133" t="str">
        <f t="shared" si="6"/>
        <v>容积率</v>
      </c>
      <c r="R11" s="1502" t="s">
        <v>8</v>
      </c>
      <c r="S11" s="1503" t="e">
        <f t="shared" si="0"/>
        <v>#N/A</v>
      </c>
      <c r="T11" s="1502" t="s">
        <v>8</v>
      </c>
      <c r="U11" s="1503" t="e">
        <f t="shared" si="1"/>
        <v>#N/A</v>
      </c>
      <c r="V11" s="1502" t="s">
        <v>8</v>
      </c>
      <c r="W11" s="1503" t="e">
        <f t="shared" si="2"/>
        <v>#N/A</v>
      </c>
      <c r="X11" s="1504"/>
      <c r="Y11" s="3494"/>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22"/>
      <c r="F12" s="253">
        <f>SUMIF(71:71,E12,72:72)-SUMIF(71:71,C12,72:72)+100</f>
        <v>100</v>
      </c>
      <c r="G12" s="898"/>
      <c r="H12" s="253">
        <f>SUMIF(71:71,G12,72:72)-SUMIF(71:71,C12,72:72)+100</f>
        <v>100</v>
      </c>
      <c r="I12" s="522"/>
      <c r="J12" s="253">
        <f>SUMIF(71:71,I12,72:72)-SUMIF(71:71,C12,72:72)+100</f>
        <v>100</v>
      </c>
      <c r="K12" s="575"/>
      <c r="L12" s="2017"/>
      <c r="M12" s="2018"/>
      <c r="N12" s="2018"/>
      <c r="O12" s="2018"/>
      <c r="P12" s="3543"/>
      <c r="Q12" s="1133">
        <f t="shared" si="6"/>
        <v>111</v>
      </c>
      <c r="R12" s="1502" t="s">
        <v>8</v>
      </c>
      <c r="S12" s="1503">
        <f t="shared" si="0"/>
        <v>100</v>
      </c>
      <c r="T12" s="1502" t="s">
        <v>8</v>
      </c>
      <c r="U12" s="1503">
        <f t="shared" si="1"/>
        <v>100</v>
      </c>
      <c r="V12" s="1502" t="s">
        <v>8</v>
      </c>
      <c r="W12" s="1503">
        <f t="shared" si="2"/>
        <v>100</v>
      </c>
      <c r="X12" s="1504"/>
      <c r="Y12" s="3494"/>
      <c r="Z12" s="1132">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8"/>
      <c r="H13" s="534">
        <f>SUMIF(73:73,G13,74:74)-SUMIF(73:73,C13,74:74)+100</f>
        <v>100</v>
      </c>
      <c r="I13" s="522"/>
      <c r="J13" s="534">
        <f>SUMIF(73:73,I13,74:74)-SUMIF(73:73,C13,74:74)+100</f>
        <v>100</v>
      </c>
      <c r="K13" s="575"/>
      <c r="L13" s="2024"/>
      <c r="M13" s="2016"/>
      <c r="N13" s="2016"/>
      <c r="O13" s="2016"/>
      <c r="P13" s="3543"/>
      <c r="Q13" s="1133">
        <f t="shared" si="6"/>
        <v>111</v>
      </c>
      <c r="R13" s="1502" t="s">
        <v>8</v>
      </c>
      <c r="S13" s="1503">
        <f t="shared" si="0"/>
        <v>100</v>
      </c>
      <c r="T13" s="1502" t="s">
        <v>8</v>
      </c>
      <c r="U13" s="1503">
        <f t="shared" si="1"/>
        <v>100</v>
      </c>
      <c r="V13" s="1502" t="s">
        <v>8</v>
      </c>
      <c r="W13" s="1503">
        <f t="shared" si="2"/>
        <v>100</v>
      </c>
      <c r="X13" s="1504"/>
      <c r="Y13" s="3494"/>
      <c r="Z13" s="1132">
        <f t="shared" si="7"/>
        <v>111</v>
      </c>
      <c r="AA13" s="1505">
        <f t="shared" si="3"/>
        <v>1</v>
      </c>
      <c r="AB13" s="1505">
        <f t="shared" si="4"/>
        <v>1</v>
      </c>
      <c r="AC13" s="1505">
        <f t="shared" si="5"/>
        <v>1</v>
      </c>
    </row>
    <row r="14" spans="1:29" ht="15.75" thickBot="1">
      <c r="A14" s="2635"/>
      <c r="B14" s="2641">
        <v>111</v>
      </c>
      <c r="C14" s="539"/>
      <c r="D14" s="540">
        <v>100</v>
      </c>
      <c r="E14" s="899"/>
      <c r="F14" s="540">
        <f>SUMIF(75:75,E14,76:76)-SUMIF(75:75,C14,76:76)+100</f>
        <v>100</v>
      </c>
      <c r="G14" s="898"/>
      <c r="H14" s="540">
        <f>SUMIF(75:75,G14,76:76)-SUMIF(75:75,C14,76:76)+100</f>
        <v>100</v>
      </c>
      <c r="I14" s="522"/>
      <c r="J14" s="540">
        <f>SUMIF(75:75,I14,76:76)-SUMIF(75:75,C14,76:76)+100</f>
        <v>100</v>
      </c>
      <c r="K14" s="575"/>
      <c r="L14" s="2024"/>
      <c r="M14" s="2016"/>
      <c r="N14" s="2016"/>
      <c r="O14" s="2016"/>
      <c r="P14" s="3543"/>
      <c r="Q14" s="1133">
        <f t="shared" si="6"/>
        <v>111</v>
      </c>
      <c r="R14" s="1502" t="s">
        <v>8</v>
      </c>
      <c r="S14" s="1503">
        <f t="shared" si="0"/>
        <v>100</v>
      </c>
      <c r="T14" s="1502" t="s">
        <v>8</v>
      </c>
      <c r="U14" s="1503">
        <f t="shared" si="1"/>
        <v>100</v>
      </c>
      <c r="V14" s="1502" t="s">
        <v>8</v>
      </c>
      <c r="W14" s="1503">
        <f t="shared" si="2"/>
        <v>100</v>
      </c>
      <c r="X14" s="1504"/>
      <c r="Y14" s="3494"/>
      <c r="Z14" s="1132">
        <f t="shared" si="7"/>
        <v>111</v>
      </c>
      <c r="AA14" s="1505">
        <f t="shared" si="3"/>
        <v>1</v>
      </c>
      <c r="AB14" s="1505">
        <f t="shared" si="4"/>
        <v>1</v>
      </c>
      <c r="AC14" s="1505">
        <f t="shared" si="5"/>
        <v>1</v>
      </c>
    </row>
    <row r="15" spans="1:29" ht="71.25">
      <c r="A15" s="2627" t="s">
        <v>2733</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4"/>
      <c r="M15" s="2016"/>
      <c r="N15" s="2016"/>
      <c r="O15" s="2016"/>
      <c r="P15" s="3545" t="s">
        <v>534</v>
      </c>
      <c r="Q15" s="1506" t="str">
        <f t="shared" si="6"/>
        <v>办公集聚程度</v>
      </c>
      <c r="R15" s="1507" t="s">
        <v>8</v>
      </c>
      <c r="S15" s="1508">
        <f t="shared" si="0"/>
        <v>100</v>
      </c>
      <c r="T15" s="1507" t="s">
        <v>8</v>
      </c>
      <c r="U15" s="1508">
        <f t="shared" si="1"/>
        <v>100</v>
      </c>
      <c r="V15" s="1507" t="s">
        <v>8</v>
      </c>
      <c r="W15" s="1508">
        <f t="shared" si="2"/>
        <v>100</v>
      </c>
      <c r="X15" s="1501"/>
      <c r="Y15" s="3545"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4"/>
      <c r="M16" s="2016"/>
      <c r="N16" s="2016"/>
      <c r="O16" s="2016"/>
      <c r="P16" s="3546"/>
      <c r="Q16" s="1506"/>
      <c r="R16" s="1507"/>
      <c r="S16" s="1508"/>
      <c r="T16" s="1507"/>
      <c r="U16" s="1508"/>
      <c r="V16" s="1507"/>
      <c r="W16" s="1508"/>
      <c r="X16" s="1501"/>
      <c r="Y16" s="3546"/>
      <c r="Z16" s="1509"/>
      <c r="AA16" s="1510">
        <v>1</v>
      </c>
      <c r="AB16" s="1510">
        <v>1</v>
      </c>
      <c r="AC16" s="1510">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4"/>
      <c r="M17" s="2016"/>
      <c r="N17" s="2016"/>
      <c r="O17" s="2016"/>
      <c r="P17" s="3546"/>
      <c r="Q17" s="1506" t="str">
        <f>B17</f>
        <v>交通便捷度</v>
      </c>
      <c r="R17" s="1507" t="s">
        <v>8</v>
      </c>
      <c r="S17" s="1508">
        <f>F17</f>
        <v>100</v>
      </c>
      <c r="T17" s="1507" t="s">
        <v>8</v>
      </c>
      <c r="U17" s="1508">
        <f>H17</f>
        <v>100</v>
      </c>
      <c r="V17" s="1507" t="s">
        <v>8</v>
      </c>
      <c r="W17" s="1508">
        <f>J17</f>
        <v>100</v>
      </c>
      <c r="X17" s="1501"/>
      <c r="Y17" s="3546"/>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4"/>
      <c r="M18" s="2016"/>
      <c r="N18" s="2016"/>
      <c r="O18" s="2016"/>
      <c r="P18" s="3546"/>
      <c r="Q18" s="1506"/>
      <c r="R18" s="1507"/>
      <c r="S18" s="1508"/>
      <c r="T18" s="1507"/>
      <c r="U18" s="1508"/>
      <c r="V18" s="1507"/>
      <c r="W18" s="1508"/>
      <c r="X18" s="1501"/>
      <c r="Y18" s="3546"/>
      <c r="Z18" s="1509"/>
      <c r="AA18" s="1510">
        <v>1</v>
      </c>
      <c r="AB18" s="1510">
        <v>1</v>
      </c>
      <c r="AC18" s="1510">
        <v>1</v>
      </c>
    </row>
    <row r="19" spans="1:29" ht="42.75">
      <c r="A19" s="526"/>
      <c r="B19" s="2447" t="s">
        <v>2526</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4"/>
      <c r="M19" s="2016"/>
      <c r="N19" s="2016"/>
      <c r="O19" s="2016"/>
      <c r="P19" s="3546"/>
      <c r="Q19" s="1506" t="str">
        <f>B19</f>
        <v>公共配套设施</v>
      </c>
      <c r="R19" s="1507" t="s">
        <v>8</v>
      </c>
      <c r="S19" s="1508">
        <f>F19</f>
        <v>100</v>
      </c>
      <c r="T19" s="1507" t="s">
        <v>8</v>
      </c>
      <c r="U19" s="1508">
        <f>H19</f>
        <v>100</v>
      </c>
      <c r="V19" s="1507" t="s">
        <v>8</v>
      </c>
      <c r="W19" s="1508">
        <f>J19</f>
        <v>100</v>
      </c>
      <c r="X19" s="1501"/>
      <c r="Y19" s="3546"/>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4"/>
      <c r="M20" s="2016"/>
      <c r="N20" s="2016"/>
      <c r="O20" s="2016"/>
      <c r="P20" s="3546"/>
      <c r="Q20" s="1506"/>
      <c r="R20" s="1507"/>
      <c r="S20" s="1508"/>
      <c r="T20" s="1507"/>
      <c r="U20" s="1508"/>
      <c r="V20" s="1507"/>
      <c r="W20" s="1508"/>
      <c r="X20" s="1501"/>
      <c r="Y20" s="3546"/>
      <c r="Z20" s="1509"/>
      <c r="AA20" s="1510">
        <v>1</v>
      </c>
      <c r="AB20" s="1510">
        <v>1</v>
      </c>
      <c r="AC20" s="1510">
        <v>1</v>
      </c>
    </row>
    <row r="21" spans="1:29" ht="28.5">
      <c r="A21" s="526"/>
      <c r="B21" s="2435" t="s">
        <v>2538</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4"/>
      <c r="M21" s="2016"/>
      <c r="N21" s="2016"/>
      <c r="O21" s="2016"/>
      <c r="P21" s="3546"/>
      <c r="Q21" s="2429" t="str">
        <f>B21</f>
        <v>基础设施水平</v>
      </c>
      <c r="R21" s="1507" t="s">
        <v>8</v>
      </c>
      <c r="S21" s="1508">
        <f>F21</f>
        <v>100</v>
      </c>
      <c r="T21" s="1507" t="s">
        <v>8</v>
      </c>
      <c r="U21" s="1508">
        <f>H21</f>
        <v>100</v>
      </c>
      <c r="V21" s="1507" t="s">
        <v>8</v>
      </c>
      <c r="W21" s="1508">
        <f>J21</f>
        <v>100</v>
      </c>
      <c r="X21" s="2431"/>
      <c r="Y21" s="3546"/>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546"/>
      <c r="Q22" s="2429"/>
      <c r="R22" s="1507"/>
      <c r="S22" s="1508"/>
      <c r="T22" s="1507"/>
      <c r="U22" s="1508"/>
      <c r="V22" s="1507"/>
      <c r="W22" s="1508"/>
      <c r="X22" s="2431"/>
      <c r="Y22" s="3546"/>
      <c r="Z22" s="2430"/>
      <c r="AA22" s="1510">
        <v>1</v>
      </c>
      <c r="AB22" s="1510">
        <v>1</v>
      </c>
      <c r="AC22" s="1510">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4"/>
      <c r="M23" s="2016"/>
      <c r="N23" s="2016"/>
      <c r="O23" s="2016"/>
      <c r="P23" s="3546"/>
      <c r="Q23" s="1506" t="str">
        <f>B23</f>
        <v>环境质量</v>
      </c>
      <c r="R23" s="1507" t="s">
        <v>8</v>
      </c>
      <c r="S23" s="1508">
        <f>F23</f>
        <v>100</v>
      </c>
      <c r="T23" s="1507" t="s">
        <v>8</v>
      </c>
      <c r="U23" s="1508">
        <f>H23</f>
        <v>100</v>
      </c>
      <c r="V23" s="1507" t="s">
        <v>8</v>
      </c>
      <c r="W23" s="1508">
        <f>J23</f>
        <v>100</v>
      </c>
      <c r="X23" s="1501"/>
      <c r="Y23" s="3546"/>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4"/>
      <c r="M24" s="2016"/>
      <c r="N24" s="2016"/>
      <c r="O24" s="2016"/>
      <c r="P24" s="3546"/>
      <c r="Q24" s="1506"/>
      <c r="R24" s="1507"/>
      <c r="S24" s="1508"/>
      <c r="T24" s="1507"/>
      <c r="U24" s="1508"/>
      <c r="V24" s="1507"/>
      <c r="W24" s="1508"/>
      <c r="X24" s="1501"/>
      <c r="Y24" s="3546"/>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4"/>
      <c r="M25" s="2016"/>
      <c r="N25" s="2016"/>
      <c r="O25" s="2016"/>
      <c r="P25" s="3546"/>
      <c r="Q25" s="1506" t="str">
        <f>B25</f>
        <v>毗邻道路的类型与等级</v>
      </c>
      <c r="R25" s="1507" t="s">
        <v>8</v>
      </c>
      <c r="S25" s="1508">
        <f>F25</f>
        <v>100</v>
      </c>
      <c r="T25" s="1507" t="s">
        <v>8</v>
      </c>
      <c r="U25" s="1508">
        <f>H25</f>
        <v>100</v>
      </c>
      <c r="V25" s="1507" t="s">
        <v>8</v>
      </c>
      <c r="W25" s="1508">
        <f>J25</f>
        <v>100</v>
      </c>
      <c r="X25" s="1501"/>
      <c r="Y25" s="3546"/>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4"/>
      <c r="M26" s="2016"/>
      <c r="N26" s="2016"/>
      <c r="O26" s="2016"/>
      <c r="P26" s="3546"/>
      <c r="Q26" s="1506"/>
      <c r="R26" s="1507"/>
      <c r="S26" s="1508"/>
      <c r="T26" s="1507"/>
      <c r="U26" s="1508"/>
      <c r="V26" s="1507"/>
      <c r="W26" s="1508"/>
      <c r="X26" s="1501"/>
      <c r="Y26" s="3546"/>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46"/>
      <c r="Q27" s="1506" t="str">
        <f t="shared" ref="Q27:Q47" si="11">B27</f>
        <v>楼层</v>
      </c>
      <c r="R27" s="1507" t="s">
        <v>8</v>
      </c>
      <c r="S27" s="1508">
        <f>F27</f>
        <v>100</v>
      </c>
      <c r="T27" s="1507" t="s">
        <v>8</v>
      </c>
      <c r="U27" s="1508">
        <f>H27</f>
        <v>100</v>
      </c>
      <c r="V27" s="1507" t="s">
        <v>8</v>
      </c>
      <c r="W27" s="1508">
        <f>J27</f>
        <v>100</v>
      </c>
      <c r="X27" s="1501"/>
      <c r="Y27" s="3546"/>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7"/>
      <c r="M28" s="2018"/>
      <c r="N28" s="2018"/>
      <c r="O28" s="2018"/>
      <c r="P28" s="3546"/>
      <c r="Q28" s="1133" t="str">
        <f t="shared" si="11"/>
        <v>朝向</v>
      </c>
      <c r="R28" s="1502" t="s">
        <v>8</v>
      </c>
      <c r="S28" s="1503">
        <f>F28</f>
        <v>100</v>
      </c>
      <c r="T28" s="1502" t="s">
        <v>8</v>
      </c>
      <c r="U28" s="1503">
        <f>H28</f>
        <v>100</v>
      </c>
      <c r="V28" s="1502" t="s">
        <v>8</v>
      </c>
      <c r="W28" s="1503">
        <f>J28</f>
        <v>100</v>
      </c>
      <c r="X28" s="1504"/>
      <c r="Y28" s="3546"/>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4"/>
      <c r="M29" s="2016"/>
      <c r="N29" s="2016"/>
      <c r="O29" s="2016"/>
      <c r="P29" s="3546"/>
      <c r="Q29" s="1506">
        <f t="shared" si="11"/>
        <v>111</v>
      </c>
      <c r="R29" s="1507" t="s">
        <v>8</v>
      </c>
      <c r="S29" s="1508">
        <f t="shared" ref="S29:S47" si="12">F29</f>
        <v>100</v>
      </c>
      <c r="T29" s="1507" t="s">
        <v>8</v>
      </c>
      <c r="U29" s="1508">
        <f t="shared" ref="U29:U47" si="13">H29</f>
        <v>100</v>
      </c>
      <c r="V29" s="1507" t="s">
        <v>8</v>
      </c>
      <c r="W29" s="1508">
        <f t="shared" ref="W29:W47" si="14">J29</f>
        <v>100</v>
      </c>
      <c r="X29" s="1501"/>
      <c r="Y29" s="3546"/>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4"/>
      <c r="M30" s="2016"/>
      <c r="N30" s="2016"/>
      <c r="O30" s="2016"/>
      <c r="P30" s="3546"/>
      <c r="Q30" s="1506">
        <f t="shared" si="11"/>
        <v>111</v>
      </c>
      <c r="R30" s="1507" t="s">
        <v>8</v>
      </c>
      <c r="S30" s="1508">
        <f t="shared" si="12"/>
        <v>100</v>
      </c>
      <c r="T30" s="1507" t="s">
        <v>8</v>
      </c>
      <c r="U30" s="1508">
        <f t="shared" si="13"/>
        <v>100</v>
      </c>
      <c r="V30" s="1507" t="s">
        <v>8</v>
      </c>
      <c r="W30" s="1508">
        <f t="shared" si="14"/>
        <v>100</v>
      </c>
      <c r="X30" s="1501"/>
      <c r="Y30" s="3546"/>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4"/>
      <c r="M31" s="2016"/>
      <c r="N31" s="2016"/>
      <c r="O31" s="2016"/>
      <c r="P31" s="3546"/>
      <c r="Q31" s="1506">
        <f t="shared" si="11"/>
        <v>111</v>
      </c>
      <c r="R31" s="1507" t="s">
        <v>8</v>
      </c>
      <c r="S31" s="1508">
        <f t="shared" si="12"/>
        <v>100</v>
      </c>
      <c r="T31" s="1507" t="s">
        <v>8</v>
      </c>
      <c r="U31" s="1508">
        <f t="shared" si="13"/>
        <v>100</v>
      </c>
      <c r="V31" s="1507" t="s">
        <v>8</v>
      </c>
      <c r="W31" s="1508">
        <f t="shared" si="14"/>
        <v>100</v>
      </c>
      <c r="X31" s="1501"/>
      <c r="Y31" s="3546"/>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4"/>
      <c r="M32" s="2016"/>
      <c r="N32" s="2016"/>
      <c r="O32" s="2016"/>
      <c r="P32" s="3546"/>
      <c r="Q32" s="1506">
        <f t="shared" si="11"/>
        <v>111</v>
      </c>
      <c r="R32" s="1507" t="s">
        <v>8</v>
      </c>
      <c r="S32" s="1508">
        <f t="shared" si="12"/>
        <v>100</v>
      </c>
      <c r="T32" s="1507" t="s">
        <v>8</v>
      </c>
      <c r="U32" s="1508">
        <f t="shared" si="13"/>
        <v>100</v>
      </c>
      <c r="V32" s="1507" t="s">
        <v>8</v>
      </c>
      <c r="W32" s="1508">
        <f t="shared" si="14"/>
        <v>100</v>
      </c>
      <c r="X32" s="1501"/>
      <c r="Y32" s="3546"/>
      <c r="Z32" s="1509">
        <f t="shared" si="15"/>
        <v>111</v>
      </c>
      <c r="AA32" s="1510">
        <f t="shared" si="3"/>
        <v>1</v>
      </c>
      <c r="AB32" s="1510">
        <f t="shared" si="4"/>
        <v>1</v>
      </c>
      <c r="AC32" s="1510">
        <f t="shared" si="5"/>
        <v>1</v>
      </c>
    </row>
    <row r="33" spans="1:29" ht="15">
      <c r="A33" s="2624" t="s">
        <v>2734</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4"/>
      <c r="M33" s="2016"/>
      <c r="N33" s="2016"/>
      <c r="O33" s="2016"/>
      <c r="P33" s="3547" t="s">
        <v>544</v>
      </c>
      <c r="Q33" s="1506" t="str">
        <f t="shared" si="11"/>
        <v>建筑类型</v>
      </c>
      <c r="R33" s="1507" t="s">
        <v>8</v>
      </c>
      <c r="S33" s="1508">
        <f t="shared" si="12"/>
        <v>100</v>
      </c>
      <c r="T33" s="1507" t="s">
        <v>8</v>
      </c>
      <c r="U33" s="1508">
        <f t="shared" si="13"/>
        <v>100</v>
      </c>
      <c r="V33" s="1507" t="s">
        <v>8</v>
      </c>
      <c r="W33" s="1508">
        <f t="shared" si="14"/>
        <v>100</v>
      </c>
      <c r="X33" s="1501"/>
      <c r="Y33" s="3548"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48"/>
      <c r="Q34" s="1535" t="str">
        <f t="shared" si="11"/>
        <v>项目建筑规模</v>
      </c>
      <c r="R34" s="1511" t="s">
        <v>8</v>
      </c>
      <c r="S34" s="1512" t="e">
        <f t="shared" si="12"/>
        <v>#N/A</v>
      </c>
      <c r="T34" s="1511" t="s">
        <v>8</v>
      </c>
      <c r="U34" s="1512" t="e">
        <f t="shared" si="13"/>
        <v>#N/A</v>
      </c>
      <c r="V34" s="1511" t="s">
        <v>8</v>
      </c>
      <c r="W34" s="1512" t="e">
        <f t="shared" si="14"/>
        <v>#N/A</v>
      </c>
      <c r="X34" s="1513"/>
      <c r="Y34" s="3548"/>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48"/>
      <c r="Q35" s="1506" t="str">
        <f t="shared" si="11"/>
        <v>建筑结构</v>
      </c>
      <c r="R35" s="1507" t="s">
        <v>8</v>
      </c>
      <c r="S35" s="1508">
        <f t="shared" si="12"/>
        <v>100</v>
      </c>
      <c r="T35" s="1507" t="s">
        <v>8</v>
      </c>
      <c r="U35" s="1508">
        <f t="shared" si="13"/>
        <v>100</v>
      </c>
      <c r="V35" s="1507" t="s">
        <v>8</v>
      </c>
      <c r="W35" s="1508">
        <f t="shared" si="14"/>
        <v>100</v>
      </c>
      <c r="X35" s="1501"/>
      <c r="Y35" s="3548"/>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48"/>
      <c r="Q36" s="1506" t="str">
        <f t="shared" si="11"/>
        <v>公共部分装修</v>
      </c>
      <c r="R36" s="1507" t="s">
        <v>8</v>
      </c>
      <c r="S36" s="1508">
        <f t="shared" si="12"/>
        <v>100</v>
      </c>
      <c r="T36" s="1507" t="s">
        <v>8</v>
      </c>
      <c r="U36" s="1508">
        <f t="shared" si="13"/>
        <v>100</v>
      </c>
      <c r="V36" s="1507" t="s">
        <v>8</v>
      </c>
      <c r="W36" s="1508">
        <f t="shared" si="14"/>
        <v>100</v>
      </c>
      <c r="X36" s="1501"/>
      <c r="Y36" s="3548"/>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4"/>
      <c r="M37" s="2016"/>
      <c r="N37" s="2016"/>
      <c r="O37" s="2016"/>
      <c r="P37" s="3548"/>
      <c r="Q37" s="1506" t="str">
        <f t="shared" si="11"/>
        <v>成新度</v>
      </c>
      <c r="R37" s="1507" t="s">
        <v>8</v>
      </c>
      <c r="S37" s="1508" t="e">
        <f t="shared" si="12"/>
        <v>#N/A</v>
      </c>
      <c r="T37" s="1507" t="s">
        <v>8</v>
      </c>
      <c r="U37" s="1508" t="e">
        <f t="shared" si="13"/>
        <v>#N/A</v>
      </c>
      <c r="V37" s="1507" t="s">
        <v>8</v>
      </c>
      <c r="W37" s="1508" t="e">
        <f t="shared" si="14"/>
        <v>#N/A</v>
      </c>
      <c r="X37" s="1501"/>
      <c r="Y37" s="3548"/>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48"/>
      <c r="Q38" s="1133" t="str">
        <f t="shared" si="11"/>
        <v>写字楼等级</v>
      </c>
      <c r="R38" s="1502" t="s">
        <v>8</v>
      </c>
      <c r="S38" s="1503">
        <f t="shared" si="12"/>
        <v>100</v>
      </c>
      <c r="T38" s="1502" t="s">
        <v>8</v>
      </c>
      <c r="U38" s="1503">
        <f t="shared" si="13"/>
        <v>100</v>
      </c>
      <c r="V38" s="1502" t="s">
        <v>8</v>
      </c>
      <c r="W38" s="1503">
        <f t="shared" si="14"/>
        <v>100</v>
      </c>
      <c r="X38" s="1504"/>
      <c r="Y38" s="3548"/>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48" t="s">
        <v>544</v>
      </c>
      <c r="Q39" s="1506" t="str">
        <f t="shared" si="11"/>
        <v>物业管理</v>
      </c>
      <c r="R39" s="1507" t="s">
        <v>8</v>
      </c>
      <c r="S39" s="1508">
        <f t="shared" si="12"/>
        <v>100</v>
      </c>
      <c r="T39" s="1507" t="s">
        <v>8</v>
      </c>
      <c r="U39" s="1508">
        <f t="shared" si="13"/>
        <v>100</v>
      </c>
      <c r="V39" s="1507" t="s">
        <v>8</v>
      </c>
      <c r="W39" s="1508">
        <f t="shared" si="14"/>
        <v>100</v>
      </c>
      <c r="X39" s="1501"/>
      <c r="Y39" s="3548" t="s">
        <v>544</v>
      </c>
      <c r="Z39" s="1509" t="str">
        <f t="shared" si="15"/>
        <v>物业管理</v>
      </c>
      <c r="AA39" s="1510">
        <f t="shared" si="3"/>
        <v>1</v>
      </c>
      <c r="AB39" s="1510">
        <f t="shared" si="4"/>
        <v>1</v>
      </c>
      <c r="AC39" s="1510">
        <f t="shared" si="5"/>
        <v>1</v>
      </c>
    </row>
    <row r="40" spans="1:29" ht="15">
      <c r="A40" s="588"/>
      <c r="B40" s="1809" t="s">
        <v>2545</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48"/>
      <c r="Q40" s="1506" t="str">
        <f t="shared" si="11"/>
        <v>市政基础设施</v>
      </c>
      <c r="R40" s="1507" t="s">
        <v>8</v>
      </c>
      <c r="S40" s="1508">
        <f t="shared" si="12"/>
        <v>100</v>
      </c>
      <c r="T40" s="1507" t="s">
        <v>8</v>
      </c>
      <c r="U40" s="1508">
        <f t="shared" si="13"/>
        <v>100</v>
      </c>
      <c r="V40" s="1507" t="s">
        <v>8</v>
      </c>
      <c r="W40" s="1508">
        <f t="shared" si="14"/>
        <v>100</v>
      </c>
      <c r="X40" s="1501"/>
      <c r="Y40" s="3548"/>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48"/>
      <c r="Q41" s="1506" t="str">
        <f t="shared" si="11"/>
        <v>层高</v>
      </c>
      <c r="R41" s="1507" t="s">
        <v>8</v>
      </c>
      <c r="S41" s="1508">
        <f t="shared" si="12"/>
        <v>100</v>
      </c>
      <c r="T41" s="1507" t="s">
        <v>8</v>
      </c>
      <c r="U41" s="1508">
        <f t="shared" si="13"/>
        <v>100</v>
      </c>
      <c r="V41" s="1507" t="s">
        <v>8</v>
      </c>
      <c r="W41" s="1508">
        <f t="shared" si="14"/>
        <v>100</v>
      </c>
      <c r="X41" s="1501"/>
      <c r="Y41" s="3548"/>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48"/>
      <c r="Q42" s="1535" t="str">
        <f t="shared" si="11"/>
        <v>单套建筑面积</v>
      </c>
      <c r="R42" s="1511" t="s">
        <v>8</v>
      </c>
      <c r="S42" s="1512">
        <f t="shared" si="12"/>
        <v>100</v>
      </c>
      <c r="T42" s="1511" t="s">
        <v>8</v>
      </c>
      <c r="U42" s="1512">
        <f t="shared" si="13"/>
        <v>100</v>
      </c>
      <c r="V42" s="1511" t="s">
        <v>8</v>
      </c>
      <c r="W42" s="1512">
        <f t="shared" si="14"/>
        <v>100</v>
      </c>
      <c r="X42" s="1513"/>
      <c r="Y42" s="3548"/>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48"/>
      <c r="Q43" s="1506" t="str">
        <f t="shared" si="11"/>
        <v>内部装修</v>
      </c>
      <c r="R43" s="1507" t="s">
        <v>8</v>
      </c>
      <c r="S43" s="1508">
        <f t="shared" si="12"/>
        <v>100</v>
      </c>
      <c r="T43" s="1507" t="s">
        <v>8</v>
      </c>
      <c r="U43" s="1508">
        <f t="shared" si="13"/>
        <v>100</v>
      </c>
      <c r="V43" s="1507" t="s">
        <v>8</v>
      </c>
      <c r="W43" s="1508">
        <f t="shared" si="14"/>
        <v>100</v>
      </c>
      <c r="X43" s="1501"/>
      <c r="Y43" s="3548"/>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48"/>
      <c r="Q44" s="1506" t="str">
        <f t="shared" si="11"/>
        <v>内部装修维护情况</v>
      </c>
      <c r="R44" s="1507" t="s">
        <v>8</v>
      </c>
      <c r="S44" s="1508">
        <f t="shared" si="12"/>
        <v>100</v>
      </c>
      <c r="T44" s="1507" t="s">
        <v>8</v>
      </c>
      <c r="U44" s="1508">
        <f t="shared" si="13"/>
        <v>100</v>
      </c>
      <c r="V44" s="1507" t="s">
        <v>8</v>
      </c>
      <c r="W44" s="1508">
        <f t="shared" si="14"/>
        <v>100</v>
      </c>
      <c r="X44" s="1501"/>
      <c r="Y44" s="3548"/>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48"/>
      <c r="Q45" s="1133">
        <f t="shared" si="11"/>
        <v>111</v>
      </c>
      <c r="R45" s="1502" t="s">
        <v>8</v>
      </c>
      <c r="S45" s="1503">
        <f t="shared" si="12"/>
        <v>100</v>
      </c>
      <c r="T45" s="1502" t="s">
        <v>8</v>
      </c>
      <c r="U45" s="1503">
        <f t="shared" si="13"/>
        <v>100</v>
      </c>
      <c r="V45" s="1502" t="s">
        <v>8</v>
      </c>
      <c r="W45" s="1503">
        <f t="shared" si="14"/>
        <v>100</v>
      </c>
      <c r="X45" s="1504"/>
      <c r="Y45" s="3548"/>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48"/>
      <c r="Q46" s="1506">
        <f t="shared" si="11"/>
        <v>111</v>
      </c>
      <c r="R46" s="1507" t="s">
        <v>8</v>
      </c>
      <c r="S46" s="1508">
        <f t="shared" si="12"/>
        <v>100</v>
      </c>
      <c r="T46" s="1507" t="s">
        <v>8</v>
      </c>
      <c r="U46" s="1508">
        <f t="shared" si="13"/>
        <v>100</v>
      </c>
      <c r="V46" s="1507" t="s">
        <v>8</v>
      </c>
      <c r="W46" s="1508">
        <f t="shared" si="14"/>
        <v>100</v>
      </c>
      <c r="X46" s="1501"/>
      <c r="Y46" s="3548"/>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51"/>
      <c r="Q47" s="1506">
        <f t="shared" si="11"/>
        <v>111</v>
      </c>
      <c r="R47" s="1507" t="s">
        <v>8</v>
      </c>
      <c r="S47" s="1508">
        <f t="shared" si="12"/>
        <v>100</v>
      </c>
      <c r="T47" s="1507" t="s">
        <v>8</v>
      </c>
      <c r="U47" s="1508">
        <f t="shared" si="13"/>
        <v>100</v>
      </c>
      <c r="V47" s="1507" t="s">
        <v>8</v>
      </c>
      <c r="W47" s="1508">
        <f t="shared" si="14"/>
        <v>100</v>
      </c>
      <c r="X47" s="1501"/>
      <c r="Y47" s="3651"/>
      <c r="Z47" s="1509">
        <f t="shared" si="15"/>
        <v>111</v>
      </c>
      <c r="AA47" s="1510">
        <f t="shared" si="3"/>
        <v>1</v>
      </c>
      <c r="AB47" s="1510">
        <f t="shared" si="4"/>
        <v>1</v>
      </c>
      <c r="AC47" s="1510">
        <f t="shared" si="5"/>
        <v>1</v>
      </c>
    </row>
    <row r="48" spans="1:29" ht="15">
      <c r="A48" s="601" t="s">
        <v>730</v>
      </c>
      <c r="B48" s="875"/>
      <c r="C48" s="2470" t="s">
        <v>1</v>
      </c>
      <c r="D48" s="2471"/>
      <c r="E48" s="2472"/>
      <c r="F48" s="2473"/>
      <c r="G48" s="2474"/>
      <c r="H48" s="2475"/>
      <c r="I48" s="2472"/>
      <c r="J48" s="2475"/>
      <c r="K48" s="1540"/>
      <c r="L48" s="2026"/>
      <c r="M48" s="2016"/>
      <c r="N48" s="2016"/>
      <c r="O48" s="2016"/>
      <c r="P48" s="3565" t="str">
        <f>A48</f>
        <v>成交单价（元/平方米）</v>
      </c>
      <c r="Q48" s="3543"/>
      <c r="R48" s="3650">
        <f>E48</f>
        <v>0</v>
      </c>
      <c r="S48" s="3650"/>
      <c r="T48" s="3650">
        <f>G48</f>
        <v>0</v>
      </c>
      <c r="U48" s="3650"/>
      <c r="V48" s="3650">
        <f>I48</f>
        <v>0</v>
      </c>
      <c r="W48" s="3650"/>
      <c r="X48" s="1496"/>
      <c r="Y48" s="1515"/>
      <c r="Z48" s="1496"/>
      <c r="AA48" s="1496"/>
      <c r="AB48" s="1496"/>
      <c r="AC48" s="1496"/>
    </row>
    <row r="49" spans="1:29" ht="15.75" thickBot="1">
      <c r="A49" s="609" t="s">
        <v>2739</v>
      </c>
      <c r="B49" s="876"/>
      <c r="C49" s="2476" t="e">
        <f>R50</f>
        <v>#DIV/0!</v>
      </c>
      <c r="D49" s="3014" t="s">
        <v>2965</v>
      </c>
      <c r="E49" s="2477" t="e">
        <f>R49</f>
        <v>#DIV/0!</v>
      </c>
      <c r="F49" s="3015"/>
      <c r="G49" s="2476" t="e">
        <f>T49</f>
        <v>#DIV/0!</v>
      </c>
      <c r="H49" s="3015"/>
      <c r="I49" s="2477" t="e">
        <f>V49</f>
        <v>#DIV/0!</v>
      </c>
      <c r="J49" s="3015"/>
      <c r="K49" s="3023">
        <f>F49+H49+J49</f>
        <v>0</v>
      </c>
      <c r="L49" s="2026"/>
      <c r="M49" s="2016"/>
      <c r="N49" s="2016"/>
      <c r="O49" s="2016"/>
      <c r="P49" s="3565" t="str">
        <f>A49</f>
        <v>比较价格（元/平方米）</v>
      </c>
      <c r="Q49" s="3543"/>
      <c r="R49" s="3650" t="e">
        <f>IF(F1="售价",ROUND(PRODUCT(R48,AA7:AA47),0),ROUND(PRODUCT(R48,AA7:AA47),1))</f>
        <v>#DIV/0!</v>
      </c>
      <c r="S49" s="3650"/>
      <c r="T49" s="3650" t="e">
        <f>IF(F1="售价",ROUND(PRODUCT(T48,AB7:AB47),0),ROUND(PRODUCT(T48,AB7:AB47),1))</f>
        <v>#DIV/0!</v>
      </c>
      <c r="U49" s="3650"/>
      <c r="V49" s="3650" t="e">
        <f>IF(F1="售价",ROUND(PRODUCT(V48,AC7:AC47),0),ROUND(PRODUCT(V48,AC7:AC47),1))</f>
        <v>#DIV/0!</v>
      </c>
      <c r="W49" s="3650"/>
      <c r="X49" s="1496"/>
      <c r="Y49" s="1496"/>
      <c r="Z49" s="1496"/>
      <c r="AA49" s="1496"/>
      <c r="AB49" s="1496"/>
      <c r="AC49" s="1496"/>
    </row>
    <row r="50" spans="1:29" ht="15.75" thickBot="1">
      <c r="A50" s="613" t="s">
        <v>2897</v>
      </c>
      <c r="B50" s="614"/>
      <c r="C50" s="2478" t="e">
        <f>R50</f>
        <v>#DIV/0!</v>
      </c>
      <c r="D50" s="2478"/>
      <c r="E50" s="2478"/>
      <c r="F50" s="2478"/>
      <c r="G50" s="2478"/>
      <c r="H50" s="2478"/>
      <c r="I50" s="2478"/>
      <c r="J50" s="2478"/>
      <c r="K50" s="1541"/>
      <c r="L50" s="2026"/>
      <c r="M50" s="2016"/>
      <c r="N50" s="2016"/>
      <c r="O50" s="2016"/>
      <c r="P50" s="3655" t="str">
        <f>A50</f>
        <v>估价对象XX用房的比较价格（楼面单价，元/平方米）</v>
      </c>
      <c r="Q50" s="3565"/>
      <c r="R50" s="3649" t="e">
        <f>IF(F1="售价",ROUND(IF(D49="简单平均",AVERAGE(R49:V49),R49*F49+T49*H49+V49*J49),0),ROUND(IF(D49="简单平均",AVERAGE(R49:V49),R49*F49+T49*H49+V49*J49),1))</f>
        <v>#DIV/0!</v>
      </c>
      <c r="S50" s="3649"/>
      <c r="T50" s="3649"/>
      <c r="U50" s="3649"/>
      <c r="V50" s="3649"/>
      <c r="W50" s="3649"/>
      <c r="X50" s="1496"/>
      <c r="Y50" s="1496"/>
      <c r="Z50" s="1496"/>
      <c r="AA50" s="1496"/>
      <c r="AB50" s="1496"/>
      <c r="AC50" s="1496"/>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523</v>
      </c>
      <c r="B59" s="638"/>
      <c r="C59" s="2519" t="str">
        <f>YEAR(C7)&amp;"-"&amp;MONTH(C7)</f>
        <v>2021-3</v>
      </c>
      <c r="D59" s="2521">
        <f>EDATE(C59,-1)</f>
        <v>44228</v>
      </c>
      <c r="E59" s="2521">
        <f t="shared" ref="E59:O59" si="16">EDATE(D59,-1)</f>
        <v>44197</v>
      </c>
      <c r="F59" s="2521">
        <f t="shared" si="16"/>
        <v>44166</v>
      </c>
      <c r="G59" s="2521">
        <f t="shared" si="16"/>
        <v>44136</v>
      </c>
      <c r="H59" s="2521">
        <f t="shared" si="16"/>
        <v>44105</v>
      </c>
      <c r="I59" s="2521">
        <f t="shared" si="16"/>
        <v>44075</v>
      </c>
      <c r="J59" s="2521">
        <f t="shared" si="16"/>
        <v>44044</v>
      </c>
      <c r="K59" s="2521">
        <f t="shared" si="16"/>
        <v>44013</v>
      </c>
      <c r="L59" s="2521">
        <f t="shared" si="16"/>
        <v>43983</v>
      </c>
      <c r="M59" s="2521">
        <f t="shared" si="16"/>
        <v>43952</v>
      </c>
      <c r="N59" s="2521">
        <f t="shared" si="16"/>
        <v>43922</v>
      </c>
      <c r="O59" s="2521">
        <f t="shared" si="16"/>
        <v>43891</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7">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2537</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2538</v>
      </c>
      <c r="C83" s="2442" t="s">
        <v>2539</v>
      </c>
      <c r="D83" s="2442" t="s">
        <v>2540</v>
      </c>
      <c r="E83" s="2442" t="s">
        <v>2541</v>
      </c>
      <c r="F83" s="2442" t="s">
        <v>2542</v>
      </c>
      <c r="G83" s="2442" t="s">
        <v>2543</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779</v>
      </c>
      <c r="C87" s="680"/>
      <c r="D87" s="680"/>
      <c r="E87" s="680"/>
      <c r="F87" s="680"/>
      <c r="G87" s="680"/>
      <c r="H87" s="680"/>
      <c r="I87" s="680"/>
      <c r="J87" s="680"/>
      <c r="K87" s="680"/>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c r="D89" s="680"/>
      <c r="E89" s="680"/>
      <c r="F89" s="880"/>
      <c r="G89" s="680"/>
      <c r="H89" s="680"/>
      <c r="I89" s="680"/>
      <c r="J89" s="680"/>
      <c r="K89" s="680"/>
      <c r="L89" s="680"/>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1"/>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2536</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5" t="s">
        <v>781</v>
      </c>
      <c r="C119" s="710"/>
      <c r="D119" s="710"/>
      <c r="E119" s="710"/>
      <c r="F119" s="710"/>
      <c r="G119" s="710"/>
      <c r="H119" s="710"/>
      <c r="I119" s="710"/>
      <c r="J119" s="710"/>
      <c r="K119" s="710"/>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54426.77平方米。根据《建设工程规划许可证》[]、《出让合同》[]，估价对象规划建筑面积为136066.92平方米。</v>
      </c>
    </row>
    <row r="7" spans="1:4" ht="93.75">
      <c r="A7" s="2590" t="s">
        <v>2727</v>
      </c>
    </row>
    <row r="8" spans="1:4" ht="18.75">
      <c r="A8" s="1709" t="s">
        <v>1896</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2021年3月3日</v>
      </c>
    </row>
    <row r="12" spans="1:4" ht="18.75">
      <c r="A12" s="1712" t="s">
        <v>2013</v>
      </c>
    </row>
    <row r="13" spans="1:4" ht="18.75">
      <c r="A13" s="1706" t="s">
        <v>2059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根据《国有土地使用证》[]，估价对象（分摊）出让国有建设用地使用权面积为54426.77平方米。根据《建设工程规划许可证》[]、《出让合同》[]，估价对象规划建筑面积为136066.92平方米。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2062</v>
      </c>
    </row>
    <row r="23" spans="1:1" ht="18.75">
      <c r="A23" s="2592" t="s">
        <v>2728</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2021年3月3日，在规划利用条件下、设定土地开发程度为红线外“七通”、宗地内场地，设定用途为，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89"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549" t="s">
        <v>516</v>
      </c>
      <c r="D4" s="3550"/>
      <c r="E4" s="3574" t="s">
        <v>517</v>
      </c>
      <c r="F4" s="3575"/>
      <c r="G4" s="3549" t="s">
        <v>518</v>
      </c>
      <c r="H4" s="3550"/>
      <c r="I4" s="3549" t="s">
        <v>519</v>
      </c>
      <c r="J4" s="3550"/>
      <c r="K4" s="508" t="s">
        <v>520</v>
      </c>
      <c r="L4" s="2015"/>
      <c r="M4" s="2016"/>
      <c r="N4" s="2016"/>
      <c r="O4" s="2016"/>
      <c r="P4" s="3551" t="s">
        <v>521</v>
      </c>
      <c r="Q4" s="3552"/>
      <c r="R4" s="3537" t="s">
        <v>517</v>
      </c>
      <c r="S4" s="3538"/>
      <c r="T4" s="3537" t="s">
        <v>518</v>
      </c>
      <c r="U4" s="3538"/>
      <c r="V4" s="3557" t="s">
        <v>519</v>
      </c>
      <c r="W4" s="3557"/>
      <c r="X4" s="1501"/>
      <c r="Y4" s="3537" t="s">
        <v>521</v>
      </c>
      <c r="Z4" s="3538"/>
      <c r="AA4" s="3532" t="s">
        <v>517</v>
      </c>
      <c r="AB4" s="3533" t="s">
        <v>518</v>
      </c>
      <c r="AC4" s="3532" t="s">
        <v>519</v>
      </c>
    </row>
    <row r="5" spans="1:29" ht="15">
      <c r="A5" s="509"/>
      <c r="B5" s="510"/>
      <c r="C5" s="3560" t="s">
        <v>2891</v>
      </c>
      <c r="D5" s="3561"/>
      <c r="E5" s="3576" t="s">
        <v>2892</v>
      </c>
      <c r="F5" s="3577"/>
      <c r="G5" s="3560" t="s">
        <v>2893</v>
      </c>
      <c r="H5" s="3561"/>
      <c r="I5" s="3560" t="s">
        <v>2894</v>
      </c>
      <c r="J5" s="3561"/>
      <c r="K5" s="508"/>
      <c r="L5" s="2015"/>
      <c r="M5" s="2016"/>
      <c r="N5" s="2016"/>
      <c r="O5" s="2016"/>
      <c r="P5" s="3553"/>
      <c r="Q5" s="3554"/>
      <c r="R5" s="3539"/>
      <c r="S5" s="3540"/>
      <c r="T5" s="3539"/>
      <c r="U5" s="3540"/>
      <c r="V5" s="3557"/>
      <c r="W5" s="3557"/>
      <c r="X5" s="1501"/>
      <c r="Y5" s="3539"/>
      <c r="Z5" s="3540"/>
      <c r="AA5" s="3533"/>
      <c r="AB5" s="3533"/>
      <c r="AC5" s="3533"/>
    </row>
    <row r="6" spans="1:29" ht="15.75" thickBot="1">
      <c r="A6" s="511"/>
      <c r="B6" s="512"/>
      <c r="C6" s="3558" t="s">
        <v>2895</v>
      </c>
      <c r="D6" s="3559"/>
      <c r="E6" s="3578" t="s">
        <v>2895</v>
      </c>
      <c r="F6" s="3579"/>
      <c r="G6" s="3558" t="s">
        <v>2895</v>
      </c>
      <c r="H6" s="3559"/>
      <c r="I6" s="3558" t="s">
        <v>2895</v>
      </c>
      <c r="J6" s="3559"/>
      <c r="K6" s="508" t="s">
        <v>522</v>
      </c>
      <c r="L6" s="2015"/>
      <c r="M6" s="2016"/>
      <c r="N6" s="2016"/>
      <c r="O6" s="2016"/>
      <c r="P6" s="3555"/>
      <c r="Q6" s="3556"/>
      <c r="R6" s="3539"/>
      <c r="S6" s="3540"/>
      <c r="T6" s="3541"/>
      <c r="U6" s="3542"/>
      <c r="V6" s="3557"/>
      <c r="W6" s="3557"/>
      <c r="X6" s="1501"/>
      <c r="Y6" s="3541"/>
      <c r="Z6" s="3542"/>
      <c r="AA6" s="3534"/>
      <c r="AB6" s="3534"/>
      <c r="AC6" s="3534"/>
    </row>
    <row r="7" spans="1:29" s="1202" customFormat="1" ht="15.75" thickBot="1">
      <c r="A7" s="2629"/>
      <c r="B7" s="2636" t="s">
        <v>523</v>
      </c>
      <c r="C7" s="513">
        <f>'数据-取费表'!B2</f>
        <v>44258</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35" t="s">
        <v>524</v>
      </c>
      <c r="Q7" s="3544"/>
      <c r="R7" s="1502" t="s">
        <v>8</v>
      </c>
      <c r="S7" s="1503">
        <f t="shared" ref="S7:S15" si="0">F7</f>
        <v>0</v>
      </c>
      <c r="T7" s="1502" t="s">
        <v>8</v>
      </c>
      <c r="U7" s="1503">
        <f t="shared" ref="U7:U15" si="1">H7</f>
        <v>0</v>
      </c>
      <c r="V7" s="1502" t="s">
        <v>8</v>
      </c>
      <c r="W7" s="1503">
        <f t="shared" ref="W7:W15" si="2">J7</f>
        <v>0</v>
      </c>
      <c r="X7" s="1504"/>
      <c r="Y7" s="3535" t="s">
        <v>524</v>
      </c>
      <c r="Z7" s="3536"/>
      <c r="AA7" s="1505" t="e">
        <f>D7/F7</f>
        <v>#DIV/0!</v>
      </c>
      <c r="AB7" s="1505" t="e">
        <f>D7/H7</f>
        <v>#DIV/0!</v>
      </c>
      <c r="AC7" s="1505" t="e">
        <f>D7/J7</f>
        <v>#DIV/0!</v>
      </c>
    </row>
    <row r="8" spans="1:29" s="1202"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35" t="s">
        <v>527</v>
      </c>
      <c r="Q8" s="3536"/>
      <c r="R8" s="1502" t="s">
        <v>8</v>
      </c>
      <c r="S8" s="1503">
        <f t="shared" si="0"/>
        <v>0</v>
      </c>
      <c r="T8" s="1502" t="s">
        <v>8</v>
      </c>
      <c r="U8" s="1503">
        <f t="shared" si="1"/>
        <v>0</v>
      </c>
      <c r="V8" s="1502" t="s">
        <v>8</v>
      </c>
      <c r="W8" s="1503">
        <f t="shared" si="2"/>
        <v>0</v>
      </c>
      <c r="X8" s="1504"/>
      <c r="Y8" s="3535" t="s">
        <v>527</v>
      </c>
      <c r="Z8" s="3536"/>
      <c r="AA8" s="1505" t="e">
        <f t="shared" ref="AA8:AA40" si="3">D8/F8</f>
        <v>#DIV/0!</v>
      </c>
      <c r="AB8" s="1505" t="e">
        <f t="shared" ref="AB8:AB40" si="4">D8/H8</f>
        <v>#DIV/0!</v>
      </c>
      <c r="AC8" s="1505" t="e">
        <f t="shared" ref="AC8:AC40" si="5">D8/J8</f>
        <v>#DIV/0!</v>
      </c>
    </row>
    <row r="9" spans="1:29" s="1202" customFormat="1" ht="15">
      <c r="A9" s="2631"/>
      <c r="B9" s="2638" t="s">
        <v>2735</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43" t="s">
        <v>529</v>
      </c>
      <c r="Q9" s="1133" t="str">
        <f t="shared" ref="Q9:Q15" si="6">B9</f>
        <v>用途</v>
      </c>
      <c r="R9" s="1502" t="s">
        <v>8</v>
      </c>
      <c r="S9" s="1503">
        <f t="shared" si="0"/>
        <v>100</v>
      </c>
      <c r="T9" s="1502" t="s">
        <v>8</v>
      </c>
      <c r="U9" s="1503">
        <f t="shared" si="1"/>
        <v>100</v>
      </c>
      <c r="V9" s="1502" t="s">
        <v>8</v>
      </c>
      <c r="W9" s="1503">
        <f t="shared" si="2"/>
        <v>100</v>
      </c>
      <c r="X9" s="1504"/>
      <c r="Y9" s="3494" t="s">
        <v>530</v>
      </c>
      <c r="Z9" s="1132" t="str">
        <f t="shared" ref="Z9:Z15" si="7">Q9</f>
        <v>用途</v>
      </c>
      <c r="AA9" s="1505">
        <f t="shared" si="3"/>
        <v>1</v>
      </c>
      <c r="AB9" s="1505">
        <f t="shared" si="4"/>
        <v>1</v>
      </c>
      <c r="AC9" s="1505">
        <f t="shared" si="5"/>
        <v>1</v>
      </c>
    </row>
    <row r="10" spans="1:29" s="1291" customFormat="1" ht="27">
      <c r="A10" s="2632"/>
      <c r="B10" s="2637" t="s">
        <v>2736</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43"/>
      <c r="Q10" s="1133" t="str">
        <f t="shared" si="6"/>
        <v>土地使用年限（年）</v>
      </c>
      <c r="R10" s="1502" t="s">
        <v>8</v>
      </c>
      <c r="S10" s="1503">
        <f t="shared" si="0"/>
        <v>100</v>
      </c>
      <c r="T10" s="1502" t="s">
        <v>8</v>
      </c>
      <c r="U10" s="1503">
        <f t="shared" si="1"/>
        <v>100</v>
      </c>
      <c r="V10" s="1502" t="s">
        <v>8</v>
      </c>
      <c r="W10" s="1503">
        <f t="shared" si="2"/>
        <v>100</v>
      </c>
      <c r="X10" s="1504"/>
      <c r="Y10" s="3494"/>
      <c r="Z10" s="1132"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43"/>
      <c r="Q11" s="1133" t="str">
        <f t="shared" si="6"/>
        <v>容积率</v>
      </c>
      <c r="R11" s="1502" t="s">
        <v>8</v>
      </c>
      <c r="S11" s="1503" t="e">
        <f t="shared" si="0"/>
        <v>#N/A</v>
      </c>
      <c r="T11" s="1502" t="s">
        <v>8</v>
      </c>
      <c r="U11" s="1503" t="e">
        <f t="shared" si="1"/>
        <v>#N/A</v>
      </c>
      <c r="V11" s="1502" t="s">
        <v>8</v>
      </c>
      <c r="W11" s="1503" t="e">
        <f t="shared" si="2"/>
        <v>#N/A</v>
      </c>
      <c r="X11" s="1504"/>
      <c r="Y11" s="3494"/>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SUMIF(64:64,E12,65:65)-SUMIF(64:64,C12,65:65)+100</f>
        <v>100</v>
      </c>
      <c r="G12" s="908"/>
      <c r="H12" s="253">
        <f>SUMIF(64:64,G12,65:65)-SUMIF(64:64,C12,65:65)+100</f>
        <v>100</v>
      </c>
      <c r="I12" s="868"/>
      <c r="J12" s="253">
        <f>SUMIF(64:64,I12,65:65)-SUMIF(64:64,C12,65:65)+100</f>
        <v>100</v>
      </c>
      <c r="K12" s="575"/>
      <c r="L12" s="2017"/>
      <c r="M12" s="2018"/>
      <c r="N12" s="2018"/>
      <c r="O12" s="2019"/>
      <c r="P12" s="3543"/>
      <c r="Q12" s="1133">
        <f t="shared" si="6"/>
        <v>111</v>
      </c>
      <c r="R12" s="1502" t="s">
        <v>8</v>
      </c>
      <c r="S12" s="1503">
        <f t="shared" si="0"/>
        <v>100</v>
      </c>
      <c r="T12" s="1502" t="s">
        <v>8</v>
      </c>
      <c r="U12" s="1503">
        <f t="shared" si="1"/>
        <v>100</v>
      </c>
      <c r="V12" s="1502" t="s">
        <v>8</v>
      </c>
      <c r="W12" s="1503">
        <f t="shared" si="2"/>
        <v>100</v>
      </c>
      <c r="X12" s="1504"/>
      <c r="Y12" s="3494"/>
      <c r="Z12" s="1132">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8"/>
      <c r="H13" s="534">
        <f>SUMIF(66:66,G13,67:67)-SUMIF(66:66,C13,67:67)+100</f>
        <v>100</v>
      </c>
      <c r="I13" s="868"/>
      <c r="J13" s="534">
        <f>SUMIF(66:66,I13,67:67)-SUMIF(66:66,C13,67:67)+100</f>
        <v>100</v>
      </c>
      <c r="K13" s="575"/>
      <c r="L13" s="2024"/>
      <c r="M13" s="2016"/>
      <c r="N13" s="2016"/>
      <c r="O13" s="2023"/>
      <c r="P13" s="3543"/>
      <c r="Q13" s="1133">
        <f t="shared" si="6"/>
        <v>111</v>
      </c>
      <c r="R13" s="1502" t="s">
        <v>8</v>
      </c>
      <c r="S13" s="1503">
        <f t="shared" si="0"/>
        <v>100</v>
      </c>
      <c r="T13" s="1502" t="s">
        <v>8</v>
      </c>
      <c r="U13" s="1503">
        <f t="shared" si="1"/>
        <v>100</v>
      </c>
      <c r="V13" s="1502" t="s">
        <v>8</v>
      </c>
      <c r="W13" s="1503">
        <f t="shared" si="2"/>
        <v>100</v>
      </c>
      <c r="X13" s="1504"/>
      <c r="Y13" s="3494"/>
      <c r="Z13" s="1132">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8"/>
      <c r="H14" s="540">
        <f>SUMIF(68:68,G14,69:69)-SUMIF(68:68,C14,69:69)+100</f>
        <v>100</v>
      </c>
      <c r="I14" s="868"/>
      <c r="J14" s="540">
        <f>SUMIF(68:68,I14,69:69)-SUMIF(68:68,C14,69:69)+100</f>
        <v>100</v>
      </c>
      <c r="K14" s="575"/>
      <c r="L14" s="2024"/>
      <c r="M14" s="2016"/>
      <c r="N14" s="2016"/>
      <c r="O14" s="2023"/>
      <c r="P14" s="3543"/>
      <c r="Q14" s="1133">
        <f t="shared" si="6"/>
        <v>111</v>
      </c>
      <c r="R14" s="1502" t="s">
        <v>8</v>
      </c>
      <c r="S14" s="1503">
        <f t="shared" si="0"/>
        <v>100</v>
      </c>
      <c r="T14" s="1502" t="s">
        <v>8</v>
      </c>
      <c r="U14" s="1503">
        <f t="shared" si="1"/>
        <v>100</v>
      </c>
      <c r="V14" s="1502" t="s">
        <v>8</v>
      </c>
      <c r="W14" s="1503">
        <f t="shared" si="2"/>
        <v>100</v>
      </c>
      <c r="X14" s="1504"/>
      <c r="Y14" s="3494"/>
      <c r="Z14" s="1132">
        <f t="shared" si="7"/>
        <v>111</v>
      </c>
      <c r="AA14" s="1505">
        <f t="shared" si="3"/>
        <v>1</v>
      </c>
      <c r="AB14" s="1505">
        <f t="shared" si="4"/>
        <v>1</v>
      </c>
      <c r="AC14" s="1505">
        <f t="shared" si="5"/>
        <v>1</v>
      </c>
    </row>
    <row r="15" spans="1:29" ht="57">
      <c r="A15" s="2627" t="s">
        <v>2733</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4"/>
      <c r="M15" s="2016"/>
      <c r="N15" s="2016"/>
      <c r="O15" s="2023"/>
      <c r="P15" s="3545" t="s">
        <v>534</v>
      </c>
      <c r="Q15" s="1506" t="str">
        <f t="shared" si="6"/>
        <v>产业集聚程度</v>
      </c>
      <c r="R15" s="1507" t="s">
        <v>8</v>
      </c>
      <c r="S15" s="1508">
        <f t="shared" si="0"/>
        <v>100</v>
      </c>
      <c r="T15" s="1507" t="s">
        <v>8</v>
      </c>
      <c r="U15" s="1508">
        <f t="shared" si="1"/>
        <v>100</v>
      </c>
      <c r="V15" s="1507" t="s">
        <v>8</v>
      </c>
      <c r="W15" s="1508">
        <f t="shared" si="2"/>
        <v>100</v>
      </c>
      <c r="X15" s="1501"/>
      <c r="Y15" s="3545"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46"/>
      <c r="Q16" s="1506"/>
      <c r="R16" s="1507"/>
      <c r="S16" s="1508"/>
      <c r="T16" s="1507"/>
      <c r="U16" s="1508"/>
      <c r="V16" s="1507"/>
      <c r="W16" s="1508"/>
      <c r="X16" s="1501"/>
      <c r="Y16" s="3546"/>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4"/>
      <c r="M17" s="2016"/>
      <c r="N17" s="2016"/>
      <c r="O17" s="2023"/>
      <c r="P17" s="3546"/>
      <c r="Q17" s="1506" t="str">
        <f>B17</f>
        <v>交通便捷度</v>
      </c>
      <c r="R17" s="1507" t="s">
        <v>8</v>
      </c>
      <c r="S17" s="1508">
        <f>F17</f>
        <v>100</v>
      </c>
      <c r="T17" s="1507" t="s">
        <v>8</v>
      </c>
      <c r="U17" s="1508">
        <f>H17</f>
        <v>100</v>
      </c>
      <c r="V17" s="1507" t="s">
        <v>8</v>
      </c>
      <c r="W17" s="1508">
        <f>J17</f>
        <v>100</v>
      </c>
      <c r="X17" s="1501"/>
      <c r="Y17" s="3546"/>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46"/>
      <c r="Q18" s="1506"/>
      <c r="R18" s="1507"/>
      <c r="S18" s="1508"/>
      <c r="T18" s="1507"/>
      <c r="U18" s="1508"/>
      <c r="V18" s="1507"/>
      <c r="W18" s="1508"/>
      <c r="X18" s="1501"/>
      <c r="Y18" s="3546"/>
      <c r="Z18" s="1509"/>
      <c r="AA18" s="1510">
        <v>1</v>
      </c>
      <c r="AB18" s="1510">
        <v>1</v>
      </c>
      <c r="AC18" s="1510">
        <v>1</v>
      </c>
    </row>
    <row r="19" spans="1:29" ht="42.75">
      <c r="A19" s="526"/>
      <c r="B19" s="2447" t="s">
        <v>2526</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4"/>
      <c r="M19" s="2016"/>
      <c r="N19" s="2016"/>
      <c r="O19" s="2023"/>
      <c r="P19" s="3546"/>
      <c r="Q19" s="1506" t="str">
        <f>B19</f>
        <v>公共配套设施</v>
      </c>
      <c r="R19" s="1507" t="s">
        <v>8</v>
      </c>
      <c r="S19" s="1508">
        <f>F19</f>
        <v>100</v>
      </c>
      <c r="T19" s="1507" t="s">
        <v>8</v>
      </c>
      <c r="U19" s="1508">
        <f>H19</f>
        <v>100</v>
      </c>
      <c r="V19" s="1507" t="s">
        <v>8</v>
      </c>
      <c r="W19" s="1508">
        <f>J19</f>
        <v>100</v>
      </c>
      <c r="X19" s="1501"/>
      <c r="Y19" s="3546"/>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4"/>
      <c r="M20" s="2016"/>
      <c r="N20" s="2016"/>
      <c r="O20" s="2023"/>
      <c r="P20" s="3546"/>
      <c r="Q20" s="1506"/>
      <c r="R20" s="1507"/>
      <c r="S20" s="1508"/>
      <c r="T20" s="1507"/>
      <c r="U20" s="1508"/>
      <c r="V20" s="1507"/>
      <c r="W20" s="1508"/>
      <c r="X20" s="1501"/>
      <c r="Y20" s="3546"/>
      <c r="Z20" s="1509"/>
      <c r="AA20" s="1510">
        <v>1</v>
      </c>
      <c r="AB20" s="1510">
        <v>1</v>
      </c>
      <c r="AC20" s="1510">
        <v>1</v>
      </c>
    </row>
    <row r="21" spans="1:29" ht="28.5">
      <c r="A21" s="526"/>
      <c r="B21" s="2435" t="s">
        <v>2538</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4"/>
      <c r="M21" s="2016"/>
      <c r="N21" s="2016"/>
      <c r="O21" s="2023"/>
      <c r="P21" s="3546"/>
      <c r="Q21" s="2429" t="str">
        <f>B21</f>
        <v>基础设施水平</v>
      </c>
      <c r="R21" s="1507" t="s">
        <v>8</v>
      </c>
      <c r="S21" s="1508">
        <f>F21</f>
        <v>100</v>
      </c>
      <c r="T21" s="1507" t="s">
        <v>8</v>
      </c>
      <c r="U21" s="1508">
        <f>H21</f>
        <v>100</v>
      </c>
      <c r="V21" s="1507" t="s">
        <v>8</v>
      </c>
      <c r="W21" s="1508">
        <f>J21</f>
        <v>100</v>
      </c>
      <c r="X21" s="2431"/>
      <c r="Y21" s="3546"/>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546"/>
      <c r="Q22" s="2429"/>
      <c r="R22" s="1507"/>
      <c r="S22" s="1508"/>
      <c r="T22" s="1507"/>
      <c r="U22" s="1508"/>
      <c r="V22" s="1507"/>
      <c r="W22" s="1508"/>
      <c r="X22" s="2431"/>
      <c r="Y22" s="3546"/>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4"/>
      <c r="M23" s="2016"/>
      <c r="N23" s="2016"/>
      <c r="O23" s="2023"/>
      <c r="P23" s="3546"/>
      <c r="Q23" s="1506" t="str">
        <f>B23</f>
        <v>环境质量</v>
      </c>
      <c r="R23" s="1507" t="s">
        <v>8</v>
      </c>
      <c r="S23" s="1508">
        <f>F23</f>
        <v>100</v>
      </c>
      <c r="T23" s="1507" t="s">
        <v>8</v>
      </c>
      <c r="U23" s="1508">
        <f>H23</f>
        <v>100</v>
      </c>
      <c r="V23" s="1507" t="s">
        <v>8</v>
      </c>
      <c r="W23" s="1508">
        <f>J23</f>
        <v>100</v>
      </c>
      <c r="X23" s="1501"/>
      <c r="Y23" s="3546"/>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4"/>
      <c r="M24" s="2016"/>
      <c r="N24" s="2016"/>
      <c r="O24" s="2023"/>
      <c r="P24" s="3546"/>
      <c r="Q24" s="1506"/>
      <c r="R24" s="1507"/>
      <c r="S24" s="1508"/>
      <c r="T24" s="1507"/>
      <c r="U24" s="1508"/>
      <c r="V24" s="1507"/>
      <c r="W24" s="1508"/>
      <c r="X24" s="1501"/>
      <c r="Y24" s="3546"/>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46"/>
      <c r="Q25" s="1506">
        <f>B25</f>
        <v>111</v>
      </c>
      <c r="R25" s="1507" t="s">
        <v>8</v>
      </c>
      <c r="S25" s="1508">
        <f>F25</f>
        <v>100</v>
      </c>
      <c r="T25" s="1507" t="s">
        <v>8</v>
      </c>
      <c r="U25" s="1508">
        <f>H25</f>
        <v>100</v>
      </c>
      <c r="V25" s="1507" t="s">
        <v>8</v>
      </c>
      <c r="W25" s="1508">
        <f>J25</f>
        <v>100</v>
      </c>
      <c r="X25" s="1501"/>
      <c r="Y25" s="3546"/>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46"/>
      <c r="Q26" s="1506">
        <f t="shared" ref="Q26:Q40" si="11">B26</f>
        <v>111</v>
      </c>
      <c r="R26" s="1507" t="s">
        <v>8</v>
      </c>
      <c r="S26" s="1508">
        <f>F26</f>
        <v>100</v>
      </c>
      <c r="T26" s="1507" t="s">
        <v>8</v>
      </c>
      <c r="U26" s="1508">
        <f>H26</f>
        <v>100</v>
      </c>
      <c r="V26" s="1507" t="s">
        <v>8</v>
      </c>
      <c r="W26" s="1508">
        <f>J26</f>
        <v>100</v>
      </c>
      <c r="X26" s="1501"/>
      <c r="Y26" s="3546"/>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46"/>
      <c r="Q27" s="1133">
        <f t="shared" si="11"/>
        <v>111</v>
      </c>
      <c r="R27" s="1502" t="s">
        <v>8</v>
      </c>
      <c r="S27" s="1503">
        <f>F27</f>
        <v>100</v>
      </c>
      <c r="T27" s="1502" t="s">
        <v>8</v>
      </c>
      <c r="U27" s="1503">
        <f>H27</f>
        <v>100</v>
      </c>
      <c r="V27" s="1502" t="s">
        <v>8</v>
      </c>
      <c r="W27" s="1503">
        <f>J27</f>
        <v>100</v>
      </c>
      <c r="X27" s="1504"/>
      <c r="Y27" s="3546"/>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4"/>
      <c r="M28" s="2016"/>
      <c r="N28" s="2016"/>
      <c r="O28" s="2023"/>
      <c r="P28" s="3546"/>
      <c r="Q28" s="1506">
        <f t="shared" si="11"/>
        <v>111</v>
      </c>
      <c r="R28" s="1507" t="s">
        <v>8</v>
      </c>
      <c r="S28" s="1508">
        <f t="shared" ref="S28:S40" si="12">F28</f>
        <v>100</v>
      </c>
      <c r="T28" s="1507" t="s">
        <v>8</v>
      </c>
      <c r="U28" s="1508">
        <f t="shared" ref="U28:U40" si="13">H28</f>
        <v>100</v>
      </c>
      <c r="V28" s="1507" t="s">
        <v>8</v>
      </c>
      <c r="W28" s="1508">
        <f t="shared" ref="W28:W40" si="14">J28</f>
        <v>100</v>
      </c>
      <c r="X28" s="1501"/>
      <c r="Y28" s="3546"/>
      <c r="Z28" s="1509">
        <f t="shared" ref="Z28:Z40" si="15">Q28</f>
        <v>111</v>
      </c>
      <c r="AA28" s="1510">
        <f t="shared" si="3"/>
        <v>1</v>
      </c>
      <c r="AB28" s="1510">
        <f t="shared" si="4"/>
        <v>1</v>
      </c>
      <c r="AC28" s="1510">
        <f t="shared" si="5"/>
        <v>1</v>
      </c>
    </row>
    <row r="29" spans="1:29" ht="15">
      <c r="A29" s="2624" t="s">
        <v>2734</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4"/>
      <c r="M29" s="2016"/>
      <c r="N29" s="2016"/>
      <c r="O29" s="2023"/>
      <c r="P29" s="3547" t="s">
        <v>544</v>
      </c>
      <c r="Q29" s="1506" t="str">
        <f t="shared" si="11"/>
        <v>建筑类型</v>
      </c>
      <c r="R29" s="1507" t="s">
        <v>8</v>
      </c>
      <c r="S29" s="1508">
        <f t="shared" si="12"/>
        <v>100</v>
      </c>
      <c r="T29" s="1507" t="s">
        <v>8</v>
      </c>
      <c r="U29" s="1508">
        <f t="shared" si="13"/>
        <v>100</v>
      </c>
      <c r="V29" s="1507" t="s">
        <v>8</v>
      </c>
      <c r="W29" s="1508">
        <f t="shared" si="14"/>
        <v>100</v>
      </c>
      <c r="X29" s="1501"/>
      <c r="Y29" s="3548"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48"/>
      <c r="Q30" s="1535" t="str">
        <f t="shared" si="11"/>
        <v>项目建筑规模</v>
      </c>
      <c r="R30" s="1511" t="s">
        <v>8</v>
      </c>
      <c r="S30" s="1512" t="e">
        <f t="shared" si="12"/>
        <v>#N/A</v>
      </c>
      <c r="T30" s="1511" t="s">
        <v>8</v>
      </c>
      <c r="U30" s="1512" t="e">
        <f t="shared" si="13"/>
        <v>#N/A</v>
      </c>
      <c r="V30" s="1511" t="s">
        <v>8</v>
      </c>
      <c r="W30" s="1512" t="e">
        <f t="shared" si="14"/>
        <v>#N/A</v>
      </c>
      <c r="X30" s="1513"/>
      <c r="Y30" s="3548"/>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48"/>
      <c r="Q31" s="1506" t="str">
        <f t="shared" si="11"/>
        <v>建筑结构</v>
      </c>
      <c r="R31" s="1507" t="s">
        <v>8</v>
      </c>
      <c r="S31" s="1508">
        <f t="shared" si="12"/>
        <v>100</v>
      </c>
      <c r="T31" s="1507" t="s">
        <v>8</v>
      </c>
      <c r="U31" s="1508">
        <f t="shared" si="13"/>
        <v>100</v>
      </c>
      <c r="V31" s="1507" t="s">
        <v>8</v>
      </c>
      <c r="W31" s="1508">
        <f t="shared" si="14"/>
        <v>100</v>
      </c>
      <c r="X31" s="1501"/>
      <c r="Y31" s="3548"/>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48"/>
      <c r="Q32" s="1506" t="str">
        <f t="shared" si="11"/>
        <v>公共部分装修</v>
      </c>
      <c r="R32" s="1507" t="s">
        <v>8</v>
      </c>
      <c r="S32" s="1508">
        <f t="shared" si="12"/>
        <v>100</v>
      </c>
      <c r="T32" s="1507" t="s">
        <v>8</v>
      </c>
      <c r="U32" s="1508">
        <f t="shared" si="13"/>
        <v>100</v>
      </c>
      <c r="V32" s="1507" t="s">
        <v>8</v>
      </c>
      <c r="W32" s="1508">
        <f t="shared" si="14"/>
        <v>100</v>
      </c>
      <c r="X32" s="1501"/>
      <c r="Y32" s="3548"/>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4"/>
      <c r="M33" s="2016"/>
      <c r="N33" s="2016"/>
      <c r="O33" s="2023"/>
      <c r="P33" s="3548"/>
      <c r="Q33" s="1506" t="str">
        <f t="shared" si="11"/>
        <v>成新度</v>
      </c>
      <c r="R33" s="1507" t="s">
        <v>8</v>
      </c>
      <c r="S33" s="1508" t="e">
        <f t="shared" si="12"/>
        <v>#N/A</v>
      </c>
      <c r="T33" s="1507" t="s">
        <v>8</v>
      </c>
      <c r="U33" s="1508" t="e">
        <f t="shared" si="13"/>
        <v>#N/A</v>
      </c>
      <c r="V33" s="1507" t="s">
        <v>8</v>
      </c>
      <c r="W33" s="1508" t="e">
        <f t="shared" si="14"/>
        <v>#N/A</v>
      </c>
      <c r="X33" s="1501"/>
      <c r="Y33" s="3548"/>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48"/>
      <c r="Q34" s="1133" t="str">
        <f t="shared" si="11"/>
        <v>物业管理</v>
      </c>
      <c r="R34" s="1502" t="s">
        <v>8</v>
      </c>
      <c r="S34" s="1503">
        <f t="shared" si="12"/>
        <v>100</v>
      </c>
      <c r="T34" s="1502" t="s">
        <v>8</v>
      </c>
      <c r="U34" s="1503">
        <f t="shared" si="13"/>
        <v>100</v>
      </c>
      <c r="V34" s="1502" t="s">
        <v>8</v>
      </c>
      <c r="W34" s="1503">
        <f t="shared" si="14"/>
        <v>100</v>
      </c>
      <c r="X34" s="1504"/>
      <c r="Y34" s="3548"/>
      <c r="Z34" s="1132" t="str">
        <f t="shared" si="15"/>
        <v>物业管理</v>
      </c>
      <c r="AA34" s="1505">
        <f t="shared" si="3"/>
        <v>1</v>
      </c>
      <c r="AB34" s="1505">
        <f t="shared" si="4"/>
        <v>1</v>
      </c>
      <c r="AC34" s="1505">
        <f t="shared" si="5"/>
        <v>1</v>
      </c>
    </row>
    <row r="35" spans="1:29" ht="15">
      <c r="A35" s="588"/>
      <c r="B35" s="1809" t="s">
        <v>2545</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48" t="s">
        <v>544</v>
      </c>
      <c r="Q35" s="1506" t="str">
        <f t="shared" si="11"/>
        <v>市政基础设施</v>
      </c>
      <c r="R35" s="1507" t="s">
        <v>8</v>
      </c>
      <c r="S35" s="1508">
        <f t="shared" si="12"/>
        <v>100</v>
      </c>
      <c r="T35" s="1507" t="s">
        <v>8</v>
      </c>
      <c r="U35" s="1508">
        <f t="shared" si="13"/>
        <v>100</v>
      </c>
      <c r="V35" s="1507" t="s">
        <v>8</v>
      </c>
      <c r="W35" s="1508">
        <f t="shared" si="14"/>
        <v>100</v>
      </c>
      <c r="X35" s="1501"/>
      <c r="Y35" s="3548"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48"/>
      <c r="Q36" s="1506" t="str">
        <f t="shared" si="11"/>
        <v>内部装修</v>
      </c>
      <c r="R36" s="1507" t="s">
        <v>8</v>
      </c>
      <c r="S36" s="1508">
        <f t="shared" si="12"/>
        <v>100</v>
      </c>
      <c r="T36" s="1507" t="s">
        <v>8</v>
      </c>
      <c r="U36" s="1508">
        <f t="shared" si="13"/>
        <v>100</v>
      </c>
      <c r="V36" s="1507" t="s">
        <v>8</v>
      </c>
      <c r="W36" s="1508">
        <f t="shared" si="14"/>
        <v>100</v>
      </c>
      <c r="X36" s="1501"/>
      <c r="Y36" s="3548"/>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48"/>
      <c r="Q37" s="1506" t="str">
        <f t="shared" si="11"/>
        <v>内部装修状况</v>
      </c>
      <c r="R37" s="1507" t="s">
        <v>8</v>
      </c>
      <c r="S37" s="1508">
        <f t="shared" si="12"/>
        <v>100</v>
      </c>
      <c r="T37" s="1507" t="s">
        <v>8</v>
      </c>
      <c r="U37" s="1508">
        <f t="shared" si="13"/>
        <v>100</v>
      </c>
      <c r="V37" s="1507" t="s">
        <v>8</v>
      </c>
      <c r="W37" s="1508">
        <f t="shared" si="14"/>
        <v>100</v>
      </c>
      <c r="X37" s="1501"/>
      <c r="Y37" s="3548"/>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2"/>
      <c r="M38" s="2052"/>
      <c r="N38" s="2052"/>
      <c r="O38" s="2025"/>
      <c r="P38" s="3548"/>
      <c r="Q38" s="1535">
        <f t="shared" si="11"/>
        <v>111</v>
      </c>
      <c r="R38" s="1511" t="s">
        <v>8</v>
      </c>
      <c r="S38" s="1512">
        <f t="shared" si="12"/>
        <v>100</v>
      </c>
      <c r="T38" s="1511" t="s">
        <v>8</v>
      </c>
      <c r="U38" s="1512">
        <f t="shared" si="13"/>
        <v>100</v>
      </c>
      <c r="V38" s="1511" t="s">
        <v>8</v>
      </c>
      <c r="W38" s="1512">
        <f t="shared" si="14"/>
        <v>100</v>
      </c>
      <c r="X38" s="1513"/>
      <c r="Y38" s="3548"/>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4"/>
      <c r="M39" s="2016"/>
      <c r="N39" s="2016"/>
      <c r="O39" s="2023"/>
      <c r="P39" s="3548"/>
      <c r="Q39" s="1506">
        <f t="shared" si="11"/>
        <v>111</v>
      </c>
      <c r="R39" s="1507" t="s">
        <v>8</v>
      </c>
      <c r="S39" s="1508">
        <f t="shared" si="12"/>
        <v>100</v>
      </c>
      <c r="T39" s="1507" t="s">
        <v>8</v>
      </c>
      <c r="U39" s="1508">
        <f t="shared" si="13"/>
        <v>100</v>
      </c>
      <c r="V39" s="1507" t="s">
        <v>8</v>
      </c>
      <c r="W39" s="1508">
        <f t="shared" si="14"/>
        <v>100</v>
      </c>
      <c r="X39" s="1501"/>
      <c r="Y39" s="3548"/>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4"/>
      <c r="M40" s="2016"/>
      <c r="N40" s="2016"/>
      <c r="O40" s="2023"/>
      <c r="P40" s="3651"/>
      <c r="Q40" s="1506">
        <f t="shared" si="11"/>
        <v>111</v>
      </c>
      <c r="R40" s="1507" t="s">
        <v>8</v>
      </c>
      <c r="S40" s="1508">
        <f t="shared" si="12"/>
        <v>100</v>
      </c>
      <c r="T40" s="1507" t="s">
        <v>8</v>
      </c>
      <c r="U40" s="1508">
        <f t="shared" si="13"/>
        <v>100</v>
      </c>
      <c r="V40" s="1507" t="s">
        <v>8</v>
      </c>
      <c r="W40" s="1508">
        <f t="shared" si="14"/>
        <v>100</v>
      </c>
      <c r="X40" s="1501"/>
      <c r="Y40" s="3651"/>
      <c r="Z40" s="1509">
        <f t="shared" si="15"/>
        <v>111</v>
      </c>
      <c r="AA40" s="1510">
        <f t="shared" si="3"/>
        <v>1</v>
      </c>
      <c r="AB40" s="1510">
        <f t="shared" si="4"/>
        <v>1</v>
      </c>
      <c r="AC40" s="1510">
        <f t="shared" si="5"/>
        <v>1</v>
      </c>
    </row>
    <row r="41" spans="1:29" ht="15">
      <c r="A41" s="601" t="s">
        <v>730</v>
      </c>
      <c r="B41" s="875"/>
      <c r="C41" s="2470" t="s">
        <v>1</v>
      </c>
      <c r="D41" s="2471"/>
      <c r="E41" s="2472"/>
      <c r="F41" s="2473"/>
      <c r="G41" s="2474"/>
      <c r="H41" s="2475"/>
      <c r="I41" s="2472"/>
      <c r="J41" s="2475"/>
      <c r="K41" s="1540"/>
      <c r="L41" s="2026"/>
      <c r="M41" s="2027"/>
      <c r="N41" s="2016"/>
      <c r="O41" s="2027"/>
      <c r="P41" s="3543" t="str">
        <f>A41</f>
        <v>成交单价（元/平方米）</v>
      </c>
      <c r="Q41" s="3543"/>
      <c r="R41" s="3650">
        <f>E41</f>
        <v>0</v>
      </c>
      <c r="S41" s="3650"/>
      <c r="T41" s="3650">
        <f>G41</f>
        <v>0</v>
      </c>
      <c r="U41" s="3650"/>
      <c r="V41" s="3650">
        <f>I41</f>
        <v>0</v>
      </c>
      <c r="W41" s="3650"/>
      <c r="X41" s="1496"/>
      <c r="Y41" s="1515"/>
      <c r="Z41" s="1496"/>
      <c r="AA41" s="1496"/>
      <c r="AB41" s="1496"/>
      <c r="AC41" s="1496"/>
    </row>
    <row r="42" spans="1:29" ht="15.75" thickBot="1">
      <c r="A42" s="609" t="s">
        <v>2739</v>
      </c>
      <c r="B42" s="876"/>
      <c r="C42" s="2476" t="e">
        <f>R43</f>
        <v>#DIV/0!</v>
      </c>
      <c r="D42" s="3014" t="s">
        <v>2965</v>
      </c>
      <c r="E42" s="2477" t="e">
        <f>R42</f>
        <v>#DIV/0!</v>
      </c>
      <c r="F42" s="3015"/>
      <c r="G42" s="2476" t="e">
        <f>T42</f>
        <v>#DIV/0!</v>
      </c>
      <c r="H42" s="3015"/>
      <c r="I42" s="2477" t="e">
        <f>V42</f>
        <v>#DIV/0!</v>
      </c>
      <c r="J42" s="3015"/>
      <c r="K42" s="3023">
        <f>F42+H42+J42</f>
        <v>0</v>
      </c>
      <c r="L42" s="2026"/>
      <c r="M42" s="2027"/>
      <c r="N42" s="2016"/>
      <c r="O42" s="2027"/>
      <c r="P42" s="3543" t="str">
        <f>A42</f>
        <v>比较价格（元/平方米）</v>
      </c>
      <c r="Q42" s="3543"/>
      <c r="R42" s="3650" t="e">
        <f>IF(F1="售价",ROUND(PRODUCT(R41,AA7:AA40),0),ROUND(PRODUCT(R41,AA7:AA40),1))</f>
        <v>#DIV/0!</v>
      </c>
      <c r="S42" s="3650"/>
      <c r="T42" s="3650" t="e">
        <f>IF(F1="售价",ROUND(PRODUCT(T41,AB7:AB40),0),ROUND(PRODUCT(T41,AB7:AB40),1))</f>
        <v>#DIV/0!</v>
      </c>
      <c r="U42" s="3650"/>
      <c r="V42" s="3650" t="e">
        <f>IF(F1="售价",ROUND(PRODUCT(V41,AC7:AC40),0),ROUND(PRODUCT(V41,AC7:AC40),1))</f>
        <v>#DIV/0!</v>
      </c>
      <c r="W42" s="3650"/>
      <c r="X42" s="1496"/>
      <c r="Y42" s="1496"/>
      <c r="Z42" s="1496"/>
      <c r="AA42" s="1496"/>
      <c r="AB42" s="1496"/>
      <c r="AC42" s="1496"/>
    </row>
    <row r="43" spans="1:29" ht="15.75" thickBot="1">
      <c r="A43" s="613" t="s">
        <v>2897</v>
      </c>
      <c r="B43" s="614"/>
      <c r="C43" s="2478" t="e">
        <f>R43</f>
        <v>#DIV/0!</v>
      </c>
      <c r="D43" s="2478"/>
      <c r="E43" s="2478"/>
      <c r="F43" s="2478"/>
      <c r="G43" s="2478"/>
      <c r="H43" s="2478"/>
      <c r="I43" s="2478"/>
      <c r="J43" s="2478"/>
      <c r="K43" s="1541"/>
      <c r="L43" s="2026"/>
      <c r="M43" s="2027"/>
      <c r="N43" s="2027"/>
      <c r="O43" s="2027"/>
      <c r="P43" s="3564" t="str">
        <f>A43</f>
        <v>估价对象XX用房的比较价格（楼面单价，元/平方米）</v>
      </c>
      <c r="Q43" s="3565"/>
      <c r="R43" s="3649" t="e">
        <f>IF(F1="售价",ROUND(IF(D42="简单平均",AVERAGE(R42:V42),R42*F42+T42*H42+V42*J42),0),ROUND(IF(D42="简单平均",AVERAGE(R42:V42),R42*F42+T42*H42+V42*J42),1))</f>
        <v>#DIV/0!</v>
      </c>
      <c r="S43" s="3649"/>
      <c r="T43" s="3649"/>
      <c r="U43" s="3649"/>
      <c r="V43" s="3649"/>
      <c r="W43" s="3649"/>
      <c r="X43" s="1496"/>
      <c r="Y43" s="1496"/>
      <c r="Z43" s="1496"/>
      <c r="AA43" s="1496"/>
      <c r="AB43" s="1496"/>
      <c r="AC43" s="1496"/>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523</v>
      </c>
      <c r="B52" s="638"/>
      <c r="C52" s="2519" t="str">
        <f>YEAR(C7)&amp;"-"&amp;MONTH(C7)</f>
        <v>2021-3</v>
      </c>
      <c r="D52" s="2521">
        <f>EDATE(C52,-1)</f>
        <v>44228</v>
      </c>
      <c r="E52" s="2521">
        <f t="shared" ref="E52:O52" si="16">EDATE(D52,-1)</f>
        <v>44197</v>
      </c>
      <c r="F52" s="2521">
        <f t="shared" si="16"/>
        <v>44166</v>
      </c>
      <c r="G52" s="2521">
        <f t="shared" si="16"/>
        <v>44136</v>
      </c>
      <c r="H52" s="2521">
        <f t="shared" si="16"/>
        <v>44105</v>
      </c>
      <c r="I52" s="2521">
        <f t="shared" si="16"/>
        <v>44075</v>
      </c>
      <c r="J52" s="2521">
        <f t="shared" si="16"/>
        <v>44044</v>
      </c>
      <c r="K52" s="2521">
        <f t="shared" si="16"/>
        <v>44013</v>
      </c>
      <c r="L52" s="2521">
        <f t="shared" si="16"/>
        <v>43983</v>
      </c>
      <c r="M52" s="2521">
        <f t="shared" si="16"/>
        <v>43952</v>
      </c>
      <c r="N52" s="2521">
        <f t="shared" si="16"/>
        <v>43922</v>
      </c>
      <c r="O52" s="2521">
        <f t="shared" si="16"/>
        <v>43891</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2537</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2538</v>
      </c>
      <c r="C76" s="2442" t="s">
        <v>2539</v>
      </c>
      <c r="D76" s="2442" t="s">
        <v>2540</v>
      </c>
      <c r="E76" s="2442" t="s">
        <v>2541</v>
      </c>
      <c r="F76" s="2442" t="s">
        <v>2542</v>
      </c>
      <c r="G76" s="2442" t="s">
        <v>2543</v>
      </c>
      <c r="H76" s="923"/>
      <c r="I76" s="923"/>
      <c r="J76" s="923"/>
      <c r="K76" s="923"/>
      <c r="L76" s="923"/>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1"/>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2536</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789</v>
      </c>
      <c r="B3" s="504" t="e">
        <f>IF(B37="元/平方米",C39,ROUND(B2*10000/D3,0))</f>
        <v>#DIV/0!</v>
      </c>
      <c r="C3" s="841" t="s">
        <v>790</v>
      </c>
      <c r="D3" s="840">
        <f>SUMIF('数据-汇总表'!$C19:$C33,D1,'数据-汇总表'!$E19:$E33)</f>
        <v>0</v>
      </c>
      <c r="E3" s="1762" t="s">
        <v>2064</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49" t="s">
        <v>792</v>
      </c>
      <c r="D4" s="3550"/>
      <c r="E4" s="3549" t="s">
        <v>793</v>
      </c>
      <c r="F4" s="3550"/>
      <c r="G4" s="3549" t="s">
        <v>794</v>
      </c>
      <c r="H4" s="3550"/>
      <c r="I4" s="3549" t="s">
        <v>795</v>
      </c>
      <c r="J4" s="3550"/>
      <c r="K4" s="508" t="s">
        <v>796</v>
      </c>
      <c r="L4" s="2015"/>
      <c r="M4" s="2016"/>
      <c r="N4" s="2016"/>
      <c r="O4" s="2016"/>
      <c r="P4" s="3551" t="s">
        <v>797</v>
      </c>
      <c r="Q4" s="3552"/>
      <c r="R4" s="3537" t="s">
        <v>793</v>
      </c>
      <c r="S4" s="3538"/>
      <c r="T4" s="3537" t="s">
        <v>794</v>
      </c>
      <c r="U4" s="3538"/>
      <c r="V4" s="3557" t="s">
        <v>795</v>
      </c>
      <c r="W4" s="3557"/>
      <c r="X4" s="1501"/>
      <c r="Y4" s="3537" t="s">
        <v>797</v>
      </c>
      <c r="Z4" s="3538"/>
      <c r="AA4" s="3532" t="s">
        <v>793</v>
      </c>
      <c r="AB4" s="3533" t="s">
        <v>794</v>
      </c>
      <c r="AC4" s="3532" t="s">
        <v>795</v>
      </c>
    </row>
    <row r="5" spans="1:29" ht="15">
      <c r="A5" s="509"/>
      <c r="B5" s="510"/>
      <c r="C5" s="3560" t="s">
        <v>2891</v>
      </c>
      <c r="D5" s="3561"/>
      <c r="E5" s="3560" t="s">
        <v>2892</v>
      </c>
      <c r="F5" s="3561"/>
      <c r="G5" s="3560" t="s">
        <v>2893</v>
      </c>
      <c r="H5" s="3561"/>
      <c r="I5" s="3560" t="s">
        <v>2894</v>
      </c>
      <c r="J5" s="3561"/>
      <c r="K5" s="508"/>
      <c r="L5" s="2015"/>
      <c r="M5" s="2016"/>
      <c r="N5" s="2016"/>
      <c r="O5" s="2016"/>
      <c r="P5" s="3553"/>
      <c r="Q5" s="3554"/>
      <c r="R5" s="3539"/>
      <c r="S5" s="3540"/>
      <c r="T5" s="3539"/>
      <c r="U5" s="3540"/>
      <c r="V5" s="3557"/>
      <c r="W5" s="3557"/>
      <c r="X5" s="1501"/>
      <c r="Y5" s="3539"/>
      <c r="Z5" s="3540"/>
      <c r="AA5" s="3533"/>
      <c r="AB5" s="3533"/>
      <c r="AC5" s="3533"/>
    </row>
    <row r="6" spans="1:29" ht="15.75" thickBot="1">
      <c r="A6" s="511"/>
      <c r="B6" s="512"/>
      <c r="C6" s="3558" t="s">
        <v>2895</v>
      </c>
      <c r="D6" s="3559"/>
      <c r="E6" s="3562" t="s">
        <v>2895</v>
      </c>
      <c r="F6" s="3563"/>
      <c r="G6" s="3558" t="s">
        <v>2895</v>
      </c>
      <c r="H6" s="3559"/>
      <c r="I6" s="3558" t="s">
        <v>2895</v>
      </c>
      <c r="J6" s="3559"/>
      <c r="K6" s="508" t="s">
        <v>522</v>
      </c>
      <c r="L6" s="2015"/>
      <c r="M6" s="2016"/>
      <c r="N6" s="2016"/>
      <c r="O6" s="2016"/>
      <c r="P6" s="3555"/>
      <c r="Q6" s="3556"/>
      <c r="R6" s="3539"/>
      <c r="S6" s="3540"/>
      <c r="T6" s="3541"/>
      <c r="U6" s="3542"/>
      <c r="V6" s="3557"/>
      <c r="W6" s="3557"/>
      <c r="X6" s="1501"/>
      <c r="Y6" s="3541"/>
      <c r="Z6" s="3542"/>
      <c r="AA6" s="3534"/>
      <c r="AB6" s="3534"/>
      <c r="AC6" s="3534"/>
    </row>
    <row r="7" spans="1:29" s="1202" customFormat="1" ht="15.75" thickBot="1">
      <c r="A7" s="2629"/>
      <c r="B7" s="2636" t="s">
        <v>523</v>
      </c>
      <c r="C7" s="513">
        <f>'数据-取费表'!B2</f>
        <v>44258</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35" t="s">
        <v>524</v>
      </c>
      <c r="Q7" s="3544"/>
      <c r="R7" s="1502" t="s">
        <v>8</v>
      </c>
      <c r="S7" s="1503">
        <f t="shared" ref="S7:S14" si="0">F7</f>
        <v>0</v>
      </c>
      <c r="T7" s="1502" t="s">
        <v>8</v>
      </c>
      <c r="U7" s="1503">
        <f t="shared" ref="U7:U14" si="1">H7</f>
        <v>0</v>
      </c>
      <c r="V7" s="1502" t="s">
        <v>8</v>
      </c>
      <c r="W7" s="1503">
        <f t="shared" ref="W7:W14" si="2">J7</f>
        <v>0</v>
      </c>
      <c r="X7" s="1504"/>
      <c r="Y7" s="3535" t="s">
        <v>524</v>
      </c>
      <c r="Z7" s="3536"/>
      <c r="AA7" s="1505" t="e">
        <f>D7/F7</f>
        <v>#DIV/0!</v>
      </c>
      <c r="AB7" s="1505" t="e">
        <f>D7/H7</f>
        <v>#DIV/0!</v>
      </c>
      <c r="AC7" s="1505" t="e">
        <f>D7/J7</f>
        <v>#DIV/0!</v>
      </c>
    </row>
    <row r="8" spans="1:29" s="1202"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35" t="s">
        <v>527</v>
      </c>
      <c r="Q8" s="3536"/>
      <c r="R8" s="1502" t="s">
        <v>8</v>
      </c>
      <c r="S8" s="1503">
        <f t="shared" si="0"/>
        <v>0</v>
      </c>
      <c r="T8" s="1502" t="s">
        <v>8</v>
      </c>
      <c r="U8" s="1503">
        <f t="shared" si="1"/>
        <v>0</v>
      </c>
      <c r="V8" s="1502" t="s">
        <v>8</v>
      </c>
      <c r="W8" s="1503">
        <f t="shared" si="2"/>
        <v>0</v>
      </c>
      <c r="X8" s="1504"/>
      <c r="Y8" s="3535" t="s">
        <v>527</v>
      </c>
      <c r="Z8" s="3536"/>
      <c r="AA8" s="1505" t="e">
        <f t="shared" ref="AA8:AA36" si="3">D8/F8</f>
        <v>#DIV/0!</v>
      </c>
      <c r="AB8" s="1505" t="e">
        <f t="shared" ref="AB8:AB36" si="4">D8/H8</f>
        <v>#DIV/0!</v>
      </c>
      <c r="AC8" s="1505" t="e">
        <f t="shared" ref="AC8:AC36" si="5">D8/J8</f>
        <v>#DIV/0!</v>
      </c>
    </row>
    <row r="9" spans="1:29" s="1202" customFormat="1" ht="15">
      <c r="A9" s="2631"/>
      <c r="B9" s="2638" t="s">
        <v>2735</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43" t="s">
        <v>529</v>
      </c>
      <c r="Q9" s="1133" t="str">
        <f t="shared" ref="Q9:Q14" si="6">B9</f>
        <v>用途</v>
      </c>
      <c r="R9" s="1502" t="s">
        <v>8</v>
      </c>
      <c r="S9" s="1503">
        <f t="shared" si="0"/>
        <v>100</v>
      </c>
      <c r="T9" s="1502" t="s">
        <v>8</v>
      </c>
      <c r="U9" s="1503">
        <f t="shared" si="1"/>
        <v>100</v>
      </c>
      <c r="V9" s="1502" t="s">
        <v>8</v>
      </c>
      <c r="W9" s="1503">
        <f t="shared" si="2"/>
        <v>100</v>
      </c>
      <c r="X9" s="1504"/>
      <c r="Y9" s="3494" t="s">
        <v>530</v>
      </c>
      <c r="Z9" s="1132" t="str">
        <f t="shared" ref="Z9:Z14" si="7">Q9</f>
        <v>用途</v>
      </c>
      <c r="AA9" s="1505">
        <f t="shared" si="3"/>
        <v>1</v>
      </c>
      <c r="AB9" s="1505">
        <f t="shared" si="4"/>
        <v>1</v>
      </c>
      <c r="AC9" s="1505">
        <f t="shared" si="5"/>
        <v>1</v>
      </c>
    </row>
    <row r="10" spans="1:29" s="1291" customFormat="1" ht="27">
      <c r="A10" s="2632"/>
      <c r="B10" s="2637" t="s">
        <v>2736</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43"/>
      <c r="Q10" s="1133" t="str">
        <f t="shared" si="6"/>
        <v>土地使用年限（年）</v>
      </c>
      <c r="R10" s="1502" t="s">
        <v>8</v>
      </c>
      <c r="S10" s="1503">
        <f t="shared" si="0"/>
        <v>100</v>
      </c>
      <c r="T10" s="1502" t="s">
        <v>8</v>
      </c>
      <c r="U10" s="1503">
        <f t="shared" si="1"/>
        <v>100</v>
      </c>
      <c r="V10" s="1502" t="s">
        <v>8</v>
      </c>
      <c r="W10" s="1503">
        <f t="shared" si="2"/>
        <v>100</v>
      </c>
      <c r="X10" s="1504"/>
      <c r="Y10" s="3494"/>
      <c r="Z10" s="1132"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43"/>
      <c r="Q11" s="1133">
        <f t="shared" si="6"/>
        <v>111</v>
      </c>
      <c r="R11" s="1502" t="s">
        <v>8</v>
      </c>
      <c r="S11" s="1503">
        <f t="shared" si="0"/>
        <v>100</v>
      </c>
      <c r="T11" s="1502" t="s">
        <v>8</v>
      </c>
      <c r="U11" s="1503">
        <f t="shared" si="1"/>
        <v>100</v>
      </c>
      <c r="V11" s="1502" t="s">
        <v>8</v>
      </c>
      <c r="W11" s="1503">
        <f t="shared" si="2"/>
        <v>100</v>
      </c>
      <c r="X11" s="1504"/>
      <c r="Y11" s="3494"/>
      <c r="Z11" s="1132">
        <f t="shared" si="7"/>
        <v>111</v>
      </c>
      <c r="AA11" s="1505">
        <f t="shared" si="3"/>
        <v>1</v>
      </c>
      <c r="AB11" s="1505">
        <f t="shared" si="4"/>
        <v>1</v>
      </c>
      <c r="AC11" s="1505">
        <f t="shared" si="5"/>
        <v>1</v>
      </c>
    </row>
    <row r="12" spans="1:29" s="1202"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43"/>
      <c r="Q12" s="1133">
        <f t="shared" si="6"/>
        <v>111</v>
      </c>
      <c r="R12" s="1502" t="s">
        <v>8</v>
      </c>
      <c r="S12" s="1503">
        <f t="shared" si="0"/>
        <v>100</v>
      </c>
      <c r="T12" s="1502" t="s">
        <v>8</v>
      </c>
      <c r="U12" s="1503">
        <f t="shared" si="1"/>
        <v>100</v>
      </c>
      <c r="V12" s="1502" t="s">
        <v>8</v>
      </c>
      <c r="W12" s="1503">
        <f t="shared" si="2"/>
        <v>100</v>
      </c>
      <c r="X12" s="1504"/>
      <c r="Y12" s="3494"/>
      <c r="Z12" s="1132">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43"/>
      <c r="Q13" s="1133">
        <f t="shared" si="6"/>
        <v>111</v>
      </c>
      <c r="R13" s="1502" t="s">
        <v>8</v>
      </c>
      <c r="S13" s="1503">
        <f t="shared" si="0"/>
        <v>100</v>
      </c>
      <c r="T13" s="1502" t="s">
        <v>8</v>
      </c>
      <c r="U13" s="1503">
        <f t="shared" si="1"/>
        <v>100</v>
      </c>
      <c r="V13" s="1502" t="s">
        <v>8</v>
      </c>
      <c r="W13" s="1503">
        <f t="shared" si="2"/>
        <v>100</v>
      </c>
      <c r="X13" s="1504"/>
      <c r="Y13" s="3494"/>
      <c r="Z13" s="1132">
        <f t="shared" si="7"/>
        <v>111</v>
      </c>
      <c r="AA13" s="1505">
        <f t="shared" si="3"/>
        <v>1</v>
      </c>
      <c r="AB13" s="1505">
        <f t="shared" si="4"/>
        <v>1</v>
      </c>
      <c r="AC13" s="1505">
        <f t="shared" si="5"/>
        <v>1</v>
      </c>
    </row>
    <row r="14" spans="1:29" ht="85.5">
      <c r="A14" s="2627" t="s">
        <v>2733</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4"/>
      <c r="M14" s="2016"/>
      <c r="N14" s="2016"/>
      <c r="O14" s="2023"/>
      <c r="P14" s="3545" t="s">
        <v>534</v>
      </c>
      <c r="Q14" s="1506" t="str">
        <f t="shared" si="6"/>
        <v>交通便捷度</v>
      </c>
      <c r="R14" s="1507" t="s">
        <v>8</v>
      </c>
      <c r="S14" s="1508">
        <f t="shared" si="0"/>
        <v>100</v>
      </c>
      <c r="T14" s="1507" t="s">
        <v>8</v>
      </c>
      <c r="U14" s="1508">
        <f t="shared" si="1"/>
        <v>100</v>
      </c>
      <c r="V14" s="1507" t="s">
        <v>8</v>
      </c>
      <c r="W14" s="1508">
        <f t="shared" si="2"/>
        <v>100</v>
      </c>
      <c r="X14" s="1501"/>
      <c r="Y14" s="3545"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4"/>
      <c r="M15" s="2016"/>
      <c r="N15" s="2016"/>
      <c r="O15" s="2023"/>
      <c r="P15" s="3546"/>
      <c r="Q15" s="1506"/>
      <c r="R15" s="1507"/>
      <c r="S15" s="1508"/>
      <c r="T15" s="1507"/>
      <c r="U15" s="1508"/>
      <c r="V15" s="1507"/>
      <c r="W15" s="1508"/>
      <c r="X15" s="1501"/>
      <c r="Y15" s="3546"/>
      <c r="Z15" s="1509"/>
      <c r="AA15" s="1510">
        <v>1</v>
      </c>
      <c r="AB15" s="1510">
        <v>1</v>
      </c>
      <c r="AC15" s="1510">
        <v>1</v>
      </c>
    </row>
    <row r="16" spans="1:29" ht="42.75">
      <c r="A16" s="509"/>
      <c r="B16" s="2447" t="s">
        <v>2526</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4"/>
      <c r="M16" s="2016"/>
      <c r="N16" s="2016"/>
      <c r="O16" s="2023"/>
      <c r="P16" s="3546"/>
      <c r="Q16" s="1506" t="str">
        <f>B16</f>
        <v>公共配套设施</v>
      </c>
      <c r="R16" s="1507" t="s">
        <v>8</v>
      </c>
      <c r="S16" s="1508">
        <f>F16</f>
        <v>100</v>
      </c>
      <c r="T16" s="1507" t="s">
        <v>8</v>
      </c>
      <c r="U16" s="1508">
        <f>H16</f>
        <v>100</v>
      </c>
      <c r="V16" s="1507" t="s">
        <v>8</v>
      </c>
      <c r="W16" s="1508">
        <f>J16</f>
        <v>100</v>
      </c>
      <c r="X16" s="1501"/>
      <c r="Y16" s="3546"/>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4"/>
      <c r="M17" s="2016"/>
      <c r="N17" s="2016"/>
      <c r="O17" s="2023"/>
      <c r="P17" s="3546"/>
      <c r="Q17" s="1506"/>
      <c r="R17" s="1507"/>
      <c r="S17" s="1508"/>
      <c r="T17" s="1507"/>
      <c r="U17" s="1508"/>
      <c r="V17" s="1507"/>
      <c r="W17" s="1508"/>
      <c r="X17" s="1501"/>
      <c r="Y17" s="3546"/>
      <c r="Z17" s="1509"/>
      <c r="AA17" s="1510">
        <v>1</v>
      </c>
      <c r="AB17" s="1510">
        <v>1</v>
      </c>
      <c r="AC17" s="1510">
        <v>1</v>
      </c>
    </row>
    <row r="18" spans="1:29" ht="28.5">
      <c r="A18" s="509"/>
      <c r="B18" s="2435" t="s">
        <v>2538</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4"/>
      <c r="M18" s="2016"/>
      <c r="N18" s="2016"/>
      <c r="O18" s="2023"/>
      <c r="P18" s="3546"/>
      <c r="Q18" s="2429" t="str">
        <f>B18</f>
        <v>基础设施水平</v>
      </c>
      <c r="R18" s="1507" t="s">
        <v>8</v>
      </c>
      <c r="S18" s="1508">
        <f>F18</f>
        <v>100</v>
      </c>
      <c r="T18" s="1507" t="s">
        <v>8</v>
      </c>
      <c r="U18" s="1508">
        <f>H18</f>
        <v>100</v>
      </c>
      <c r="V18" s="1507" t="s">
        <v>8</v>
      </c>
      <c r="W18" s="1508">
        <f>J18</f>
        <v>100</v>
      </c>
      <c r="X18" s="2431"/>
      <c r="Y18" s="3546"/>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546"/>
      <c r="Q19" s="2429"/>
      <c r="R19" s="1507"/>
      <c r="S19" s="1508"/>
      <c r="T19" s="1507"/>
      <c r="U19" s="1508"/>
      <c r="V19" s="1507"/>
      <c r="W19" s="1508"/>
      <c r="X19" s="2431"/>
      <c r="Y19" s="3546"/>
      <c r="Z19" s="2430"/>
      <c r="AA19" s="1510">
        <v>1</v>
      </c>
      <c r="AB19" s="1510">
        <v>1</v>
      </c>
      <c r="AC19" s="1510">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4"/>
      <c r="M20" s="2016"/>
      <c r="N20" s="2016"/>
      <c r="O20" s="2023"/>
      <c r="P20" s="3546"/>
      <c r="Q20" s="1506" t="str">
        <f>B20</f>
        <v>自然及人文环境</v>
      </c>
      <c r="R20" s="1507" t="s">
        <v>8</v>
      </c>
      <c r="S20" s="1508">
        <f>F20</f>
        <v>100</v>
      </c>
      <c r="T20" s="1507" t="s">
        <v>8</v>
      </c>
      <c r="U20" s="1508">
        <f>H20</f>
        <v>100</v>
      </c>
      <c r="V20" s="1507" t="s">
        <v>8</v>
      </c>
      <c r="W20" s="1508">
        <f>J20</f>
        <v>100</v>
      </c>
      <c r="X20" s="1501"/>
      <c r="Y20" s="3546"/>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4"/>
      <c r="M21" s="2016"/>
      <c r="N21" s="2016"/>
      <c r="O21" s="2023"/>
      <c r="P21" s="3546"/>
      <c r="Q21" s="1506"/>
      <c r="R21" s="1507"/>
      <c r="S21" s="1508"/>
      <c r="T21" s="1507"/>
      <c r="U21" s="1508"/>
      <c r="V21" s="1507"/>
      <c r="W21" s="1508"/>
      <c r="X21" s="1501"/>
      <c r="Y21" s="3546"/>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46"/>
      <c r="Q22" s="1506" t="str">
        <f>B22</f>
        <v>楼层</v>
      </c>
      <c r="R22" s="1507" t="s">
        <v>8</v>
      </c>
      <c r="S22" s="1508">
        <f>F22</f>
        <v>100</v>
      </c>
      <c r="T22" s="1507" t="s">
        <v>8</v>
      </c>
      <c r="U22" s="1508">
        <f>H22</f>
        <v>100</v>
      </c>
      <c r="V22" s="1507" t="s">
        <v>8</v>
      </c>
      <c r="W22" s="1508">
        <f>J22</f>
        <v>100</v>
      </c>
      <c r="X22" s="1501"/>
      <c r="Y22" s="3546"/>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46"/>
      <c r="Q23" s="1506">
        <f>B23</f>
        <v>111</v>
      </c>
      <c r="R23" s="1507" t="s">
        <v>8</v>
      </c>
      <c r="S23" s="1508">
        <f>F23</f>
        <v>100</v>
      </c>
      <c r="T23" s="1507" t="s">
        <v>8</v>
      </c>
      <c r="U23" s="1508">
        <f>H23</f>
        <v>100</v>
      </c>
      <c r="V23" s="1507" t="s">
        <v>8</v>
      </c>
      <c r="W23" s="1508">
        <f>J23</f>
        <v>100</v>
      </c>
      <c r="X23" s="1501"/>
      <c r="Y23" s="3546"/>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46"/>
      <c r="Q24" s="1506">
        <f t="shared" ref="Q24:Q36" si="11">B24</f>
        <v>111</v>
      </c>
      <c r="R24" s="1507" t="s">
        <v>8</v>
      </c>
      <c r="S24" s="1508">
        <f>F24</f>
        <v>100</v>
      </c>
      <c r="T24" s="1507" t="s">
        <v>8</v>
      </c>
      <c r="U24" s="1508">
        <f>H24</f>
        <v>100</v>
      </c>
      <c r="V24" s="1507" t="s">
        <v>8</v>
      </c>
      <c r="W24" s="1508">
        <f>J24</f>
        <v>100</v>
      </c>
      <c r="X24" s="1501"/>
      <c r="Y24" s="3546"/>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7"/>
      <c r="M25" s="2018"/>
      <c r="N25" s="2018"/>
      <c r="O25" s="2019"/>
      <c r="P25" s="3546"/>
      <c r="Q25" s="1133">
        <f t="shared" si="11"/>
        <v>111</v>
      </c>
      <c r="R25" s="1502" t="s">
        <v>8</v>
      </c>
      <c r="S25" s="1503">
        <f>F25</f>
        <v>100</v>
      </c>
      <c r="T25" s="1502" t="s">
        <v>8</v>
      </c>
      <c r="U25" s="1503">
        <f>H25</f>
        <v>100</v>
      </c>
      <c r="V25" s="1502" t="s">
        <v>8</v>
      </c>
      <c r="W25" s="1503">
        <f>J25</f>
        <v>100</v>
      </c>
      <c r="X25" s="1504"/>
      <c r="Y25" s="3546"/>
      <c r="Z25" s="1132">
        <f>Q25</f>
        <v>111</v>
      </c>
      <c r="AA25" s="1510">
        <f>D25/F25</f>
        <v>1</v>
      </c>
      <c r="AB25" s="1510">
        <f>D25/H25</f>
        <v>1</v>
      </c>
      <c r="AC25" s="1510">
        <f>D25/J25</f>
        <v>1</v>
      </c>
    </row>
    <row r="26" spans="1:29" ht="15">
      <c r="A26" s="2624" t="s">
        <v>2734</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47"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48"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2"/>
      <c r="M27" s="2052"/>
      <c r="N27" s="2052"/>
      <c r="O27" s="2025"/>
      <c r="P27" s="3548"/>
      <c r="Q27" s="1535" t="str">
        <f t="shared" si="11"/>
        <v>项目停车位配比</v>
      </c>
      <c r="R27" s="1511" t="s">
        <v>8</v>
      </c>
      <c r="S27" s="1512">
        <f t="shared" si="12"/>
        <v>100</v>
      </c>
      <c r="T27" s="1511" t="s">
        <v>8</v>
      </c>
      <c r="U27" s="1512">
        <f t="shared" si="13"/>
        <v>100</v>
      </c>
      <c r="V27" s="1511" t="s">
        <v>8</v>
      </c>
      <c r="W27" s="1512">
        <f t="shared" si="14"/>
        <v>100</v>
      </c>
      <c r="X27" s="1513"/>
      <c r="Y27" s="3548"/>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48"/>
      <c r="Q28" s="1506" t="str">
        <f t="shared" si="11"/>
        <v>公共部分装修</v>
      </c>
      <c r="R28" s="1507" t="s">
        <v>8</v>
      </c>
      <c r="S28" s="1508">
        <f t="shared" si="12"/>
        <v>100</v>
      </c>
      <c r="T28" s="1507" t="s">
        <v>8</v>
      </c>
      <c r="U28" s="1508">
        <f t="shared" si="13"/>
        <v>100</v>
      </c>
      <c r="V28" s="1507" t="s">
        <v>8</v>
      </c>
      <c r="W28" s="1508">
        <f t="shared" si="14"/>
        <v>100</v>
      </c>
      <c r="X28" s="1501"/>
      <c r="Y28" s="3548"/>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4"/>
      <c r="M29" s="2016"/>
      <c r="N29" s="2016"/>
      <c r="O29" s="2023"/>
      <c r="P29" s="3548"/>
      <c r="Q29" s="1506" t="str">
        <f t="shared" si="11"/>
        <v>成新率</v>
      </c>
      <c r="R29" s="1507" t="s">
        <v>8</v>
      </c>
      <c r="S29" s="1508" t="e">
        <f t="shared" si="12"/>
        <v>#N/A</v>
      </c>
      <c r="T29" s="1507" t="s">
        <v>8</v>
      </c>
      <c r="U29" s="1508" t="e">
        <f t="shared" si="13"/>
        <v>#N/A</v>
      </c>
      <c r="V29" s="1507" t="s">
        <v>8</v>
      </c>
      <c r="W29" s="1508" t="e">
        <f t="shared" si="14"/>
        <v>#N/A</v>
      </c>
      <c r="X29" s="1501"/>
      <c r="Y29" s="3548"/>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4"/>
      <c r="M30" s="2016"/>
      <c r="N30" s="2016"/>
      <c r="O30" s="2023"/>
      <c r="P30" s="3548"/>
      <c r="Q30" s="1506" t="str">
        <f t="shared" si="11"/>
        <v>物业等级</v>
      </c>
      <c r="R30" s="1507" t="s">
        <v>8</v>
      </c>
      <c r="S30" s="1508">
        <f t="shared" si="12"/>
        <v>100</v>
      </c>
      <c r="T30" s="1507" t="s">
        <v>8</v>
      </c>
      <c r="U30" s="1508">
        <f t="shared" si="13"/>
        <v>100</v>
      </c>
      <c r="V30" s="1507" t="s">
        <v>8</v>
      </c>
      <c r="W30" s="1508">
        <f t="shared" si="14"/>
        <v>100</v>
      </c>
      <c r="X30" s="1501"/>
      <c r="Y30" s="3548"/>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7"/>
      <c r="M31" s="2018"/>
      <c r="N31" s="2018"/>
      <c r="O31" s="2019"/>
      <c r="P31" s="3548"/>
      <c r="Q31" s="1133" t="str">
        <f t="shared" si="11"/>
        <v>停车位面积</v>
      </c>
      <c r="R31" s="1502" t="s">
        <v>8</v>
      </c>
      <c r="S31" s="1503" t="e">
        <f t="shared" si="12"/>
        <v>#N/A</v>
      </c>
      <c r="T31" s="1502" t="s">
        <v>8</v>
      </c>
      <c r="U31" s="1503" t="e">
        <f t="shared" si="13"/>
        <v>#N/A</v>
      </c>
      <c r="V31" s="1502" t="s">
        <v>8</v>
      </c>
      <c r="W31" s="1503" t="e">
        <f t="shared" si="14"/>
        <v>#N/A</v>
      </c>
      <c r="X31" s="1504"/>
      <c r="Y31" s="3548"/>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48" t="s">
        <v>544</v>
      </c>
      <c r="Q32" s="1506" t="str">
        <f t="shared" si="11"/>
        <v>车位类型</v>
      </c>
      <c r="R32" s="1507" t="s">
        <v>8</v>
      </c>
      <c r="S32" s="1508">
        <f t="shared" si="12"/>
        <v>100</v>
      </c>
      <c r="T32" s="1507" t="s">
        <v>8</v>
      </c>
      <c r="U32" s="1508">
        <f t="shared" si="13"/>
        <v>100</v>
      </c>
      <c r="V32" s="1507" t="s">
        <v>8</v>
      </c>
      <c r="W32" s="1508">
        <f t="shared" si="14"/>
        <v>100</v>
      </c>
      <c r="X32" s="1501"/>
      <c r="Y32" s="3548"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48"/>
      <c r="Q33" s="1506" t="str">
        <f t="shared" si="11"/>
        <v>是否直接入户</v>
      </c>
      <c r="R33" s="1507" t="s">
        <v>8</v>
      </c>
      <c r="S33" s="1508">
        <f t="shared" si="12"/>
        <v>100</v>
      </c>
      <c r="T33" s="1507" t="s">
        <v>8</v>
      </c>
      <c r="U33" s="1508">
        <f t="shared" si="13"/>
        <v>100</v>
      </c>
      <c r="V33" s="1507" t="s">
        <v>8</v>
      </c>
      <c r="W33" s="1508">
        <f t="shared" si="14"/>
        <v>100</v>
      </c>
      <c r="X33" s="1501"/>
      <c r="Y33" s="3548"/>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48"/>
      <c r="Q34" s="1506">
        <f t="shared" si="11"/>
        <v>111</v>
      </c>
      <c r="R34" s="1507" t="s">
        <v>8</v>
      </c>
      <c r="S34" s="1508">
        <f t="shared" si="12"/>
        <v>100</v>
      </c>
      <c r="T34" s="1507" t="s">
        <v>8</v>
      </c>
      <c r="U34" s="1508">
        <f t="shared" si="13"/>
        <v>100</v>
      </c>
      <c r="V34" s="1507" t="s">
        <v>8</v>
      </c>
      <c r="W34" s="1508">
        <f t="shared" si="14"/>
        <v>100</v>
      </c>
      <c r="X34" s="1501"/>
      <c r="Y34" s="3548"/>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48"/>
      <c r="Q35" s="1535">
        <f t="shared" si="11"/>
        <v>111</v>
      </c>
      <c r="R35" s="1511" t="s">
        <v>8</v>
      </c>
      <c r="S35" s="1512">
        <f t="shared" si="12"/>
        <v>100</v>
      </c>
      <c r="T35" s="1511" t="s">
        <v>8</v>
      </c>
      <c r="U35" s="1512">
        <f t="shared" si="13"/>
        <v>100</v>
      </c>
      <c r="V35" s="1511" t="s">
        <v>8</v>
      </c>
      <c r="W35" s="1512">
        <f t="shared" si="14"/>
        <v>100</v>
      </c>
      <c r="X35" s="1513"/>
      <c r="Y35" s="3548"/>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48"/>
      <c r="Q36" s="1506">
        <f t="shared" si="11"/>
        <v>111</v>
      </c>
      <c r="R36" s="1507" t="s">
        <v>8</v>
      </c>
      <c r="S36" s="1508">
        <f t="shared" si="12"/>
        <v>100</v>
      </c>
      <c r="T36" s="1507" t="s">
        <v>8</v>
      </c>
      <c r="U36" s="1508">
        <f t="shared" si="13"/>
        <v>100</v>
      </c>
      <c r="V36" s="1507" t="s">
        <v>8</v>
      </c>
      <c r="W36" s="1508">
        <f t="shared" si="14"/>
        <v>100</v>
      </c>
      <c r="X36" s="1501"/>
      <c r="Y36" s="3548"/>
      <c r="Z36" s="1509">
        <f t="shared" si="15"/>
        <v>111</v>
      </c>
      <c r="AA36" s="1510">
        <f t="shared" si="3"/>
        <v>1</v>
      </c>
      <c r="AB36" s="1510">
        <f t="shared" si="4"/>
        <v>1</v>
      </c>
      <c r="AC36" s="1510">
        <f t="shared" si="5"/>
        <v>1</v>
      </c>
    </row>
    <row r="37" spans="1:29" ht="15">
      <c r="A37" s="1760" t="s">
        <v>2065</v>
      </c>
      <c r="B37" s="1761" t="s">
        <v>2066</v>
      </c>
      <c r="C37" s="2470" t="s">
        <v>1</v>
      </c>
      <c r="D37" s="2471"/>
      <c r="E37" s="2472"/>
      <c r="F37" s="2473"/>
      <c r="G37" s="2474"/>
      <c r="H37" s="2475"/>
      <c r="I37" s="2472"/>
      <c r="J37" s="2475"/>
      <c r="K37" s="1540"/>
      <c r="L37" s="2026"/>
      <c r="M37" s="2027"/>
      <c r="N37" s="2016"/>
      <c r="O37" s="2027"/>
      <c r="P37" s="3543" t="str">
        <f>A37</f>
        <v>成交单价</v>
      </c>
      <c r="Q37" s="3543"/>
      <c r="R37" s="3650">
        <f>E37</f>
        <v>0</v>
      </c>
      <c r="S37" s="3650"/>
      <c r="T37" s="3650">
        <f>G37</f>
        <v>0</v>
      </c>
      <c r="U37" s="3650"/>
      <c r="V37" s="3650">
        <f>I37</f>
        <v>0</v>
      </c>
      <c r="W37" s="3650"/>
      <c r="X37" s="1496"/>
      <c r="Y37" s="1515"/>
      <c r="Z37" s="1496"/>
      <c r="AA37" s="1496"/>
      <c r="AB37" s="1496"/>
      <c r="AC37" s="1496"/>
    </row>
    <row r="38" spans="1:29" ht="15.75" thickBot="1">
      <c r="A38" s="609" t="s">
        <v>2739</v>
      </c>
      <c r="B38" s="876"/>
      <c r="C38" s="2476" t="e">
        <f>R39</f>
        <v>#DIV/0!</v>
      </c>
      <c r="D38" s="3014" t="s">
        <v>2965</v>
      </c>
      <c r="E38" s="2477" t="e">
        <f>R38</f>
        <v>#DIV/0!</v>
      </c>
      <c r="F38" s="3015"/>
      <c r="G38" s="2476" t="e">
        <f>T38</f>
        <v>#DIV/0!</v>
      </c>
      <c r="H38" s="3015"/>
      <c r="I38" s="2477" t="e">
        <f>V38</f>
        <v>#DIV/0!</v>
      </c>
      <c r="J38" s="3015"/>
      <c r="K38" s="3023">
        <f>F38+H38+J38</f>
        <v>0</v>
      </c>
      <c r="L38" s="2026"/>
      <c r="M38" s="2027"/>
      <c r="N38" s="2027"/>
      <c r="O38" s="2027"/>
      <c r="P38" s="3543" t="str">
        <f>A38</f>
        <v>比较价格（元/平方米）</v>
      </c>
      <c r="Q38" s="3543"/>
      <c r="R38" s="3650" t="e">
        <f>IF(F1="售价",ROUND(PRODUCT(R37,AA7:AA36),0),ROUND(PRODUCT(R37,AA7:AA36),1))</f>
        <v>#DIV/0!</v>
      </c>
      <c r="S38" s="3650"/>
      <c r="T38" s="3650" t="e">
        <f>IF(F1="售价",ROUND(PRODUCT(T37,AB7:AB36),0),ROUND(PRODUCT(T37,AB7:AB36),1))</f>
        <v>#DIV/0!</v>
      </c>
      <c r="U38" s="3650"/>
      <c r="V38" s="3650" t="e">
        <f>IF(F1="售价",ROUND(PRODUCT(V37,AC7:AC36),0),ROUND(PRODUCT(V37,AC7:AC36),1))</f>
        <v>#DIV/0!</v>
      </c>
      <c r="W38" s="3650"/>
      <c r="X38" s="1496"/>
      <c r="Y38" s="1496"/>
      <c r="Z38" s="1496"/>
      <c r="AA38" s="1496"/>
      <c r="AB38" s="1496"/>
      <c r="AC38" s="1496"/>
    </row>
    <row r="39" spans="1:29" ht="15.75" thickBot="1">
      <c r="A39" s="613" t="s">
        <v>2897</v>
      </c>
      <c r="B39" s="614"/>
      <c r="C39" s="2478" t="e">
        <f>R39</f>
        <v>#DIV/0!</v>
      </c>
      <c r="D39" s="2478"/>
      <c r="E39" s="2478"/>
      <c r="F39" s="2478"/>
      <c r="G39" s="2478"/>
      <c r="H39" s="2478"/>
      <c r="I39" s="2478"/>
      <c r="J39" s="2478"/>
      <c r="K39" s="1541"/>
      <c r="L39" s="2026"/>
      <c r="M39" s="2027"/>
      <c r="N39" s="2027"/>
      <c r="O39" s="2027"/>
      <c r="P39" s="3564" t="str">
        <f>A39</f>
        <v>估价对象XX用房的比较价格（楼面单价，元/平方米）</v>
      </c>
      <c r="Q39" s="3565"/>
      <c r="R39" s="3649" t="e">
        <f>IF(F1="售价",ROUND(IF(D38="简单平均",AVERAGE(R38:W38),R38*F38+T38*H38+V38*J38),0),ROUND(IF(D38="简单平均",AVERAGE(R38:V38),R38*F38+T38*H38+V38*J38),1))</f>
        <v>#DIV/0!</v>
      </c>
      <c r="S39" s="3649"/>
      <c r="T39" s="3649"/>
      <c r="U39" s="3649"/>
      <c r="V39" s="3649"/>
      <c r="W39" s="3649"/>
      <c r="X39" s="1496"/>
      <c r="Y39" s="1496"/>
      <c r="Z39" s="1496"/>
      <c r="AA39" s="1496"/>
      <c r="AB39" s="1496"/>
      <c r="AC39" s="1496"/>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523</v>
      </c>
      <c r="B48" s="638"/>
      <c r="C48" s="2519" t="str">
        <f>YEAR(C7)&amp;"-"&amp;MONTH(C7)</f>
        <v>2021-3</v>
      </c>
      <c r="D48" s="2521">
        <f>EDATE(C48,-1)</f>
        <v>44228</v>
      </c>
      <c r="E48" s="2521">
        <f t="shared" ref="E48:O48" si="16">EDATE(D48,-1)</f>
        <v>44197</v>
      </c>
      <c r="F48" s="2521">
        <f t="shared" si="16"/>
        <v>44166</v>
      </c>
      <c r="G48" s="2521">
        <f t="shared" si="16"/>
        <v>44136</v>
      </c>
      <c r="H48" s="2521">
        <f t="shared" si="16"/>
        <v>44105</v>
      </c>
      <c r="I48" s="2521">
        <f t="shared" si="16"/>
        <v>44075</v>
      </c>
      <c r="J48" s="2521">
        <f t="shared" si="16"/>
        <v>44044</v>
      </c>
      <c r="K48" s="2521">
        <f t="shared" si="16"/>
        <v>44013</v>
      </c>
      <c r="L48" s="2521">
        <f t="shared" si="16"/>
        <v>43983</v>
      </c>
      <c r="M48" s="2521">
        <f t="shared" si="16"/>
        <v>43952</v>
      </c>
      <c r="N48" s="2521">
        <f t="shared" si="16"/>
        <v>43922</v>
      </c>
      <c r="O48" s="2521">
        <f t="shared" si="16"/>
        <v>43891</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3">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2537</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2538</v>
      </c>
      <c r="C67" s="2442" t="s">
        <v>2539</v>
      </c>
      <c r="D67" s="2442" t="s">
        <v>2540</v>
      </c>
      <c r="E67" s="2442" t="s">
        <v>2541</v>
      </c>
      <c r="F67" s="2442" t="s">
        <v>2542</v>
      </c>
      <c r="G67" s="2442" t="s">
        <v>2543</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5">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49" t="s">
        <v>792</v>
      </c>
      <c r="D4" s="3550"/>
      <c r="E4" s="3574" t="s">
        <v>793</v>
      </c>
      <c r="F4" s="3575"/>
      <c r="G4" s="3549" t="s">
        <v>794</v>
      </c>
      <c r="H4" s="3550"/>
      <c r="I4" s="3549" t="s">
        <v>795</v>
      </c>
      <c r="J4" s="3550"/>
      <c r="K4" s="508" t="s">
        <v>796</v>
      </c>
      <c r="L4" s="2015"/>
      <c r="M4" s="2016"/>
      <c r="N4" s="2016"/>
      <c r="O4" s="2016"/>
      <c r="P4" s="3551" t="s">
        <v>797</v>
      </c>
      <c r="Q4" s="3552"/>
      <c r="R4" s="3537" t="s">
        <v>793</v>
      </c>
      <c r="S4" s="3538"/>
      <c r="T4" s="3537" t="s">
        <v>794</v>
      </c>
      <c r="U4" s="3538"/>
      <c r="V4" s="3557" t="s">
        <v>795</v>
      </c>
      <c r="W4" s="3557"/>
      <c r="X4" s="1501"/>
      <c r="Y4" s="3537" t="s">
        <v>797</v>
      </c>
      <c r="Z4" s="3538"/>
      <c r="AA4" s="3532" t="s">
        <v>793</v>
      </c>
      <c r="AB4" s="3533" t="s">
        <v>794</v>
      </c>
      <c r="AC4" s="3532" t="s">
        <v>795</v>
      </c>
    </row>
    <row r="5" spans="1:29" ht="15">
      <c r="A5" s="509"/>
      <c r="B5" s="510"/>
      <c r="C5" s="3560" t="s">
        <v>2891</v>
      </c>
      <c r="D5" s="3561"/>
      <c r="E5" s="3576" t="s">
        <v>2892</v>
      </c>
      <c r="F5" s="3577"/>
      <c r="G5" s="3560" t="s">
        <v>2893</v>
      </c>
      <c r="H5" s="3561"/>
      <c r="I5" s="3560" t="s">
        <v>2894</v>
      </c>
      <c r="J5" s="3561"/>
      <c r="K5" s="508"/>
      <c r="L5" s="2015"/>
      <c r="M5" s="2016"/>
      <c r="N5" s="2016"/>
      <c r="O5" s="2016"/>
      <c r="P5" s="3553"/>
      <c r="Q5" s="3554"/>
      <c r="R5" s="3539"/>
      <c r="S5" s="3540"/>
      <c r="T5" s="3539"/>
      <c r="U5" s="3540"/>
      <c r="V5" s="3557"/>
      <c r="W5" s="3557"/>
      <c r="X5" s="1501"/>
      <c r="Y5" s="3539"/>
      <c r="Z5" s="3540"/>
      <c r="AA5" s="3533"/>
      <c r="AB5" s="3533"/>
      <c r="AC5" s="3533"/>
    </row>
    <row r="6" spans="1:29" ht="15.75" thickBot="1">
      <c r="A6" s="511"/>
      <c r="B6" s="512"/>
      <c r="C6" s="3558" t="s">
        <v>2895</v>
      </c>
      <c r="D6" s="3559"/>
      <c r="E6" s="3578" t="s">
        <v>2895</v>
      </c>
      <c r="F6" s="3579"/>
      <c r="G6" s="3558" t="s">
        <v>2895</v>
      </c>
      <c r="H6" s="3559"/>
      <c r="I6" s="3558" t="s">
        <v>2895</v>
      </c>
      <c r="J6" s="3559"/>
      <c r="K6" s="508" t="s">
        <v>522</v>
      </c>
      <c r="L6" s="2015"/>
      <c r="M6" s="2016"/>
      <c r="N6" s="2016"/>
      <c r="O6" s="2016"/>
      <c r="P6" s="3555"/>
      <c r="Q6" s="3556"/>
      <c r="R6" s="3539"/>
      <c r="S6" s="3540"/>
      <c r="T6" s="3541"/>
      <c r="U6" s="3542"/>
      <c r="V6" s="3557"/>
      <c r="W6" s="3557"/>
      <c r="X6" s="1501"/>
      <c r="Y6" s="3541"/>
      <c r="Z6" s="3542"/>
      <c r="AA6" s="3534"/>
      <c r="AB6" s="3534"/>
      <c r="AC6" s="3534"/>
    </row>
    <row r="7" spans="1:29" s="1202" customFormat="1" ht="15.75" thickBot="1">
      <c r="A7" s="2629"/>
      <c r="B7" s="2636" t="s">
        <v>523</v>
      </c>
      <c r="C7" s="513">
        <f>'数据-取费表'!B2</f>
        <v>44258</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35" t="s">
        <v>524</v>
      </c>
      <c r="Q7" s="3544"/>
      <c r="R7" s="1502" t="s">
        <v>8</v>
      </c>
      <c r="S7" s="1503">
        <f t="shared" ref="S7:S14" si="0">F7</f>
        <v>0</v>
      </c>
      <c r="T7" s="1502" t="s">
        <v>8</v>
      </c>
      <c r="U7" s="1503">
        <f t="shared" ref="U7:U14" si="1">H7</f>
        <v>0</v>
      </c>
      <c r="V7" s="1502" t="s">
        <v>8</v>
      </c>
      <c r="W7" s="1503">
        <f t="shared" ref="W7:W14" si="2">J7</f>
        <v>0</v>
      </c>
      <c r="X7" s="1504"/>
      <c r="Y7" s="3535" t="s">
        <v>524</v>
      </c>
      <c r="Z7" s="3536"/>
      <c r="AA7" s="1505" t="e">
        <f>D7/F7</f>
        <v>#DIV/0!</v>
      </c>
      <c r="AB7" s="1505" t="e">
        <f>D7/H7</f>
        <v>#DIV/0!</v>
      </c>
      <c r="AC7" s="1505" t="e">
        <f>D7/J7</f>
        <v>#DIV/0!</v>
      </c>
    </row>
    <row r="8" spans="1:29" s="1202"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35" t="s">
        <v>527</v>
      </c>
      <c r="Q8" s="3536"/>
      <c r="R8" s="1502" t="s">
        <v>8</v>
      </c>
      <c r="S8" s="1503">
        <f t="shared" si="0"/>
        <v>0</v>
      </c>
      <c r="T8" s="1502" t="s">
        <v>8</v>
      </c>
      <c r="U8" s="1503">
        <f t="shared" si="1"/>
        <v>0</v>
      </c>
      <c r="V8" s="1502" t="s">
        <v>8</v>
      </c>
      <c r="W8" s="1503">
        <f t="shared" si="2"/>
        <v>0</v>
      </c>
      <c r="X8" s="1504"/>
      <c r="Y8" s="3535" t="s">
        <v>527</v>
      </c>
      <c r="Z8" s="3536"/>
      <c r="AA8" s="1505" t="e">
        <f t="shared" ref="AA8:AA34" si="3">D8/F8</f>
        <v>#DIV/0!</v>
      </c>
      <c r="AB8" s="1505" t="e">
        <f t="shared" ref="AB8:AB34" si="4">D8/H8</f>
        <v>#DIV/0!</v>
      </c>
      <c r="AC8" s="1505" t="e">
        <f t="shared" ref="AC8:AC34" si="5">D8/J8</f>
        <v>#DIV/0!</v>
      </c>
    </row>
    <row r="9" spans="1:29" s="1202" customFormat="1" ht="15">
      <c r="A9" s="2631"/>
      <c r="B9" s="2638" t="s">
        <v>2735</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43" t="s">
        <v>529</v>
      </c>
      <c r="Q9" s="1133" t="str">
        <f t="shared" ref="Q9:Q14" si="6">B9</f>
        <v>用途</v>
      </c>
      <c r="R9" s="1502" t="s">
        <v>8</v>
      </c>
      <c r="S9" s="1503">
        <f t="shared" si="0"/>
        <v>100</v>
      </c>
      <c r="T9" s="1502" t="s">
        <v>8</v>
      </c>
      <c r="U9" s="1503">
        <f t="shared" si="1"/>
        <v>100</v>
      </c>
      <c r="V9" s="1502" t="s">
        <v>8</v>
      </c>
      <c r="W9" s="1503">
        <f t="shared" si="2"/>
        <v>100</v>
      </c>
      <c r="X9" s="1504"/>
      <c r="Y9" s="3494" t="s">
        <v>530</v>
      </c>
      <c r="Z9" s="1132" t="str">
        <f t="shared" ref="Z9:Z14" si="7">Q9</f>
        <v>用途</v>
      </c>
      <c r="AA9" s="1505">
        <f t="shared" si="3"/>
        <v>1</v>
      </c>
      <c r="AB9" s="1505">
        <f t="shared" si="4"/>
        <v>1</v>
      </c>
      <c r="AC9" s="1505">
        <f t="shared" si="5"/>
        <v>1</v>
      </c>
    </row>
    <row r="10" spans="1:29" s="1291" customFormat="1" ht="27">
      <c r="A10" s="2632"/>
      <c r="B10" s="2637" t="s">
        <v>2736</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43"/>
      <c r="Q10" s="1133" t="str">
        <f t="shared" si="6"/>
        <v>土地使用年限（年）</v>
      </c>
      <c r="R10" s="1502" t="s">
        <v>8</v>
      </c>
      <c r="S10" s="1503">
        <f t="shared" si="0"/>
        <v>100</v>
      </c>
      <c r="T10" s="1502" t="s">
        <v>8</v>
      </c>
      <c r="U10" s="1503">
        <f t="shared" si="1"/>
        <v>100</v>
      </c>
      <c r="V10" s="1502" t="s">
        <v>8</v>
      </c>
      <c r="W10" s="1503">
        <f t="shared" si="2"/>
        <v>100</v>
      </c>
      <c r="X10" s="1504"/>
      <c r="Y10" s="3494"/>
      <c r="Z10" s="1132" t="str">
        <f t="shared" si="7"/>
        <v>土地使用年限（年）</v>
      </c>
      <c r="AA10" s="1505">
        <f t="shared" si="3"/>
        <v>1</v>
      </c>
      <c r="AB10" s="1505">
        <f t="shared" si="4"/>
        <v>1</v>
      </c>
      <c r="AC10" s="1505">
        <f t="shared" si="5"/>
        <v>1</v>
      </c>
    </row>
    <row r="11" spans="1:29" ht="15">
      <c r="A11" s="2634"/>
      <c r="B11" s="2640">
        <v>111</v>
      </c>
      <c r="C11" s="522"/>
      <c r="D11" s="253">
        <v>100</v>
      </c>
      <c r="E11" s="868"/>
      <c r="F11" s="253">
        <f>SUMIF(55:55,E11,56:56)-SUMIF(55:55,C11,56:56)+100</f>
        <v>100</v>
      </c>
      <c r="G11" s="868"/>
      <c r="H11" s="253">
        <f>SUMIF(55:55,G11,56:56)-SUMIF(55:55,C11,56:56)+100</f>
        <v>100</v>
      </c>
      <c r="I11" s="868"/>
      <c r="J11" s="253">
        <f>SUMIF(55:55,I11,56:56)-SUMIF(55:55,C11,56:56)+100</f>
        <v>100</v>
      </c>
      <c r="K11" s="575"/>
      <c r="L11" s="2022"/>
      <c r="M11" s="2016"/>
      <c r="N11" s="2016"/>
      <c r="O11" s="2023"/>
      <c r="P11" s="3543"/>
      <c r="Q11" s="1133">
        <f t="shared" si="6"/>
        <v>111</v>
      </c>
      <c r="R11" s="1502" t="s">
        <v>8</v>
      </c>
      <c r="S11" s="1503">
        <f t="shared" si="0"/>
        <v>100</v>
      </c>
      <c r="T11" s="1502" t="s">
        <v>8</v>
      </c>
      <c r="U11" s="1503">
        <f t="shared" si="1"/>
        <v>100</v>
      </c>
      <c r="V11" s="1502" t="s">
        <v>8</v>
      </c>
      <c r="W11" s="1503">
        <f t="shared" si="2"/>
        <v>100</v>
      </c>
      <c r="X11" s="1504"/>
      <c r="Y11" s="3494"/>
      <c r="Z11" s="1132">
        <f t="shared" si="7"/>
        <v>111</v>
      </c>
      <c r="AA11" s="1505">
        <f t="shared" si="3"/>
        <v>1</v>
      </c>
      <c r="AB11" s="1505">
        <f t="shared" si="4"/>
        <v>1</v>
      </c>
      <c r="AC11" s="1505">
        <f t="shared" si="5"/>
        <v>1</v>
      </c>
    </row>
    <row r="12" spans="1:29" s="1202" customFormat="1" ht="15">
      <c r="A12" s="2634"/>
      <c r="B12" s="2640">
        <v>111</v>
      </c>
      <c r="C12" s="522"/>
      <c r="D12" s="532">
        <v>100</v>
      </c>
      <c r="E12" s="868"/>
      <c r="F12" s="253">
        <f>SUMIF(57:57,E12,58:58)-SUMIF(57:57,C12,58:58)+100</f>
        <v>100</v>
      </c>
      <c r="G12" s="868"/>
      <c r="H12" s="253">
        <f>SUMIF(57:57,G12,58:58)-SUMIF(57:57,C12,58:58)+100</f>
        <v>100</v>
      </c>
      <c r="I12" s="868"/>
      <c r="J12" s="253">
        <f>SUMIF(57:57,I12,58:58)-SUMIF(57:57,C12,58:58)+100</f>
        <v>100</v>
      </c>
      <c r="K12" s="575"/>
      <c r="L12" s="2017"/>
      <c r="M12" s="2018"/>
      <c r="N12" s="2018"/>
      <c r="O12" s="2019"/>
      <c r="P12" s="3543"/>
      <c r="Q12" s="1133">
        <f t="shared" si="6"/>
        <v>111</v>
      </c>
      <c r="R12" s="1502" t="s">
        <v>8</v>
      </c>
      <c r="S12" s="1503">
        <f t="shared" si="0"/>
        <v>100</v>
      </c>
      <c r="T12" s="1502" t="s">
        <v>8</v>
      </c>
      <c r="U12" s="1503">
        <f t="shared" si="1"/>
        <v>100</v>
      </c>
      <c r="V12" s="1502" t="s">
        <v>8</v>
      </c>
      <c r="W12" s="1503">
        <f t="shared" si="2"/>
        <v>100</v>
      </c>
      <c r="X12" s="1504"/>
      <c r="Y12" s="3494"/>
      <c r="Z12" s="1132">
        <f t="shared" si="7"/>
        <v>111</v>
      </c>
      <c r="AA12" s="1505">
        <f>D12/F12</f>
        <v>1</v>
      </c>
      <c r="AB12" s="1505">
        <f>D12/H12</f>
        <v>1</v>
      </c>
      <c r="AC12" s="1505">
        <f>D12/J12</f>
        <v>1</v>
      </c>
    </row>
    <row r="13" spans="1:29" ht="15.75" thickBot="1">
      <c r="A13" s="2635"/>
      <c r="B13" s="2641">
        <v>111</v>
      </c>
      <c r="C13" s="533"/>
      <c r="D13" s="534">
        <v>100</v>
      </c>
      <c r="E13" s="868"/>
      <c r="F13" s="253">
        <f>SUMIF(59:59,E13,60:60)-SUMIF(59:59,C13,60:60)+100</f>
        <v>100</v>
      </c>
      <c r="G13" s="868"/>
      <c r="H13" s="534">
        <f>SUMIF(59:59,G13,60:60)-SUMIF(59:59,C13,60:60)+100</f>
        <v>100</v>
      </c>
      <c r="I13" s="868"/>
      <c r="J13" s="534">
        <f>SUMIF(59:59,I13,60:60)-SUMIF(59:59,C13,60:60)+100</f>
        <v>100</v>
      </c>
      <c r="K13" s="575"/>
      <c r="L13" s="2024"/>
      <c r="M13" s="2016"/>
      <c r="N13" s="2016"/>
      <c r="O13" s="2023"/>
      <c r="P13" s="3543"/>
      <c r="Q13" s="1133">
        <f t="shared" si="6"/>
        <v>111</v>
      </c>
      <c r="R13" s="1502" t="s">
        <v>8</v>
      </c>
      <c r="S13" s="1503">
        <f t="shared" si="0"/>
        <v>100</v>
      </c>
      <c r="T13" s="1502" t="s">
        <v>8</v>
      </c>
      <c r="U13" s="1503">
        <f t="shared" si="1"/>
        <v>100</v>
      </c>
      <c r="V13" s="1502" t="s">
        <v>8</v>
      </c>
      <c r="W13" s="1503">
        <f t="shared" si="2"/>
        <v>100</v>
      </c>
      <c r="X13" s="1504"/>
      <c r="Y13" s="3494"/>
      <c r="Z13" s="1132">
        <f t="shared" si="7"/>
        <v>111</v>
      </c>
      <c r="AA13" s="1505">
        <f t="shared" si="3"/>
        <v>1</v>
      </c>
      <c r="AB13" s="1505">
        <f t="shared" si="4"/>
        <v>1</v>
      </c>
      <c r="AC13" s="1505">
        <f t="shared" si="5"/>
        <v>1</v>
      </c>
    </row>
    <row r="14" spans="1:29" ht="85.5">
      <c r="A14" s="2627" t="s">
        <v>2733</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4"/>
      <c r="M14" s="2016"/>
      <c r="N14" s="2016"/>
      <c r="O14" s="2023"/>
      <c r="P14" s="3545" t="s">
        <v>534</v>
      </c>
      <c r="Q14" s="1506" t="str">
        <f t="shared" si="6"/>
        <v>交通便捷度</v>
      </c>
      <c r="R14" s="1507" t="s">
        <v>8</v>
      </c>
      <c r="S14" s="1508">
        <f t="shared" si="0"/>
        <v>100</v>
      </c>
      <c r="T14" s="1507" t="s">
        <v>8</v>
      </c>
      <c r="U14" s="1508">
        <f t="shared" si="1"/>
        <v>100</v>
      </c>
      <c r="V14" s="1507" t="s">
        <v>8</v>
      </c>
      <c r="W14" s="1508">
        <f t="shared" si="2"/>
        <v>100</v>
      </c>
      <c r="X14" s="1501"/>
      <c r="Y14" s="3545"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4"/>
      <c r="M15" s="2016"/>
      <c r="N15" s="2016"/>
      <c r="O15" s="2023"/>
      <c r="P15" s="3546"/>
      <c r="Q15" s="1506"/>
      <c r="R15" s="1507"/>
      <c r="S15" s="1508"/>
      <c r="T15" s="1507"/>
      <c r="U15" s="1508"/>
      <c r="V15" s="1507"/>
      <c r="W15" s="1508"/>
      <c r="X15" s="1501"/>
      <c r="Y15" s="3546"/>
      <c r="Z15" s="1509"/>
      <c r="AA15" s="1510">
        <v>1</v>
      </c>
      <c r="AB15" s="1510">
        <v>1</v>
      </c>
      <c r="AC15" s="1510">
        <v>1</v>
      </c>
    </row>
    <row r="16" spans="1:29" ht="42.75">
      <c r="A16" s="526"/>
      <c r="B16" s="2447" t="s">
        <v>2526</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4"/>
      <c r="M16" s="2016"/>
      <c r="N16" s="2016"/>
      <c r="O16" s="2023"/>
      <c r="P16" s="3546"/>
      <c r="Q16" s="1506" t="str">
        <f>B16</f>
        <v>公共配套设施</v>
      </c>
      <c r="R16" s="1507" t="s">
        <v>8</v>
      </c>
      <c r="S16" s="1508">
        <f>F16</f>
        <v>100</v>
      </c>
      <c r="T16" s="1507" t="s">
        <v>8</v>
      </c>
      <c r="U16" s="1508">
        <f>H16</f>
        <v>100</v>
      </c>
      <c r="V16" s="1507" t="s">
        <v>8</v>
      </c>
      <c r="W16" s="1508">
        <f>J16</f>
        <v>100</v>
      </c>
      <c r="X16" s="1501"/>
      <c r="Y16" s="3546"/>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4"/>
      <c r="M17" s="2016"/>
      <c r="N17" s="2016"/>
      <c r="O17" s="2023"/>
      <c r="P17" s="3546"/>
      <c r="Q17" s="1506"/>
      <c r="R17" s="1507"/>
      <c r="S17" s="1508"/>
      <c r="T17" s="1507"/>
      <c r="U17" s="1508"/>
      <c r="V17" s="1507"/>
      <c r="W17" s="1508"/>
      <c r="X17" s="1501"/>
      <c r="Y17" s="3546"/>
      <c r="Z17" s="1509"/>
      <c r="AA17" s="1510">
        <v>1</v>
      </c>
      <c r="AB17" s="1510">
        <v>1</v>
      </c>
      <c r="AC17" s="1510">
        <v>1</v>
      </c>
    </row>
    <row r="18" spans="1:29" ht="28.5">
      <c r="A18" s="526"/>
      <c r="B18" s="2435" t="s">
        <v>2538</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4"/>
      <c r="M18" s="2016"/>
      <c r="N18" s="2016"/>
      <c r="O18" s="2023"/>
      <c r="P18" s="3546"/>
      <c r="Q18" s="2429" t="str">
        <f>B18</f>
        <v>基础设施水平</v>
      </c>
      <c r="R18" s="1507" t="s">
        <v>8</v>
      </c>
      <c r="S18" s="1508">
        <f>F18</f>
        <v>100</v>
      </c>
      <c r="T18" s="1507" t="s">
        <v>8</v>
      </c>
      <c r="U18" s="1508">
        <f>H18</f>
        <v>100</v>
      </c>
      <c r="V18" s="1507" t="s">
        <v>8</v>
      </c>
      <c r="W18" s="1508">
        <f>J18</f>
        <v>100</v>
      </c>
      <c r="X18" s="2431"/>
      <c r="Y18" s="3546"/>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546"/>
      <c r="Q19" s="2429"/>
      <c r="R19" s="1507"/>
      <c r="S19" s="1508"/>
      <c r="T19" s="1507"/>
      <c r="U19" s="1508"/>
      <c r="V19" s="1507"/>
      <c r="W19" s="1508"/>
      <c r="X19" s="2431"/>
      <c r="Y19" s="3546"/>
      <c r="Z19" s="2430"/>
      <c r="AA19" s="1510">
        <v>1</v>
      </c>
      <c r="AB19" s="1510">
        <v>1</v>
      </c>
      <c r="AC19" s="1510">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4"/>
      <c r="M20" s="2016"/>
      <c r="N20" s="2016"/>
      <c r="O20" s="2023"/>
      <c r="P20" s="3546"/>
      <c r="Q20" s="1506" t="str">
        <f>B20</f>
        <v>自然及人文环境</v>
      </c>
      <c r="R20" s="1507" t="s">
        <v>8</v>
      </c>
      <c r="S20" s="1508">
        <f>F20</f>
        <v>100</v>
      </c>
      <c r="T20" s="1507" t="s">
        <v>8</v>
      </c>
      <c r="U20" s="1508">
        <f>H20</f>
        <v>100</v>
      </c>
      <c r="V20" s="1507" t="s">
        <v>8</v>
      </c>
      <c r="W20" s="1508">
        <f>J20</f>
        <v>100</v>
      </c>
      <c r="X20" s="1501"/>
      <c r="Y20" s="3546"/>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4"/>
      <c r="M21" s="2016"/>
      <c r="N21" s="2016"/>
      <c r="O21" s="2023"/>
      <c r="P21" s="3546"/>
      <c r="Q21" s="1506"/>
      <c r="R21" s="1507"/>
      <c r="S21" s="1508"/>
      <c r="T21" s="1507"/>
      <c r="U21" s="1508"/>
      <c r="V21" s="1507"/>
      <c r="W21" s="1508"/>
      <c r="X21" s="1501"/>
      <c r="Y21" s="3546"/>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46"/>
      <c r="Q22" s="1506" t="str">
        <f>B22</f>
        <v>楼层</v>
      </c>
      <c r="R22" s="1507" t="s">
        <v>8</v>
      </c>
      <c r="S22" s="1508">
        <f>F22</f>
        <v>100</v>
      </c>
      <c r="T22" s="1507" t="s">
        <v>8</v>
      </c>
      <c r="U22" s="1508">
        <f>H22</f>
        <v>100</v>
      </c>
      <c r="V22" s="1507" t="s">
        <v>8</v>
      </c>
      <c r="W22" s="1508">
        <f>J22</f>
        <v>100</v>
      </c>
      <c r="X22" s="1501"/>
      <c r="Y22" s="3546"/>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46"/>
      <c r="Q23" s="1506">
        <f>B23</f>
        <v>111</v>
      </c>
      <c r="R23" s="1507" t="s">
        <v>8</v>
      </c>
      <c r="S23" s="1508">
        <f>F23</f>
        <v>100</v>
      </c>
      <c r="T23" s="1507" t="s">
        <v>8</v>
      </c>
      <c r="U23" s="1508">
        <f>H23</f>
        <v>100</v>
      </c>
      <c r="V23" s="1507" t="s">
        <v>8</v>
      </c>
      <c r="W23" s="1508">
        <f>J23</f>
        <v>100</v>
      </c>
      <c r="X23" s="1501"/>
      <c r="Y23" s="3546"/>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46"/>
      <c r="Q24" s="1506">
        <f t="shared" ref="Q24:Q34" si="11">B24</f>
        <v>111</v>
      </c>
      <c r="R24" s="1507" t="s">
        <v>8</v>
      </c>
      <c r="S24" s="1508">
        <f>F24</f>
        <v>100</v>
      </c>
      <c r="T24" s="1507" t="s">
        <v>8</v>
      </c>
      <c r="U24" s="1508">
        <f>H24</f>
        <v>100</v>
      </c>
      <c r="V24" s="1507" t="s">
        <v>8</v>
      </c>
      <c r="W24" s="1508">
        <f>J24</f>
        <v>100</v>
      </c>
      <c r="X24" s="1501"/>
      <c r="Y24" s="3546"/>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7"/>
      <c r="M25" s="2018"/>
      <c r="N25" s="2018"/>
      <c r="O25" s="2019"/>
      <c r="P25" s="3546"/>
      <c r="Q25" s="1133">
        <f t="shared" si="11"/>
        <v>111</v>
      </c>
      <c r="R25" s="1502" t="s">
        <v>8</v>
      </c>
      <c r="S25" s="1503">
        <f>F25</f>
        <v>100</v>
      </c>
      <c r="T25" s="1502" t="s">
        <v>8</v>
      </c>
      <c r="U25" s="1503">
        <f>H25</f>
        <v>100</v>
      </c>
      <c r="V25" s="1502" t="s">
        <v>8</v>
      </c>
      <c r="W25" s="1503">
        <f>J25</f>
        <v>100</v>
      </c>
      <c r="X25" s="1504"/>
      <c r="Y25" s="3546"/>
      <c r="Z25" s="1132">
        <f>Q25</f>
        <v>111</v>
      </c>
      <c r="AA25" s="1510">
        <f>D25/F25</f>
        <v>1</v>
      </c>
      <c r="AB25" s="1510">
        <f>D25/H25</f>
        <v>1</v>
      </c>
      <c r="AC25" s="1510">
        <f>D25/J25</f>
        <v>1</v>
      </c>
    </row>
    <row r="26" spans="1:29" ht="15">
      <c r="A26" s="2624" t="s">
        <v>2734</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4"/>
      <c r="M26" s="2016"/>
      <c r="N26" s="2016"/>
      <c r="O26" s="2023"/>
      <c r="P26" s="3547"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48"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2"/>
      <c r="M27" s="2052"/>
      <c r="N27" s="2052"/>
      <c r="O27" s="2025"/>
      <c r="P27" s="3548"/>
      <c r="Q27" s="1535" t="str">
        <f t="shared" si="11"/>
        <v>成新率</v>
      </c>
      <c r="R27" s="1511" t="s">
        <v>8</v>
      </c>
      <c r="S27" s="1512" t="e">
        <f t="shared" si="12"/>
        <v>#N/A</v>
      </c>
      <c r="T27" s="1511" t="s">
        <v>8</v>
      </c>
      <c r="U27" s="1512" t="e">
        <f t="shared" si="13"/>
        <v>#N/A</v>
      </c>
      <c r="V27" s="1511" t="s">
        <v>8</v>
      </c>
      <c r="W27" s="1512" t="e">
        <f t="shared" si="14"/>
        <v>#N/A</v>
      </c>
      <c r="X27" s="1513"/>
      <c r="Y27" s="3548"/>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48"/>
      <c r="Q28" s="1506" t="str">
        <f t="shared" si="11"/>
        <v>物业等级</v>
      </c>
      <c r="R28" s="1507" t="s">
        <v>8</v>
      </c>
      <c r="S28" s="1508">
        <f t="shared" si="12"/>
        <v>100</v>
      </c>
      <c r="T28" s="1507" t="s">
        <v>8</v>
      </c>
      <c r="U28" s="1508">
        <f t="shared" si="13"/>
        <v>100</v>
      </c>
      <c r="V28" s="1507" t="s">
        <v>8</v>
      </c>
      <c r="W28" s="1508">
        <f t="shared" si="14"/>
        <v>100</v>
      </c>
      <c r="X28" s="1501"/>
      <c r="Y28" s="3548"/>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4"/>
      <c r="M29" s="2016"/>
      <c r="N29" s="2016"/>
      <c r="O29" s="2023"/>
      <c r="P29" s="3548"/>
      <c r="Q29" s="1506" t="str">
        <f t="shared" si="11"/>
        <v>有无电梯</v>
      </c>
      <c r="R29" s="1507" t="s">
        <v>8</v>
      </c>
      <c r="S29" s="1508">
        <f t="shared" si="12"/>
        <v>100</v>
      </c>
      <c r="T29" s="1507" t="s">
        <v>8</v>
      </c>
      <c r="U29" s="1508">
        <f t="shared" si="13"/>
        <v>100</v>
      </c>
      <c r="V29" s="1507" t="s">
        <v>8</v>
      </c>
      <c r="W29" s="1508">
        <f t="shared" si="14"/>
        <v>100</v>
      </c>
      <c r="X29" s="1501"/>
      <c r="Y29" s="3548"/>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4"/>
      <c r="M30" s="2016"/>
      <c r="N30" s="2016"/>
      <c r="O30" s="2023"/>
      <c r="P30" s="3548"/>
      <c r="Q30" s="1506" t="str">
        <f t="shared" si="11"/>
        <v>建筑面积</v>
      </c>
      <c r="R30" s="1507" t="s">
        <v>8</v>
      </c>
      <c r="S30" s="1508" t="e">
        <f t="shared" si="12"/>
        <v>#N/A</v>
      </c>
      <c r="T30" s="1507" t="s">
        <v>8</v>
      </c>
      <c r="U30" s="1508" t="e">
        <f t="shared" si="13"/>
        <v>#N/A</v>
      </c>
      <c r="V30" s="1507" t="s">
        <v>8</v>
      </c>
      <c r="W30" s="1508" t="e">
        <f t="shared" si="14"/>
        <v>#N/A</v>
      </c>
      <c r="X30" s="1501"/>
      <c r="Y30" s="3548"/>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7"/>
      <c r="M31" s="2018"/>
      <c r="N31" s="2018"/>
      <c r="O31" s="2019"/>
      <c r="P31" s="3548"/>
      <c r="Q31" s="1133" t="str">
        <f t="shared" si="11"/>
        <v>是否封闭</v>
      </c>
      <c r="R31" s="1502" t="s">
        <v>8</v>
      </c>
      <c r="S31" s="1503">
        <f t="shared" si="12"/>
        <v>100</v>
      </c>
      <c r="T31" s="1502" t="s">
        <v>8</v>
      </c>
      <c r="U31" s="1503">
        <f t="shared" si="13"/>
        <v>100</v>
      </c>
      <c r="V31" s="1502" t="s">
        <v>8</v>
      </c>
      <c r="W31" s="1503">
        <f t="shared" si="14"/>
        <v>100</v>
      </c>
      <c r="X31" s="1504"/>
      <c r="Y31" s="3548"/>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4"/>
      <c r="M32" s="2016"/>
      <c r="N32" s="2016"/>
      <c r="O32" s="2023"/>
      <c r="P32" s="3548" t="s">
        <v>544</v>
      </c>
      <c r="Q32" s="1506">
        <f t="shared" si="11"/>
        <v>111</v>
      </c>
      <c r="R32" s="1507" t="s">
        <v>8</v>
      </c>
      <c r="S32" s="1508">
        <f t="shared" si="12"/>
        <v>100</v>
      </c>
      <c r="T32" s="1507" t="s">
        <v>8</v>
      </c>
      <c r="U32" s="1508">
        <f t="shared" si="13"/>
        <v>100</v>
      </c>
      <c r="V32" s="1507" t="s">
        <v>8</v>
      </c>
      <c r="W32" s="1508">
        <f t="shared" si="14"/>
        <v>100</v>
      </c>
      <c r="X32" s="1501"/>
      <c r="Y32" s="3548"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4"/>
      <c r="M33" s="2016"/>
      <c r="N33" s="2016"/>
      <c r="O33" s="2023"/>
      <c r="P33" s="3548"/>
      <c r="Q33" s="1506">
        <f t="shared" si="11"/>
        <v>111</v>
      </c>
      <c r="R33" s="1507" t="s">
        <v>8</v>
      </c>
      <c r="S33" s="1508">
        <f t="shared" si="12"/>
        <v>100</v>
      </c>
      <c r="T33" s="1507" t="s">
        <v>8</v>
      </c>
      <c r="U33" s="1508">
        <f t="shared" si="13"/>
        <v>100</v>
      </c>
      <c r="V33" s="1507" t="s">
        <v>8</v>
      </c>
      <c r="W33" s="1508">
        <f t="shared" si="14"/>
        <v>100</v>
      </c>
      <c r="X33" s="1501"/>
      <c r="Y33" s="3548"/>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4"/>
      <c r="M34" s="2016"/>
      <c r="N34" s="2016"/>
      <c r="O34" s="2023"/>
      <c r="P34" s="3548"/>
      <c r="Q34" s="1506">
        <f t="shared" si="11"/>
        <v>111</v>
      </c>
      <c r="R34" s="1507" t="s">
        <v>8</v>
      </c>
      <c r="S34" s="1508">
        <f t="shared" si="12"/>
        <v>100</v>
      </c>
      <c r="T34" s="1507" t="s">
        <v>8</v>
      </c>
      <c r="U34" s="1508">
        <f t="shared" si="13"/>
        <v>100</v>
      </c>
      <c r="V34" s="1507" t="s">
        <v>8</v>
      </c>
      <c r="W34" s="1508">
        <f t="shared" si="14"/>
        <v>100</v>
      </c>
      <c r="X34" s="1501"/>
      <c r="Y34" s="3548"/>
      <c r="Z34" s="1509">
        <f t="shared" si="15"/>
        <v>111</v>
      </c>
      <c r="AA34" s="1510">
        <f t="shared" si="3"/>
        <v>1</v>
      </c>
      <c r="AB34" s="1510">
        <f t="shared" si="4"/>
        <v>1</v>
      </c>
      <c r="AC34" s="1510">
        <f t="shared" si="5"/>
        <v>1</v>
      </c>
    </row>
    <row r="35" spans="1:29" ht="15">
      <c r="A35" s="601" t="s">
        <v>730</v>
      </c>
      <c r="B35" s="875"/>
      <c r="C35" s="2470" t="s">
        <v>1</v>
      </c>
      <c r="D35" s="2471"/>
      <c r="E35" s="2472"/>
      <c r="F35" s="2473"/>
      <c r="G35" s="2474"/>
      <c r="H35" s="2475"/>
      <c r="I35" s="2472"/>
      <c r="J35" s="2475"/>
      <c r="K35" s="1540"/>
      <c r="L35" s="2026"/>
      <c r="M35" s="2027"/>
      <c r="N35" s="2016"/>
      <c r="O35" s="2027"/>
      <c r="P35" s="3543" t="str">
        <f>A35</f>
        <v>成交单价（元/平方米）</v>
      </c>
      <c r="Q35" s="3543"/>
      <c r="R35" s="3650">
        <f>E35</f>
        <v>0</v>
      </c>
      <c r="S35" s="3650"/>
      <c r="T35" s="3650">
        <f>G35</f>
        <v>0</v>
      </c>
      <c r="U35" s="3650"/>
      <c r="V35" s="3650">
        <f>I35</f>
        <v>0</v>
      </c>
      <c r="W35" s="3650"/>
      <c r="X35" s="1496"/>
      <c r="Y35" s="1515"/>
      <c r="Z35" s="1496"/>
      <c r="AA35" s="1496"/>
      <c r="AB35" s="1496"/>
      <c r="AC35" s="1496"/>
    </row>
    <row r="36" spans="1:29" ht="15.75" thickBot="1">
      <c r="A36" s="609" t="s">
        <v>2739</v>
      </c>
      <c r="B36" s="876"/>
      <c r="C36" s="2476" t="e">
        <f>R37</f>
        <v>#DIV/0!</v>
      </c>
      <c r="D36" s="3014" t="s">
        <v>2966</v>
      </c>
      <c r="E36" s="2477" t="e">
        <f>R36</f>
        <v>#DIV/0!</v>
      </c>
      <c r="F36" s="3015"/>
      <c r="G36" s="2476" t="e">
        <f>T36</f>
        <v>#DIV/0!</v>
      </c>
      <c r="H36" s="3015"/>
      <c r="I36" s="2477" t="e">
        <f>V36</f>
        <v>#DIV/0!</v>
      </c>
      <c r="J36" s="3015"/>
      <c r="K36" s="3023">
        <f>F36+H36+J36</f>
        <v>0</v>
      </c>
      <c r="L36" s="2026"/>
      <c r="M36" s="2027"/>
      <c r="N36" s="2016"/>
      <c r="O36" s="2027"/>
      <c r="P36" s="3543" t="str">
        <f>A36</f>
        <v>比较价格（元/平方米）</v>
      </c>
      <c r="Q36" s="3543"/>
      <c r="R36" s="3650" t="e">
        <f>IF(F1="售价",ROUND(PRODUCT(R35,AA7:AA34),0),ROUND(PRODUCT(R35,AA7:AA34),1))</f>
        <v>#DIV/0!</v>
      </c>
      <c r="S36" s="3650"/>
      <c r="T36" s="3650" t="e">
        <f>IF(F1="售价",ROUND(PRODUCT(T35,AB7:AB34),0),ROUND(PRODUCT(T35,AB7:AB34),1))</f>
        <v>#DIV/0!</v>
      </c>
      <c r="U36" s="3650"/>
      <c r="V36" s="3650" t="e">
        <f>IF(F1="售价",ROUND(PRODUCT(V35,AC7:AC34),0),ROUND(PRODUCT(V35,AC7:AC34),1))</f>
        <v>#DIV/0!</v>
      </c>
      <c r="W36" s="3650"/>
      <c r="X36" s="1496"/>
      <c r="Y36" s="1496"/>
      <c r="Z36" s="1496"/>
      <c r="AA36" s="1496"/>
      <c r="AB36" s="1496"/>
      <c r="AC36" s="1496"/>
    </row>
    <row r="37" spans="1:29" ht="15.75" thickBot="1">
      <c r="A37" s="613" t="s">
        <v>2897</v>
      </c>
      <c r="B37" s="614"/>
      <c r="C37" s="2478" t="e">
        <f>R37</f>
        <v>#DIV/0!</v>
      </c>
      <c r="D37" s="2478"/>
      <c r="E37" s="2478"/>
      <c r="F37" s="2478"/>
      <c r="G37" s="2478"/>
      <c r="H37" s="2478"/>
      <c r="I37" s="2478"/>
      <c r="J37" s="2478"/>
      <c r="K37" s="1541"/>
      <c r="L37" s="2026"/>
      <c r="M37" s="2027"/>
      <c r="N37" s="2027"/>
      <c r="O37" s="2027"/>
      <c r="P37" s="3564" t="str">
        <f>A37</f>
        <v>估价对象XX用房的比较价格（楼面单价，元/平方米）</v>
      </c>
      <c r="Q37" s="3565"/>
      <c r="R37" s="3649" t="e">
        <f>IF(F1="售价",ROUND(IF(D36="简单平均",AVERAGE(R36:W36),R36*F36+T36*H36+V36*J36),0),ROUND(IF(D36="简单平均",AVERAGE(R36:V36),R36*F36+T36*H36+V36*J36),1))</f>
        <v>#DIV/0!</v>
      </c>
      <c r="S37" s="3649"/>
      <c r="T37" s="3649"/>
      <c r="U37" s="3649"/>
      <c r="V37" s="3649"/>
      <c r="W37" s="3649"/>
      <c r="X37" s="1496"/>
      <c r="Y37" s="1496"/>
      <c r="Z37" s="1496"/>
      <c r="AA37" s="1496"/>
      <c r="AB37" s="1496"/>
      <c r="AC37" s="1496"/>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523</v>
      </c>
      <c r="B46" s="638"/>
      <c r="C46" s="2519" t="str">
        <f>YEAR(C7)&amp;"-"&amp;MONTH(C7)</f>
        <v>2021-3</v>
      </c>
      <c r="D46" s="2521">
        <f>EDATE(C46,-1)</f>
        <v>44228</v>
      </c>
      <c r="E46" s="2521">
        <f t="shared" ref="E46:O46" si="16">EDATE(D46,-1)</f>
        <v>44197</v>
      </c>
      <c r="F46" s="2521">
        <f t="shared" si="16"/>
        <v>44166</v>
      </c>
      <c r="G46" s="2521">
        <f t="shared" si="16"/>
        <v>44136</v>
      </c>
      <c r="H46" s="2521">
        <f t="shared" si="16"/>
        <v>44105</v>
      </c>
      <c r="I46" s="2521">
        <f t="shared" si="16"/>
        <v>44075</v>
      </c>
      <c r="J46" s="2521">
        <f t="shared" si="16"/>
        <v>44044</v>
      </c>
      <c r="K46" s="2521">
        <f t="shared" si="16"/>
        <v>44013</v>
      </c>
      <c r="L46" s="2521">
        <f t="shared" si="16"/>
        <v>43983</v>
      </c>
      <c r="M46" s="2521">
        <f t="shared" si="16"/>
        <v>43952</v>
      </c>
      <c r="N46" s="2521">
        <f t="shared" si="16"/>
        <v>43922</v>
      </c>
      <c r="O46" s="2521">
        <f t="shared" si="16"/>
        <v>43891</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3">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2537</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2538</v>
      </c>
      <c r="C65" s="2442" t="s">
        <v>2539</v>
      </c>
      <c r="D65" s="2442" t="s">
        <v>2540</v>
      </c>
      <c r="E65" s="2442" t="s">
        <v>2541</v>
      </c>
      <c r="F65" s="2442" t="s">
        <v>2542</v>
      </c>
      <c r="G65" s="2442" t="s">
        <v>2543</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821</v>
      </c>
      <c r="C89" s="680"/>
      <c r="D89" s="680"/>
      <c r="E89" s="680"/>
      <c r="F89" s="680"/>
      <c r="G89" s="680"/>
      <c r="H89" s="680"/>
      <c r="I89" s="680"/>
      <c r="J89" s="680"/>
      <c r="K89" s="680"/>
      <c r="L89" s="680"/>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5">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80" zoomScaleNormal="80" workbookViewId="0">
      <pane ySplit="24" topLeftCell="A25" activePane="bottomLeft" state="frozen"/>
      <selection pane="bottomLeft" activeCell="A34" sqref="A34"/>
    </sheetView>
  </sheetViews>
  <sheetFormatPr defaultColWidth="9" defaultRowHeight="12.75"/>
  <cols>
    <col min="1" max="1" width="11.5" style="1203" customWidth="1"/>
    <col min="2" max="2" width="9.25" style="1200" customWidth="1"/>
    <col min="3" max="3" width="7.625" style="1200" customWidth="1"/>
    <col min="4" max="4" width="0" style="1200" hidden="1" customWidth="1"/>
    <col min="5" max="5" width="6.75" style="1200" hidden="1" customWidth="1"/>
    <col min="6" max="6" width="0" style="1200" hidden="1" customWidth="1"/>
    <col min="7" max="7" width="5" style="1200" hidden="1" customWidth="1"/>
    <col min="8" max="8" width="0" style="1200" hidden="1" customWidth="1"/>
    <col min="9" max="9" width="5" style="1200" hidden="1" customWidth="1"/>
    <col min="10" max="10" width="0" style="1200" hidden="1" customWidth="1"/>
    <col min="11" max="11" width="5" style="1200" hidden="1" customWidth="1"/>
    <col min="12" max="12" width="0" style="1200" hidden="1" customWidth="1"/>
    <col min="13" max="13" width="5" style="1200" hidden="1" customWidth="1"/>
    <col min="14" max="14" width="0" style="1200" hidden="1" customWidth="1"/>
    <col min="15" max="15" width="5" style="1200" hidden="1"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2290</v>
      </c>
      <c r="C1" s="3659" t="s">
        <v>2291</v>
      </c>
      <c r="D1" s="3660"/>
      <c r="E1" s="3660"/>
      <c r="F1" s="3660"/>
      <c r="G1" s="3660"/>
      <c r="H1" s="3660"/>
      <c r="I1" s="3660"/>
      <c r="J1" s="3660"/>
      <c r="K1" s="3660"/>
      <c r="L1" s="3660"/>
      <c r="M1" s="3660"/>
      <c r="N1" s="3660"/>
      <c r="O1" s="3660"/>
      <c r="P1" s="3660"/>
      <c r="Q1" s="3660"/>
      <c r="R1" s="3660"/>
      <c r="S1" s="3661"/>
      <c r="T1" s="2114" t="s">
        <v>2292</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ht="25.5">
      <c r="A2" s="2115"/>
      <c r="B2" s="2860" t="s">
        <v>2293</v>
      </c>
      <c r="C2" s="937" t="str">
        <f t="shared" ref="C2:L2" si="0">C3&amp;"(含)"&amp;"-"&amp;D3</f>
        <v>0(含)-500000</v>
      </c>
      <c r="D2" s="938" t="str">
        <f t="shared" si="0"/>
        <v>500000(含)-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v>0</v>
      </c>
      <c r="D3" s="942">
        <v>500000</v>
      </c>
      <c r="E3" s="942"/>
      <c r="F3" s="942"/>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3345" t="s">
        <v>3165</v>
      </c>
      <c r="C5" s="3344"/>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2890</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2889</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2901</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2888</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2887</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2294</v>
      </c>
      <c r="B17" s="2158" t="s">
        <v>2295</v>
      </c>
      <c r="C17" s="2159">
        <f>系统读取表!C14</f>
        <v>54426.77</v>
      </c>
      <c r="D17" s="2160">
        <f>系统读取表!C15</f>
        <v>0</v>
      </c>
      <c r="E17" s="2160">
        <f>系统读取表!C16</f>
        <v>56190.86</v>
      </c>
      <c r="F17" s="2160">
        <f>系统读取表!C17</f>
        <v>37823.839999999997</v>
      </c>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v>100</v>
      </c>
      <c r="D18" s="2172"/>
      <c r="E18" s="2172">
        <v>100</v>
      </c>
      <c r="F18" s="2172">
        <v>98</v>
      </c>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5">
        <f ca="1">S22</f>
        <v>84622</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5">
        <f ca="1">R22</f>
        <v>2280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371103.67</v>
      </c>
      <c r="C22" s="3656" t="s">
        <v>20</v>
      </c>
      <c r="D22" s="3657"/>
      <c r="E22" s="3657"/>
      <c r="F22" s="3657"/>
      <c r="G22" s="3657"/>
      <c r="H22" s="3657"/>
      <c r="I22" s="3657"/>
      <c r="J22" s="3657"/>
      <c r="K22" s="3657"/>
      <c r="L22" s="3657"/>
      <c r="M22" s="3657"/>
      <c r="N22" s="3657"/>
      <c r="O22" s="3657"/>
      <c r="P22" s="3657"/>
      <c r="Q22" s="3658"/>
      <c r="R22" s="484">
        <f ca="1">ROUND(S22*10000/B22,0)</f>
        <v>2280</v>
      </c>
      <c r="S22" s="53">
        <f ca="1">SUM(S24:S10000)</f>
        <v>84622</v>
      </c>
    </row>
    <row r="23" spans="1:45" s="1542" customFormat="1" ht="24">
      <c r="A23" s="17" t="s">
        <v>824</v>
      </c>
      <c r="B23" s="2861" t="s">
        <v>2909</v>
      </c>
      <c r="C23" s="17" t="s">
        <v>825</v>
      </c>
      <c r="D23" s="17" t="str">
        <f>B5</f>
        <v>土地面积</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v>23</v>
      </c>
      <c r="B24" s="948">
        <f>系统读取表!B14</f>
        <v>136066.92000000001</v>
      </c>
      <c r="C24" s="3276">
        <v>1</v>
      </c>
      <c r="D24" s="3277"/>
      <c r="E24" s="3276">
        <v>1</v>
      </c>
      <c r="F24" s="3277"/>
      <c r="G24" s="3276">
        <v>1</v>
      </c>
      <c r="H24" s="3277"/>
      <c r="I24" s="3276">
        <v>1</v>
      </c>
      <c r="J24" s="3277"/>
      <c r="K24" s="3276">
        <v>1</v>
      </c>
      <c r="L24" s="3277"/>
      <c r="M24" s="3276">
        <v>1</v>
      </c>
      <c r="N24" s="3277"/>
      <c r="O24" s="3276">
        <v>1</v>
      </c>
      <c r="P24" s="3277">
        <v>54426.77</v>
      </c>
      <c r="Q24" s="3276">
        <v>1</v>
      </c>
      <c r="R24" s="951">
        <f ca="1">结果表!G20</f>
        <v>2292</v>
      </c>
      <c r="S24" s="949">
        <f t="shared" ref="S24:S54" ca="1" si="11">ROUND(R24*B24/10000,0)</f>
        <v>31187</v>
      </c>
      <c r="T24" s="1887"/>
      <c r="U24" s="1887"/>
      <c r="V24" s="1887"/>
      <c r="W24" s="1887"/>
      <c r="X24" s="1887"/>
      <c r="Y24" s="1887"/>
      <c r="Z24" s="1887"/>
      <c r="AA24" s="1887"/>
      <c r="AB24" s="1887"/>
      <c r="AC24" s="1887"/>
      <c r="AD24" s="1887"/>
      <c r="AE24" s="1887"/>
      <c r="AF24" s="1887"/>
      <c r="AG24" s="1887"/>
      <c r="AH24" s="1887"/>
      <c r="AI24" s="1887"/>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0</v>
      </c>
      <c r="R25" s="484">
        <f>IF(B25="",0,ROUND($R$24*C25*E25*G25*I25*K25*M25*O25*Q25,0))</f>
        <v>0</v>
      </c>
      <c r="S25" s="789">
        <f t="shared" si="11"/>
        <v>0</v>
      </c>
    </row>
    <row r="26" spans="1:45">
      <c r="A26" s="952">
        <v>24</v>
      </c>
      <c r="B26" s="136">
        <f>系统读取表!B16</f>
        <v>140477.15</v>
      </c>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v>56190.86</v>
      </c>
      <c r="Q26" s="53">
        <f t="shared" ref="Q26:Q89" si="19">(SUMIF($17:$17,P26,$18:$18)-SUMIF($17:$17,$P$24,$18:$18)+100)/100</f>
        <v>1</v>
      </c>
      <c r="R26" s="484">
        <f t="shared" ref="R26:R89" ca="1" si="20">IF(B26="",0,ROUND($R$24*C26*E26*G26*I26*K26*M26*O26*Q26,0))</f>
        <v>2292</v>
      </c>
      <c r="S26" s="789">
        <f t="shared" ca="1" si="11"/>
        <v>32197</v>
      </c>
    </row>
    <row r="27" spans="1:45">
      <c r="A27" s="952">
        <v>27</v>
      </c>
      <c r="B27" s="136">
        <f>系统读取表!B17</f>
        <v>94559.599999999991</v>
      </c>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v>37823.839999999997</v>
      </c>
      <c r="Q27" s="53">
        <f t="shared" si="19"/>
        <v>0.98</v>
      </c>
      <c r="R27" s="484">
        <f t="shared" ca="1" si="20"/>
        <v>2246</v>
      </c>
      <c r="S27" s="789">
        <f t="shared" ca="1" si="11"/>
        <v>21238</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0</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0</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0</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0</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0</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0</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0</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0</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0</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0</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0</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0</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0</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0</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0</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0</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0</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0</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0</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0</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0</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0</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0</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0</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0</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0</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0</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0</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0</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0</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0</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0</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0</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0</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0</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0</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0</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0</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0</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0</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0</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0</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0</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0</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0</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0</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0</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0</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0</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0</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0</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0</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0</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0</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0</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0</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0</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0</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0</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0</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0</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0</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0</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0</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0</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0</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0</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0</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0</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0</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0</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0</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0</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0</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0</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0</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0</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0</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0</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0</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0</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0</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0</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0</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0</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0</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0</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0</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0</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0</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0</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0</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0</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0</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0</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0</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0</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0</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0</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0</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0</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0</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0</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0</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0</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0</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0</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0</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0</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0</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0</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0</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0</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0</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0</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0</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0</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0</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0</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0</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0</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0</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0</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0</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0</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0</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0</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0</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0</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0</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0</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0</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0</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0</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0</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0</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0</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0</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0</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0</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0</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0</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0</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0</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0</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0</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0</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0</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0</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0</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0</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0</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0</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0</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0</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0</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0</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0</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0</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0</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0</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0</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0</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0</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0</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0</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0</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0</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0</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0</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0</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0</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0</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0</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0</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0</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0</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0</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0</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0</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0</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0</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0</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0</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0</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0</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0</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0</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0</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0</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0</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0</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0</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0</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0</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0</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0</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0</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0</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0</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0</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0</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0</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0</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0</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0</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0</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0</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0</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0</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0</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0</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0</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0</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0</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0</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0</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0</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0</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0</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0</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0</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0</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0</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0</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0</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0</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0</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0</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0</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0</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0</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0</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0</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0</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0</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0</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0</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0</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0</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0</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0</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0</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0</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0</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0</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0</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0</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0</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0</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0</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0</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0</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0</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0</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0</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0</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0</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0</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0</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0</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0</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0</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0</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0</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0</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0</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0</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0</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0</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0</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0</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0</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0</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0</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0</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0</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0</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0</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0</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0</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0</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0</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0</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0</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0</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0</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0</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0</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0</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0</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0</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0</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0</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0</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0</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0</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0</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0</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0</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0</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0</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0</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0</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0</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0</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0</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0</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0</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0</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0</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0</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0</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0</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0</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0</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0</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0</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0</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0</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0</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0</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0</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0</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0</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0</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0</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0</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0</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0</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0</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0</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0</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0</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0</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0</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0</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0</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0</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0</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0</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0</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0</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0</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0</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0</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0</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0</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0</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0</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0</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0</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0</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0</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0</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0</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0</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0</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0</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0</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0</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0</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0</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0</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0</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0</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0</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0</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0</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0</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0</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0</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0</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0</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0</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0</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0</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0</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0</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0</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0</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0</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0</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0</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0</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0</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0</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0</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0</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0</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0</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0</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0</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0</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0</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0</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0</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0</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0</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0</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0</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0</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0</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0</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0</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0</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0</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0</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0</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0</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0</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0</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0</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0</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0</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0</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0</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0</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0</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0</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0</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0</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0</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0</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0</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0</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0</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0</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0</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0</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0</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0</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0</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0</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0</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0</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0</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0</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0</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0</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0</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0</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0</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0</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0</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0</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0</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0</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0</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0</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0</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0</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0</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0</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0</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0</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0</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0</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0</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0</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0</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0</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0</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0</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0</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0</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0</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0</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0</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0</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0</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0</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0</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0</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0</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0</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0</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0</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0</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0</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0</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0</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0</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0</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0</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0</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0</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0</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0</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0</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0</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0</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0</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0</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0</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0</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0</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2766</v>
      </c>
      <c r="C1" s="2721">
        <f>项目基本情况!D3</f>
        <v>44258</v>
      </c>
      <c r="H1" s="2655">
        <f>IF(C1&gt;C13,0,MATCH(C1,C$13:C$104,-1))+IF(SUMIF(C13:C104,C1,D13:D104)=0,13,12)</f>
        <v>13</v>
      </c>
      <c r="I1" s="2655">
        <f>MATCH(C2,H3:H7,1)+IF(SUMIF(H3:H7,C2,I3:I7)=0,2,1)</f>
        <v>5</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2797</v>
      </c>
      <c r="C2" s="2722">
        <f>'数据-取费表'!B22</f>
        <v>2</v>
      </c>
      <c r="D2" s="2717" t="s">
        <v>2767</v>
      </c>
      <c r="E2" s="2720">
        <f ca="1">INDIRECT("I"&amp;$I$1)/100</f>
        <v>3.85E-2</v>
      </c>
      <c r="G2" s="2657"/>
      <c r="H2" s="2657"/>
      <c r="I2" s="2657" t="s">
        <v>2768</v>
      </c>
      <c r="K2" s="2657"/>
      <c r="L2" s="2657"/>
      <c r="M2" s="2657"/>
      <c r="N2" s="2657" t="s">
        <v>2769</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2799</v>
      </c>
      <c r="C3" s="2719">
        <f>'数据-取费表'!B19</f>
        <v>0</v>
      </c>
      <c r="D3" s="2717" t="s">
        <v>2767</v>
      </c>
      <c r="E3" s="2720">
        <f ca="1">INDIRECT("J"&amp;$J$1)/100</f>
        <v>0</v>
      </c>
      <c r="G3" s="2659" t="s">
        <v>2770</v>
      </c>
      <c r="H3" s="2660">
        <v>0</v>
      </c>
      <c r="I3" s="2661">
        <f ca="1">INDIRECT("d"&amp;$H$1)</f>
        <v>3.85</v>
      </c>
      <c r="J3" s="2661">
        <f ca="1">INDIRECT("d"&amp;$H$1)</f>
        <v>3.85</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2798</v>
      </c>
      <c r="C4" s="2720">
        <f ca="1">N4/100</f>
        <v>1.4999999999999999E-2</v>
      </c>
      <c r="G4" s="2665" t="s">
        <v>2771</v>
      </c>
      <c r="H4" s="2666">
        <v>0.5</v>
      </c>
      <c r="I4" s="2667">
        <f ca="1">INDIRECT("e"&amp;$H$1)</f>
        <v>3.85</v>
      </c>
      <c r="J4" s="2667">
        <f ca="1">INDIRECT("e"&amp;$H$1)</f>
        <v>3.85</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2772</v>
      </c>
      <c r="H5" s="2666">
        <v>1</v>
      </c>
      <c r="I5" s="2667">
        <f ca="1">INDIRECT("f"&amp;$H$1)</f>
        <v>3.85</v>
      </c>
      <c r="J5" s="2667">
        <f ca="1">INDIRECT("f"&amp;$H$1)</f>
        <v>3.85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2773</v>
      </c>
      <c r="H6" s="2666">
        <v>3</v>
      </c>
      <c r="I6" s="2667">
        <f ca="1">INDIRECT("g"&amp;$H$1)</f>
        <v>3.85</v>
      </c>
      <c r="J6" s="2667">
        <f ca="1">INDIRECT("g"&amp;$H$1)</f>
        <v>3.85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2774</v>
      </c>
      <c r="H7" s="2671">
        <v>5</v>
      </c>
      <c r="I7" s="2672">
        <f ca="1">INDIRECT("h"&amp;$H$1)</f>
        <v>4.6500000000000004</v>
      </c>
      <c r="J7" s="2672">
        <f ca="1">INDIRECT("h"&amp;$H$1)</f>
        <v>4.6500000000000004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2775</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2776</v>
      </c>
      <c r="C10" s="2684"/>
      <c r="D10" s="2684"/>
      <c r="E10" s="2684"/>
      <c r="F10" s="2684"/>
      <c r="G10" s="2684"/>
      <c r="H10" s="2684"/>
      <c r="I10" s="2658"/>
      <c r="J10" s="2658"/>
      <c r="K10" s="2684"/>
      <c r="L10" s="2685" t="s">
        <v>2777</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2778</v>
      </c>
      <c r="C11" s="2689" t="s">
        <v>2779</v>
      </c>
      <c r="D11" s="2690" t="s">
        <v>2780</v>
      </c>
      <c r="E11" s="2691"/>
      <c r="F11" s="2690" t="s">
        <v>2781</v>
      </c>
      <c r="G11" s="2692"/>
      <c r="H11" s="2691"/>
      <c r="I11" s="2690" t="s">
        <v>2782</v>
      </c>
      <c r="J11" s="2691"/>
      <c r="K11" s="2687"/>
      <c r="L11" s="2688" t="s">
        <v>2778</v>
      </c>
      <c r="M11" s="2689" t="s">
        <v>2779</v>
      </c>
      <c r="N11" s="2688" t="s">
        <v>2783</v>
      </c>
      <c r="O11" s="2690" t="s">
        <v>2784</v>
      </c>
      <c r="P11" s="2692"/>
      <c r="Q11" s="2692"/>
      <c r="R11" s="2692"/>
      <c r="S11" s="2692"/>
      <c r="T11" s="2691"/>
      <c r="U11" s="2690" t="s">
        <v>2785</v>
      </c>
      <c r="V11" s="2692"/>
      <c r="W11" s="2691"/>
      <c r="X11" s="2688" t="s">
        <v>2786</v>
      </c>
      <c r="Y11" s="2688" t="s">
        <v>2787</v>
      </c>
      <c r="Z11" s="2688" t="s">
        <v>2788</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2789</v>
      </c>
      <c r="E12" s="2697" t="s">
        <v>2790</v>
      </c>
      <c r="F12" s="2697" t="s">
        <v>2791</v>
      </c>
      <c r="G12" s="2697" t="s">
        <v>2792</v>
      </c>
      <c r="H12" s="2697" t="s">
        <v>2774</v>
      </c>
      <c r="I12" s="2698" t="s">
        <v>2793</v>
      </c>
      <c r="J12" s="2698" t="s">
        <v>2793</v>
      </c>
      <c r="K12" s="2694"/>
      <c r="L12" s="2695"/>
      <c r="M12" s="2696"/>
      <c r="N12" s="2695"/>
      <c r="O12" s="2698" t="s">
        <v>2794</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2795</v>
      </c>
      <c r="C13" s="2702">
        <v>43941</v>
      </c>
      <c r="D13" s="2703">
        <v>3.85</v>
      </c>
      <c r="E13" s="2703">
        <v>3.85</v>
      </c>
      <c r="F13" s="2703">
        <v>3.85</v>
      </c>
      <c r="G13" s="2703">
        <v>3.85</v>
      </c>
      <c r="H13" s="2703">
        <v>4.6500000000000004</v>
      </c>
      <c r="I13" s="2703"/>
      <c r="J13" s="2703"/>
      <c r="K13" s="2700"/>
      <c r="L13" s="2701" t="s">
        <v>2795</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ht="14.25">
      <c r="A14" s="2700"/>
      <c r="B14" s="2707"/>
      <c r="C14" s="2708">
        <v>43881</v>
      </c>
      <c r="D14" s="2707">
        <v>4.05</v>
      </c>
      <c r="E14" s="2707">
        <v>4.05</v>
      </c>
      <c r="F14" s="2707">
        <v>4.05</v>
      </c>
      <c r="G14" s="2707">
        <v>4.05</v>
      </c>
      <c r="H14" s="2707">
        <v>4.75</v>
      </c>
      <c r="I14" s="2707"/>
      <c r="J14" s="2707"/>
      <c r="L14" s="2707"/>
      <c r="M14" s="2708">
        <v>42242</v>
      </c>
      <c r="N14" s="2707">
        <v>0.35</v>
      </c>
      <c r="O14" s="2707">
        <v>1.35</v>
      </c>
      <c r="P14" s="2707">
        <v>1.55</v>
      </c>
      <c r="Q14" s="2707">
        <v>1.75</v>
      </c>
      <c r="R14" s="2707">
        <v>2.35</v>
      </c>
      <c r="S14" s="2707">
        <v>3</v>
      </c>
      <c r="T14" s="2707"/>
      <c r="U14" s="2707"/>
      <c r="V14" s="2707"/>
      <c r="W14" s="2707"/>
      <c r="X14" s="2707"/>
      <c r="Y14" s="2707"/>
      <c r="Z14" s="2707"/>
    </row>
    <row r="15" spans="1:257" ht="14.25">
      <c r="A15" s="2700"/>
      <c r="B15" s="2707"/>
      <c r="C15" s="2708">
        <v>43789</v>
      </c>
      <c r="D15" s="2707">
        <v>4.1500000000000004</v>
      </c>
      <c r="E15" s="2707">
        <v>4.1500000000000004</v>
      </c>
      <c r="F15" s="2707">
        <v>4.1500000000000004</v>
      </c>
      <c r="G15" s="2707">
        <v>4.1500000000000004</v>
      </c>
      <c r="H15" s="2707">
        <v>4.8</v>
      </c>
      <c r="I15" s="2707"/>
      <c r="J15" s="2707"/>
      <c r="L15" s="2707"/>
      <c r="M15" s="2708">
        <v>42183</v>
      </c>
      <c r="N15" s="2707">
        <v>0.35</v>
      </c>
      <c r="O15" s="2707">
        <v>1.6</v>
      </c>
      <c r="P15" s="2707">
        <v>1.8</v>
      </c>
      <c r="Q15" s="2707">
        <v>2</v>
      </c>
      <c r="R15" s="2707">
        <v>2.6</v>
      </c>
      <c r="S15" s="2707">
        <v>3.25</v>
      </c>
      <c r="T15" s="2707"/>
      <c r="U15" s="2707"/>
      <c r="V15" s="2707"/>
      <c r="W15" s="2707"/>
      <c r="X15" s="2707"/>
      <c r="Y15" s="2707"/>
      <c r="Z15" s="2707"/>
    </row>
    <row r="16" spans="1:257" ht="14.25">
      <c r="A16" s="2700"/>
      <c r="B16" s="2707"/>
      <c r="C16" s="2708">
        <v>43728</v>
      </c>
      <c r="D16" s="2707">
        <v>4.2</v>
      </c>
      <c r="E16" s="2707">
        <v>4.2</v>
      </c>
      <c r="F16" s="2707">
        <v>4.2</v>
      </c>
      <c r="G16" s="2707">
        <v>4.2</v>
      </c>
      <c r="H16" s="2707">
        <v>4.8499999999999996</v>
      </c>
      <c r="I16" s="2707"/>
      <c r="J16" s="2707"/>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1:26" ht="14.25">
      <c r="A17" s="2700"/>
      <c r="B17" s="2701" t="s">
        <v>2997</v>
      </c>
      <c r="C17" s="2710">
        <v>43697</v>
      </c>
      <c r="D17" s="3292">
        <v>4.25</v>
      </c>
      <c r="E17" s="3292">
        <v>4.25</v>
      </c>
      <c r="F17" s="3292">
        <v>4.25</v>
      </c>
      <c r="G17" s="3292">
        <v>4.25</v>
      </c>
      <c r="H17" s="3292">
        <v>4.8499999999999996</v>
      </c>
      <c r="I17" s="3292"/>
      <c r="J17" s="3292"/>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1:26" ht="15">
      <c r="B18" s="2707"/>
      <c r="C18" s="2708">
        <v>42242</v>
      </c>
      <c r="D18" s="2707">
        <v>4.5999999999999996</v>
      </c>
      <c r="E18" s="2707">
        <v>4.5999999999999996</v>
      </c>
      <c r="F18" s="2707">
        <v>5</v>
      </c>
      <c r="G18" s="2707">
        <v>5</v>
      </c>
      <c r="H18" s="2707">
        <v>5.15</v>
      </c>
      <c r="I18" s="2707">
        <v>2.75</v>
      </c>
      <c r="J18" s="2707">
        <v>3.25</v>
      </c>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1:26">
      <c r="B19" s="2707"/>
      <c r="C19" s="2708">
        <v>42183</v>
      </c>
      <c r="D19" s="2707">
        <v>4.8499999999999996</v>
      </c>
      <c r="E19" s="2707">
        <v>4.8499999999999996</v>
      </c>
      <c r="F19" s="2707">
        <v>5.25</v>
      </c>
      <c r="G19" s="2707">
        <v>5.25</v>
      </c>
      <c r="H19" s="2707">
        <v>5.4</v>
      </c>
      <c r="I19" s="2707">
        <v>3</v>
      </c>
      <c r="J19" s="2707">
        <v>3.5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1:26">
      <c r="B20" s="2707"/>
      <c r="C20" s="2708">
        <v>42135</v>
      </c>
      <c r="D20" s="2707">
        <v>5.0999999999999996</v>
      </c>
      <c r="E20" s="2707">
        <v>5.0999999999999996</v>
      </c>
      <c r="F20" s="2707">
        <v>5.5</v>
      </c>
      <c r="G20" s="2707">
        <v>5.5</v>
      </c>
      <c r="H20" s="2707">
        <v>5.65</v>
      </c>
      <c r="I20" s="2707">
        <v>3.25</v>
      </c>
      <c r="J20" s="2707">
        <v>3.75</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1:26">
      <c r="B21" s="2707"/>
      <c r="C21" s="2708">
        <v>42064</v>
      </c>
      <c r="D21" s="2707">
        <v>5.35</v>
      </c>
      <c r="E21" s="2707">
        <v>5.35</v>
      </c>
      <c r="F21" s="2707">
        <v>5.75</v>
      </c>
      <c r="G21" s="2707">
        <v>5.75</v>
      </c>
      <c r="H21" s="2707">
        <v>5.9</v>
      </c>
      <c r="I21" s="2707"/>
      <c r="J21" s="2707"/>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1:26">
      <c r="B22" s="2707"/>
      <c r="C22" s="2708">
        <v>41965</v>
      </c>
      <c r="D22" s="2707">
        <v>5.6</v>
      </c>
      <c r="E22" s="2707">
        <v>5.6</v>
      </c>
      <c r="F22" s="2707">
        <v>6</v>
      </c>
      <c r="G22" s="2707">
        <v>6</v>
      </c>
      <c r="H22" s="2707">
        <v>6.15</v>
      </c>
      <c r="I22" s="2707"/>
      <c r="J22" s="2707"/>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1:26">
      <c r="B23" s="2707"/>
      <c r="C23" s="2708">
        <v>41096</v>
      </c>
      <c r="D23" s="2707">
        <v>5.6</v>
      </c>
      <c r="E23" s="2707">
        <v>6</v>
      </c>
      <c r="F23" s="2707">
        <v>6.15</v>
      </c>
      <c r="G23" s="2707">
        <v>6.4</v>
      </c>
      <c r="H23" s="2707">
        <v>6.55</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1:26">
      <c r="B24" s="2707"/>
      <c r="C24" s="2708">
        <v>41068</v>
      </c>
      <c r="D24" s="2707">
        <v>5.85</v>
      </c>
      <c r="E24" s="2707">
        <v>6.31</v>
      </c>
      <c r="F24" s="2707">
        <v>6.4</v>
      </c>
      <c r="G24" s="2707">
        <v>6.65</v>
      </c>
      <c r="H24" s="2707">
        <v>6.8</v>
      </c>
      <c r="I24" s="2707">
        <v>4.2</v>
      </c>
      <c r="J24" s="2707">
        <v>4.7</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1:26">
      <c r="B25" s="2707"/>
      <c r="C25" s="2708">
        <v>40731</v>
      </c>
      <c r="D25" s="2707">
        <v>6.1</v>
      </c>
      <c r="E25" s="2707">
        <v>6.56</v>
      </c>
      <c r="F25" s="2707">
        <v>6.65</v>
      </c>
      <c r="G25" s="2707">
        <v>6.9</v>
      </c>
      <c r="H25" s="2707">
        <v>7.05</v>
      </c>
      <c r="I25" s="2707">
        <v>4.45</v>
      </c>
      <c r="J25" s="2707">
        <v>4.9000000000000004</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1:26">
      <c r="B26" s="2707"/>
      <c r="C26" s="2708">
        <v>40639</v>
      </c>
      <c r="D26" s="2707">
        <v>5.85</v>
      </c>
      <c r="E26" s="2707">
        <v>6.31</v>
      </c>
      <c r="F26" s="2707">
        <v>6.4</v>
      </c>
      <c r="G26" s="2707">
        <v>6.65</v>
      </c>
      <c r="H26" s="2707">
        <v>6.8</v>
      </c>
      <c r="I26" s="2707">
        <v>4.2</v>
      </c>
      <c r="J26" s="2707">
        <v>4.7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1:26">
      <c r="B27" s="2707"/>
      <c r="C27" s="2708">
        <v>40583</v>
      </c>
      <c r="D27" s="2707">
        <v>5.6</v>
      </c>
      <c r="E27" s="2707">
        <v>6.06</v>
      </c>
      <c r="F27" s="2707">
        <v>6.1</v>
      </c>
      <c r="G27" s="2707">
        <v>6.45</v>
      </c>
      <c r="H27" s="2707">
        <v>6.6</v>
      </c>
      <c r="I27" s="2707">
        <v>4</v>
      </c>
      <c r="J27" s="2707">
        <v>4.5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1:26">
      <c r="B28" s="2707"/>
      <c r="C28" s="2708">
        <v>40538</v>
      </c>
      <c r="D28" s="2707">
        <v>5.35</v>
      </c>
      <c r="E28" s="2707">
        <v>5.81</v>
      </c>
      <c r="F28" s="2707">
        <v>5.85</v>
      </c>
      <c r="G28" s="2707">
        <v>6.22</v>
      </c>
      <c r="H28" s="2707">
        <v>6.4</v>
      </c>
      <c r="I28" s="2707">
        <v>3.75</v>
      </c>
      <c r="J28" s="2707">
        <v>4.3</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1:26">
      <c r="B29" s="2707"/>
      <c r="C29" s="2708">
        <v>40471</v>
      </c>
      <c r="D29" s="2707">
        <v>5.0999999999999996</v>
      </c>
      <c r="E29" s="2707">
        <v>5.56</v>
      </c>
      <c r="F29" s="2707">
        <v>5.6</v>
      </c>
      <c r="G29" s="2707">
        <v>5.96</v>
      </c>
      <c r="H29" s="2707">
        <v>6.14</v>
      </c>
      <c r="I29" s="2707">
        <v>3.5</v>
      </c>
      <c r="J29" s="2707">
        <v>4.05</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1:26">
      <c r="B30" s="2707"/>
      <c r="C30" s="2708">
        <v>39805</v>
      </c>
      <c r="D30" s="2707">
        <v>4.8600000000000003</v>
      </c>
      <c r="E30" s="2707">
        <v>5.31</v>
      </c>
      <c r="F30" s="2707">
        <v>5.4</v>
      </c>
      <c r="G30" s="2707">
        <v>5.76</v>
      </c>
      <c r="H30" s="2707">
        <v>5.94</v>
      </c>
      <c r="I30" s="2707">
        <v>3.33</v>
      </c>
      <c r="J30" s="2707">
        <v>3.87</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1:26">
      <c r="B31" s="2707"/>
      <c r="C31" s="2708">
        <v>39779</v>
      </c>
      <c r="D31" s="2707">
        <v>5.04</v>
      </c>
      <c r="E31" s="2707">
        <v>5.58</v>
      </c>
      <c r="F31" s="2707">
        <v>5.67</v>
      </c>
      <c r="G31" s="2707">
        <v>5.94</v>
      </c>
      <c r="H31" s="2707">
        <v>6.12</v>
      </c>
      <c r="I31" s="2707">
        <v>3.51</v>
      </c>
      <c r="J31" s="2707">
        <v>4.05</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1:26">
      <c r="B32" s="2707"/>
      <c r="C32" s="2708">
        <v>39751</v>
      </c>
      <c r="D32" s="2707">
        <v>6.03</v>
      </c>
      <c r="E32" s="2707">
        <v>6.66</v>
      </c>
      <c r="F32" s="2707">
        <v>6.75</v>
      </c>
      <c r="G32" s="2707">
        <v>7.02</v>
      </c>
      <c r="H32" s="2707">
        <v>7.2</v>
      </c>
      <c r="I32" s="2707">
        <v>4.05</v>
      </c>
      <c r="J32" s="2707">
        <v>4.59</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10">
        <v>39748</v>
      </c>
      <c r="D33" s="2707">
        <v>6.12</v>
      </c>
      <c r="E33" s="2707">
        <v>6.93</v>
      </c>
      <c r="F33" s="2707">
        <v>7.02</v>
      </c>
      <c r="G33" s="2707">
        <v>7.29</v>
      </c>
      <c r="H33" s="2707">
        <v>7.47</v>
      </c>
      <c r="I33" s="2707">
        <v>4.05</v>
      </c>
      <c r="J33" s="2707">
        <v>4.59</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39730</v>
      </c>
      <c r="D34" s="2707">
        <v>6.12</v>
      </c>
      <c r="E34" s="2707">
        <v>6.93</v>
      </c>
      <c r="F34" s="2707">
        <v>7.02</v>
      </c>
      <c r="G34" s="2707">
        <v>7.29</v>
      </c>
      <c r="H34" s="2707">
        <v>7.47</v>
      </c>
      <c r="I34" s="2707">
        <v>4.32</v>
      </c>
      <c r="J34" s="2707">
        <v>4.8600000000000003</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39707</v>
      </c>
      <c r="D35" s="2707">
        <v>6.21</v>
      </c>
      <c r="E35" s="2707">
        <v>7.2</v>
      </c>
      <c r="F35" s="2707">
        <v>7.29</v>
      </c>
      <c r="G35" s="2707">
        <v>7.56</v>
      </c>
      <c r="H35" s="2707">
        <v>7.74</v>
      </c>
      <c r="I35" s="2707">
        <v>4.59</v>
      </c>
      <c r="J35" s="2707">
        <v>5.13</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39437</v>
      </c>
      <c r="D36" s="2707">
        <v>6.57</v>
      </c>
      <c r="E36" s="2707">
        <v>7.47</v>
      </c>
      <c r="F36" s="2707">
        <v>7.56</v>
      </c>
      <c r="G36" s="2707">
        <v>7.74</v>
      </c>
      <c r="H36" s="2707">
        <v>7.83</v>
      </c>
      <c r="I36" s="2707">
        <v>4.7699999999999996</v>
      </c>
      <c r="J36" s="2707">
        <v>5.22</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39340</v>
      </c>
      <c r="D37" s="2707">
        <v>6.48</v>
      </c>
      <c r="E37" s="2707">
        <v>7.29</v>
      </c>
      <c r="F37" s="2707">
        <v>7.47</v>
      </c>
      <c r="G37" s="2707">
        <v>7.65</v>
      </c>
      <c r="H37" s="2707">
        <v>7.83</v>
      </c>
      <c r="I37" s="2707">
        <v>4.7699999999999996</v>
      </c>
      <c r="J37" s="2707">
        <v>5.22</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39316</v>
      </c>
      <c r="D38" s="2707">
        <v>6.21</v>
      </c>
      <c r="E38" s="2707">
        <v>7.02</v>
      </c>
      <c r="F38" s="2707">
        <v>7.2</v>
      </c>
      <c r="G38" s="2707">
        <v>7.38</v>
      </c>
      <c r="H38" s="2707">
        <v>7.56</v>
      </c>
      <c r="I38" s="2707">
        <v>4.59</v>
      </c>
      <c r="J38" s="2707">
        <v>5.04</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39284</v>
      </c>
      <c r="D39" s="2707">
        <v>6.03</v>
      </c>
      <c r="E39" s="2707">
        <v>6.84</v>
      </c>
      <c r="F39" s="2707">
        <v>7.02</v>
      </c>
      <c r="G39" s="2707">
        <v>7.2</v>
      </c>
      <c r="H39" s="2707">
        <v>7.38</v>
      </c>
      <c r="I39" s="2707">
        <v>4.5</v>
      </c>
      <c r="J39" s="2707">
        <v>4.95</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39221</v>
      </c>
      <c r="D40" s="2707">
        <v>5.85</v>
      </c>
      <c r="E40" s="2707">
        <v>6.57</v>
      </c>
      <c r="F40" s="2707">
        <v>6.75</v>
      </c>
      <c r="G40" s="2707">
        <v>6.93</v>
      </c>
      <c r="H40" s="2707">
        <v>7.2</v>
      </c>
      <c r="I40" s="2707">
        <v>4.41</v>
      </c>
      <c r="J40" s="2707">
        <v>4.8600000000000003</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39159</v>
      </c>
      <c r="D41" s="2707">
        <v>5.67</v>
      </c>
      <c r="E41" s="2707">
        <v>6.39</v>
      </c>
      <c r="F41" s="2707">
        <v>6.57</v>
      </c>
      <c r="G41" s="2707">
        <v>6.75</v>
      </c>
      <c r="H41" s="2707">
        <v>7.11</v>
      </c>
      <c r="I41" s="2707">
        <v>4.32</v>
      </c>
      <c r="J41" s="2707">
        <v>4.7699999999999996</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38948</v>
      </c>
      <c r="D42" s="2707">
        <v>5.58</v>
      </c>
      <c r="E42" s="2707">
        <v>6.12</v>
      </c>
      <c r="F42" s="2707">
        <v>6.3</v>
      </c>
      <c r="G42" s="2707">
        <v>6.48</v>
      </c>
      <c r="H42" s="2707">
        <v>6.84</v>
      </c>
      <c r="I42" s="2707">
        <v>4.1399999999999997</v>
      </c>
      <c r="J42" s="2707">
        <v>4.59</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2796</v>
      </c>
      <c r="Y42" s="2707" t="s">
        <v>2796</v>
      </c>
      <c r="Z42" s="2707" t="s">
        <v>2796</v>
      </c>
    </row>
    <row r="43" spans="2:26">
      <c r="B43" s="2707"/>
      <c r="C43" s="2708">
        <v>38835</v>
      </c>
      <c r="D43" s="2707">
        <v>5.4</v>
      </c>
      <c r="E43" s="2707">
        <v>5.85</v>
      </c>
      <c r="F43" s="2707">
        <v>6.03</v>
      </c>
      <c r="G43" s="2707">
        <v>6.12</v>
      </c>
      <c r="H43" s="2707">
        <v>6.39</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2796</v>
      </c>
      <c r="Y43" s="2707" t="s">
        <v>2796</v>
      </c>
      <c r="Z43" s="2707" t="s">
        <v>2796</v>
      </c>
    </row>
    <row r="44" spans="2:26">
      <c r="B44" s="2707"/>
      <c r="C44" s="2708">
        <v>38428</v>
      </c>
      <c r="D44" s="2707">
        <v>5.22</v>
      </c>
      <c r="E44" s="2707">
        <v>5.58</v>
      </c>
      <c r="F44" s="2707">
        <v>5.76</v>
      </c>
      <c r="G44" s="2707">
        <v>5.85</v>
      </c>
      <c r="H44" s="2707">
        <v>6.12</v>
      </c>
      <c r="I44" s="2707">
        <v>3.96</v>
      </c>
      <c r="J44" s="2707">
        <v>4.41</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2796</v>
      </c>
      <c r="Y44" s="2707" t="s">
        <v>2796</v>
      </c>
      <c r="Z44" s="2707" t="s">
        <v>2796</v>
      </c>
    </row>
    <row r="45" spans="2:26">
      <c r="B45" s="2707"/>
      <c r="C45" s="2708">
        <v>38289</v>
      </c>
      <c r="D45" s="2707">
        <v>5.22</v>
      </c>
      <c r="E45" s="2707">
        <v>5.58</v>
      </c>
      <c r="F45" s="2707">
        <v>5.76</v>
      </c>
      <c r="G45" s="2707">
        <v>5.85</v>
      </c>
      <c r="H45" s="2707">
        <v>6.12</v>
      </c>
      <c r="I45" s="2707">
        <v>3.78</v>
      </c>
      <c r="J45" s="2707">
        <v>4.2300000000000004</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2796</v>
      </c>
      <c r="Y45" s="2707" t="s">
        <v>2796</v>
      </c>
      <c r="Z45" s="2707" t="s">
        <v>2796</v>
      </c>
    </row>
    <row r="46" spans="2:26">
      <c r="B46" s="2707"/>
      <c r="C46" s="2708">
        <v>37308</v>
      </c>
      <c r="D46" s="2707">
        <v>5.04</v>
      </c>
      <c r="E46" s="2707">
        <v>5.31</v>
      </c>
      <c r="F46" s="2707">
        <v>5.49</v>
      </c>
      <c r="G46" s="2707">
        <v>5.58</v>
      </c>
      <c r="H46" s="2707">
        <v>5.76</v>
      </c>
      <c r="I46" s="2707">
        <v>3.6</v>
      </c>
      <c r="J46" s="2707">
        <v>4.05</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2796</v>
      </c>
      <c r="Y46" s="2707" t="s">
        <v>2796</v>
      </c>
      <c r="Z46" s="2707" t="s">
        <v>2796</v>
      </c>
    </row>
    <row r="47" spans="2:26">
      <c r="B47" s="2707"/>
      <c r="C47" s="2708">
        <v>36321</v>
      </c>
      <c r="D47" s="2707">
        <v>5.58</v>
      </c>
      <c r="E47" s="2707">
        <v>5.85</v>
      </c>
      <c r="F47" s="2707">
        <v>5.94</v>
      </c>
      <c r="G47" s="2707">
        <v>6.03</v>
      </c>
      <c r="H47" s="2707">
        <v>6.21</v>
      </c>
      <c r="I47" s="2707">
        <v>4.1399999999999997</v>
      </c>
      <c r="J47" s="2707">
        <v>4.59</v>
      </c>
      <c r="L47" s="2707"/>
      <c r="M47" s="2708">
        <v>34161</v>
      </c>
      <c r="N47" s="2707">
        <v>3.15</v>
      </c>
      <c r="O47" s="2707">
        <v>6.66</v>
      </c>
      <c r="P47" s="2707">
        <v>9</v>
      </c>
      <c r="Q47" s="2707">
        <v>10.98</v>
      </c>
      <c r="R47" s="2707">
        <v>11.7</v>
      </c>
      <c r="S47" s="2707">
        <v>12.24</v>
      </c>
      <c r="T47" s="2707">
        <v>13.86</v>
      </c>
      <c r="U47" s="2707">
        <v>9</v>
      </c>
      <c r="V47" s="2707">
        <v>10.98</v>
      </c>
      <c r="W47" s="2707">
        <v>12.24</v>
      </c>
      <c r="X47" s="2707" t="s">
        <v>2796</v>
      </c>
      <c r="Y47" s="2707" t="s">
        <v>2796</v>
      </c>
      <c r="Z47" s="2707" t="s">
        <v>2796</v>
      </c>
    </row>
    <row r="48" spans="2:26">
      <c r="B48" s="2707"/>
      <c r="C48" s="2708">
        <v>36136</v>
      </c>
      <c r="D48" s="2707">
        <v>6.12</v>
      </c>
      <c r="E48" s="2707">
        <v>6.39</v>
      </c>
      <c r="F48" s="2707">
        <v>6.66</v>
      </c>
      <c r="G48" s="2707">
        <v>7.2</v>
      </c>
      <c r="H48" s="2707">
        <v>7.56</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2796</v>
      </c>
      <c r="Y48" s="2707" t="s">
        <v>2796</v>
      </c>
      <c r="Z48" s="2707" t="s">
        <v>2796</v>
      </c>
    </row>
    <row r="49" spans="2:26">
      <c r="B49" s="2707"/>
      <c r="C49" s="2708">
        <v>35977</v>
      </c>
      <c r="D49" s="2707">
        <v>6.57</v>
      </c>
      <c r="E49" s="2707">
        <v>6.93</v>
      </c>
      <c r="F49" s="2707">
        <v>7.11</v>
      </c>
      <c r="G49" s="2707">
        <v>7.65</v>
      </c>
      <c r="H49" s="2707">
        <v>8.01</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2796</v>
      </c>
      <c r="Y49" s="2707" t="s">
        <v>2796</v>
      </c>
      <c r="Z49" s="2707" t="s">
        <v>2796</v>
      </c>
    </row>
    <row r="50" spans="2:26">
      <c r="B50" s="2707"/>
      <c r="C50" s="2708">
        <v>35879</v>
      </c>
      <c r="D50" s="2707">
        <v>7.02</v>
      </c>
      <c r="E50" s="2707">
        <v>7.92</v>
      </c>
      <c r="F50" s="2707">
        <v>9</v>
      </c>
      <c r="G50" s="2707">
        <v>9.7200000000000006</v>
      </c>
      <c r="H50" s="2707">
        <v>10.35</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2796</v>
      </c>
      <c r="Y50" s="2707" t="s">
        <v>2796</v>
      </c>
      <c r="Z50" s="2707" t="s">
        <v>2796</v>
      </c>
    </row>
    <row r="51" spans="2:26">
      <c r="B51" s="2707"/>
      <c r="C51" s="2708">
        <v>35726</v>
      </c>
      <c r="D51" s="2707">
        <v>7.65</v>
      </c>
      <c r="E51" s="2707">
        <v>8.64</v>
      </c>
      <c r="F51" s="2707">
        <v>9.36</v>
      </c>
      <c r="G51" s="2707">
        <v>9.9</v>
      </c>
      <c r="H51" s="2707">
        <v>10.53</v>
      </c>
      <c r="I51" s="2707">
        <v>0</v>
      </c>
      <c r="J51" s="2707">
        <v>0</v>
      </c>
      <c r="L51" s="2707"/>
      <c r="M51" s="2708">
        <v>32978</v>
      </c>
      <c r="N51" s="2707">
        <v>2.88</v>
      </c>
      <c r="O51" s="2707">
        <v>6.3</v>
      </c>
      <c r="P51" s="2707">
        <v>7.74</v>
      </c>
      <c r="Q51" s="2707">
        <v>10.08</v>
      </c>
      <c r="R51" s="2707">
        <v>10.98</v>
      </c>
      <c r="S51" s="2707">
        <v>11.88</v>
      </c>
      <c r="T51" s="2707">
        <v>13.68</v>
      </c>
      <c r="U51" s="2707" t="s">
        <v>2796</v>
      </c>
      <c r="V51" s="2707" t="s">
        <v>2796</v>
      </c>
      <c r="W51" s="2707" t="s">
        <v>2796</v>
      </c>
      <c r="X51" s="2707" t="s">
        <v>2796</v>
      </c>
      <c r="Y51" s="2707" t="s">
        <v>2796</v>
      </c>
      <c r="Z51" s="2707" t="s">
        <v>2796</v>
      </c>
    </row>
    <row r="52" spans="2:26">
      <c r="B52" s="2707"/>
      <c r="C52" s="2708">
        <v>35300</v>
      </c>
      <c r="D52" s="2707">
        <v>9.18</v>
      </c>
      <c r="E52" s="2707">
        <v>10.08</v>
      </c>
      <c r="F52" s="2707">
        <v>10.98</v>
      </c>
      <c r="G52" s="2707">
        <v>11.7</v>
      </c>
      <c r="H52" s="2707">
        <v>12.42</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35186</v>
      </c>
      <c r="D53" s="2707">
        <v>9.7200000000000006</v>
      </c>
      <c r="E53" s="2707">
        <v>10.98</v>
      </c>
      <c r="F53" s="2707">
        <v>13.14</v>
      </c>
      <c r="G53" s="2707">
        <v>14.94</v>
      </c>
      <c r="H53" s="2707">
        <v>15.12</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34881</v>
      </c>
      <c r="D54" s="2707">
        <v>10.08</v>
      </c>
      <c r="E54" s="2707">
        <v>12.06</v>
      </c>
      <c r="F54" s="2707">
        <v>13.5</v>
      </c>
      <c r="G54" s="2707">
        <v>15.12</v>
      </c>
      <c r="H54" s="2707">
        <v>15.3</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34700</v>
      </c>
      <c r="D55" s="2707">
        <v>9</v>
      </c>
      <c r="E55" s="2707">
        <v>10.98</v>
      </c>
      <c r="F55" s="2707">
        <v>12.96</v>
      </c>
      <c r="G55" s="2707">
        <v>14.58</v>
      </c>
      <c r="H55" s="2707">
        <v>14.76</v>
      </c>
      <c r="I55" s="2707">
        <v>0</v>
      </c>
      <c r="J55" s="2707">
        <v>0</v>
      </c>
      <c r="L55" s="2707"/>
      <c r="M55" s="2708"/>
      <c r="N55" s="2707"/>
      <c r="O55" s="2707"/>
      <c r="P55" s="2707"/>
      <c r="Q55" s="2707"/>
      <c r="R55" s="2707"/>
      <c r="S55" s="2707"/>
      <c r="T55" s="2707"/>
      <c r="U55" s="2707"/>
      <c r="V55" s="2707"/>
      <c r="W55" s="2707"/>
      <c r="X55" s="2707"/>
      <c r="Y55" s="2707"/>
      <c r="Z55" s="2707"/>
    </row>
    <row r="56" spans="2:26">
      <c r="B56" s="2707"/>
      <c r="C56" s="2708">
        <v>34161</v>
      </c>
      <c r="D56" s="2707">
        <v>9</v>
      </c>
      <c r="E56" s="2707">
        <v>10.98</v>
      </c>
      <c r="F56" s="2707">
        <v>12.24</v>
      </c>
      <c r="G56" s="2707">
        <v>13.86</v>
      </c>
      <c r="H56" s="2707">
        <v>14.04</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34104</v>
      </c>
      <c r="D57" s="2707">
        <v>8.82</v>
      </c>
      <c r="E57" s="2707">
        <v>9.36</v>
      </c>
      <c r="F57" s="2707">
        <v>10.8</v>
      </c>
      <c r="G57" s="2707">
        <v>12.06</v>
      </c>
      <c r="H57" s="2707">
        <v>12.24</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v>33349</v>
      </c>
      <c r="D58" s="2707">
        <v>8.1</v>
      </c>
      <c r="E58" s="2707">
        <v>8.64</v>
      </c>
      <c r="F58" s="2707">
        <v>9</v>
      </c>
      <c r="G58" s="2707">
        <v>9.5399999999999991</v>
      </c>
      <c r="H58" s="2707">
        <v>9.7200000000000006</v>
      </c>
      <c r="I58" s="2707">
        <v>0</v>
      </c>
      <c r="J58" s="2707">
        <v>0</v>
      </c>
    </row>
    <row r="59" spans="2:26">
      <c r="B59" s="2707"/>
      <c r="C59" s="2708">
        <v>33318</v>
      </c>
      <c r="D59" s="2707">
        <v>9</v>
      </c>
      <c r="E59" s="2707">
        <v>10.08</v>
      </c>
      <c r="F59" s="2707">
        <v>10.8</v>
      </c>
      <c r="G59" s="2707">
        <v>11.52</v>
      </c>
      <c r="H59" s="2707">
        <v>11.88</v>
      </c>
      <c r="I59" s="2707" t="s">
        <v>2796</v>
      </c>
      <c r="J59" s="2707" t="s">
        <v>2796</v>
      </c>
    </row>
    <row r="60" spans="2:26">
      <c r="B60" s="2707"/>
      <c r="C60" s="2708">
        <v>33106</v>
      </c>
      <c r="D60" s="2707">
        <v>8.64</v>
      </c>
      <c r="E60" s="2707">
        <v>9.36</v>
      </c>
      <c r="F60" s="2707">
        <v>10.08</v>
      </c>
      <c r="G60" s="2707">
        <v>10.8</v>
      </c>
      <c r="H60" s="2707">
        <v>11.16</v>
      </c>
      <c r="I60" s="2707">
        <v>0</v>
      </c>
      <c r="J60" s="2707">
        <v>0</v>
      </c>
    </row>
    <row r="61" spans="2:26">
      <c r="B61" s="2707"/>
      <c r="C61" s="2708">
        <v>32540</v>
      </c>
      <c r="D61" s="2707">
        <v>11.34</v>
      </c>
      <c r="E61" s="2707">
        <v>11.34</v>
      </c>
      <c r="F61" s="2707">
        <v>12.78</v>
      </c>
      <c r="G61" s="2707">
        <v>14.4</v>
      </c>
      <c r="H61" s="2707">
        <v>19.260000000000002</v>
      </c>
      <c r="I61" s="2707">
        <v>0</v>
      </c>
      <c r="J61" s="2707">
        <v>0</v>
      </c>
    </row>
    <row r="62" spans="2:26">
      <c r="B62" s="2707"/>
      <c r="C62" s="2708"/>
      <c r="D62" s="2707"/>
      <c r="E62" s="2707"/>
      <c r="F62" s="2707"/>
      <c r="G62" s="2707"/>
      <c r="H62" s="2707"/>
      <c r="I62" s="2707"/>
      <c r="J62" s="2707"/>
    </row>
    <row r="63" spans="2:26">
      <c r="B63" s="2711"/>
      <c r="C63" s="2712"/>
      <c r="D63" s="2711"/>
      <c r="E63" s="2711"/>
      <c r="F63" s="2711"/>
      <c r="G63" s="2711"/>
      <c r="H63" s="2711"/>
      <c r="I63" s="2711"/>
      <c r="J63" s="2711"/>
    </row>
    <row r="64" spans="2:26">
      <c r="B64" s="2711"/>
      <c r="C64" s="2712"/>
      <c r="D64" s="2711"/>
      <c r="E64" s="2711"/>
      <c r="F64" s="2711"/>
      <c r="G64" s="2711"/>
      <c r="H64" s="2711"/>
      <c r="I64" s="2711"/>
      <c r="J64" s="2711"/>
    </row>
    <row r="65" spans="2:10">
      <c r="B65" s="2711"/>
      <c r="C65" s="2712"/>
      <c r="D65" s="2711"/>
      <c r="E65" s="2711"/>
      <c r="F65" s="2711"/>
      <c r="G65" s="2711"/>
      <c r="H65" s="2711"/>
      <c r="I65" s="2711"/>
      <c r="J65" s="2711"/>
    </row>
    <row r="66" spans="2:10">
      <c r="B66" s="2658"/>
      <c r="C66" s="2658"/>
      <c r="D66" s="2658"/>
      <c r="E66" s="2658"/>
      <c r="F66" s="2658"/>
      <c r="G66" s="2658"/>
      <c r="H66" s="2658"/>
      <c r="I66" s="2658"/>
      <c r="J66" s="2658"/>
    </row>
    <row r="67" spans="2:10">
      <c r="B67" s="2658"/>
      <c r="C67" s="2658"/>
      <c r="D67" s="2658"/>
      <c r="E67" s="2658"/>
      <c r="F67" s="2658"/>
      <c r="G67" s="2658"/>
      <c r="H67" s="2658"/>
      <c r="I67" s="2658"/>
      <c r="J67" s="2658"/>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40"/>
  <sheetViews>
    <sheetView workbookViewId="0">
      <selection activeCell="E9" sqref="E9"/>
    </sheetView>
  </sheetViews>
  <sheetFormatPr defaultRowHeight="13.5"/>
  <cols>
    <col min="3" max="3" width="11.625" customWidth="1"/>
    <col min="5" max="5" width="11" customWidth="1"/>
  </cols>
  <sheetData>
    <row r="5" spans="3:6">
      <c r="D5" s="3248" t="s">
        <v>3170</v>
      </c>
      <c r="E5" s="3248" t="s">
        <v>3171</v>
      </c>
    </row>
    <row r="6" spans="3:6">
      <c r="C6">
        <v>23</v>
      </c>
      <c r="D6">
        <f ca="1">系统读取表!D14</f>
        <v>31187</v>
      </c>
      <c r="E6">
        <f ca="1">结果表!N74</f>
        <v>2811</v>
      </c>
      <c r="F6">
        <f ca="1">D6-E6</f>
        <v>28376</v>
      </c>
    </row>
    <row r="7" spans="3:6">
      <c r="C7">
        <v>24</v>
      </c>
      <c r="D7">
        <f ca="1">系统读取表!D16</f>
        <v>32197</v>
      </c>
      <c r="E7">
        <f ca="1">'结果表-24净值'!N74</f>
        <v>2902</v>
      </c>
      <c r="F7">
        <f t="shared" ref="F7:F9" ca="1" si="0">D7-E7</f>
        <v>29295</v>
      </c>
    </row>
    <row r="8" spans="3:6">
      <c r="C8">
        <v>27</v>
      </c>
      <c r="D8">
        <f ca="1">系统读取表!D17</f>
        <v>21238</v>
      </c>
      <c r="E8">
        <f ca="1">'结果表-27净值'!N74</f>
        <v>1830</v>
      </c>
      <c r="F8">
        <f t="shared" ca="1" si="0"/>
        <v>19408</v>
      </c>
    </row>
    <row r="9" spans="3:6">
      <c r="C9">
        <v>20</v>
      </c>
      <c r="D9">
        <f>[2]系统读取表!$D$14</f>
        <v>21302</v>
      </c>
      <c r="E9">
        <f>[2]结果表!$C$115</f>
        <v>4822</v>
      </c>
      <c r="F9">
        <f t="shared" si="0"/>
        <v>16480</v>
      </c>
    </row>
    <row r="10" spans="3:6">
      <c r="D10">
        <f ca="1">SUM(D6:D9)</f>
        <v>105924</v>
      </c>
      <c r="F10">
        <f ca="1">SUM(F6:F9)</f>
        <v>93559</v>
      </c>
    </row>
    <row r="22" spans="2:5" ht="14.25" thickBot="1"/>
    <row r="23" spans="2:5" ht="14.25" thickBot="1">
      <c r="B23" s="3349">
        <v>91502.7</v>
      </c>
      <c r="C23" s="3350">
        <v>28545.98</v>
      </c>
      <c r="D23" s="3350">
        <v>1121.29</v>
      </c>
      <c r="E23" s="3350">
        <v>2001.47</v>
      </c>
    </row>
    <row r="24" spans="2:5" ht="14.25" thickBot="1">
      <c r="B24" s="3351">
        <v>136066.92000000001</v>
      </c>
      <c r="C24" s="3352" t="s">
        <v>942</v>
      </c>
      <c r="D24" s="3352" t="s">
        <v>942</v>
      </c>
      <c r="E24" s="3353" t="s">
        <v>942</v>
      </c>
    </row>
    <row r="25" spans="2:5" ht="14.25" thickBot="1">
      <c r="B25" s="3351">
        <v>140477.15</v>
      </c>
      <c r="C25" s="3352" t="s">
        <v>942</v>
      </c>
      <c r="D25" s="3352" t="s">
        <v>942</v>
      </c>
      <c r="E25" s="3353" t="s">
        <v>942</v>
      </c>
    </row>
    <row r="26" spans="2:5" ht="14.25" thickBot="1">
      <c r="B26" s="3351">
        <v>94559.6</v>
      </c>
      <c r="C26" s="3353" t="s">
        <v>942</v>
      </c>
      <c r="D26" s="3353" t="s">
        <v>942</v>
      </c>
      <c r="E26" s="3352" t="s">
        <v>942</v>
      </c>
    </row>
    <row r="27" spans="2:5">
      <c r="B27">
        <f>SUM(B23:B26)</f>
        <v>462606.37</v>
      </c>
    </row>
    <row r="33" spans="2:5">
      <c r="C33">
        <v>54518.35</v>
      </c>
      <c r="E33">
        <v>7065.36</v>
      </c>
    </row>
    <row r="34" spans="2:5">
      <c r="C34">
        <v>136066.92000000001</v>
      </c>
      <c r="E34">
        <v>17634.240000000002</v>
      </c>
    </row>
    <row r="35" spans="2:5">
      <c r="C35">
        <v>140477.15</v>
      </c>
      <c r="E35">
        <v>18206.64</v>
      </c>
    </row>
    <row r="36" spans="2:5">
      <c r="C36">
        <v>94559.6</v>
      </c>
      <c r="E36">
        <v>12255.84</v>
      </c>
    </row>
    <row r="40" spans="2:5">
      <c r="B40">
        <f>'[3]数据-汇总表'!$F$19</f>
        <v>91502.7</v>
      </c>
      <c r="C40">
        <f>B40-C33</f>
        <v>36984.35</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59" t="s">
        <v>2026</v>
      </c>
      <c r="B1" s="3359"/>
      <c r="C1" s="3359"/>
      <c r="D1" s="3359"/>
      <c r="E1" s="3359"/>
      <c r="F1" s="3359"/>
      <c r="G1" s="3359"/>
      <c r="H1" s="3359"/>
      <c r="I1" s="3359"/>
      <c r="J1" s="3359"/>
      <c r="K1" s="3359"/>
      <c r="L1" s="3359"/>
      <c r="M1" s="3359"/>
      <c r="N1" s="3359"/>
      <c r="O1" s="3359"/>
      <c r="P1" s="3359"/>
      <c r="Q1" s="3359"/>
      <c r="R1" s="3359"/>
    </row>
    <row r="2" spans="1:18">
      <c r="A2" s="1722" t="s">
        <v>2028</v>
      </c>
      <c r="B2" s="1722"/>
      <c r="C2" s="1722"/>
      <c r="D2" s="1722"/>
      <c r="E2" s="1722"/>
      <c r="F2" s="1722"/>
      <c r="G2" s="1722"/>
      <c r="H2" s="1722"/>
      <c r="I2" s="1723"/>
      <c r="J2" s="1723"/>
      <c r="K2" s="1724" t="str">
        <f>"估价期日："&amp;TEXT(项目基本情况!D3,"yyyy年m月d日;;")</f>
        <v>估价期日：2021年3月3日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60" t="s">
        <v>2017</v>
      </c>
      <c r="B3" s="3360" t="s">
        <v>2710</v>
      </c>
      <c r="C3" s="3361" t="s">
        <v>2018</v>
      </c>
      <c r="D3" s="3360" t="s">
        <v>2714</v>
      </c>
      <c r="E3" s="3355" t="s">
        <v>2019</v>
      </c>
      <c r="F3" s="3355"/>
      <c r="G3" s="3355"/>
      <c r="H3" s="3355" t="s">
        <v>2020</v>
      </c>
      <c r="I3" s="3355"/>
      <c r="J3" s="3355"/>
      <c r="K3" s="3361" t="s">
        <v>2021</v>
      </c>
      <c r="L3" s="3361" t="s">
        <v>2022</v>
      </c>
      <c r="M3" s="3360" t="s">
        <v>2711</v>
      </c>
      <c r="N3" s="3362" t="str">
        <f>"（分摊）"&amp;项目基本情况!B16&amp;"国有建设用地使用权面积/㎡"</f>
        <v>（分摊）出让国有建设用地使用权面积/㎡</v>
      </c>
      <c r="O3" s="3360" t="s">
        <v>2051</v>
      </c>
      <c r="P3" s="3361" t="s">
        <v>2031</v>
      </c>
      <c r="Q3" s="3361" t="s">
        <v>2052</v>
      </c>
      <c r="R3" s="3361" t="s">
        <v>2023</v>
      </c>
    </row>
    <row r="4" spans="1:18" ht="36.75" customHeight="1">
      <c r="A4" s="3360"/>
      <c r="B4" s="3360"/>
      <c r="C4" s="3361"/>
      <c r="D4" s="3360"/>
      <c r="E4" s="2491" t="s">
        <v>2030</v>
      </c>
      <c r="F4" s="2491" t="s">
        <v>2723</v>
      </c>
      <c r="G4" s="2491" t="s">
        <v>2024</v>
      </c>
      <c r="H4" s="2491" t="s">
        <v>2025</v>
      </c>
      <c r="I4" s="2491" t="s">
        <v>2724</v>
      </c>
      <c r="J4" s="2491" t="s">
        <v>2024</v>
      </c>
      <c r="K4" s="3361"/>
      <c r="L4" s="3361"/>
      <c r="M4" s="3360"/>
      <c r="N4" s="3362"/>
      <c r="O4" s="3360"/>
      <c r="P4" s="3361"/>
      <c r="Q4" s="3361"/>
      <c r="R4" s="3361"/>
    </row>
    <row r="5" spans="1:18" ht="135" customHeight="1">
      <c r="A5" s="1857" t="s">
        <v>2634</v>
      </c>
      <c r="B5" s="2584" t="s">
        <v>2632</v>
      </c>
      <c r="C5" s="2490">
        <v>22</v>
      </c>
      <c r="D5" s="2489" t="s">
        <v>2633</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54426.77</v>
      </c>
      <c r="O5" s="1725">
        <f>项目基本情况!C21</f>
        <v>136066.92000000001</v>
      </c>
      <c r="P5" s="1725">
        <f ca="1">结果表!E42</f>
        <v>5730</v>
      </c>
      <c r="Q5" s="1725">
        <f ca="1">结果表!D42</f>
        <v>2292</v>
      </c>
      <c r="R5" s="1726">
        <f ca="1">结果表!C42</f>
        <v>31186</v>
      </c>
    </row>
    <row r="6" spans="1:18">
      <c r="A6" s="3356" t="str">
        <f>IF(项目基本情况!B9="市场价格","——","抵押价格")</f>
        <v>抵押价格</v>
      </c>
      <c r="B6" s="3357"/>
      <c r="C6" s="3357"/>
      <c r="D6" s="3357"/>
      <c r="E6" s="3357"/>
      <c r="F6" s="3357"/>
      <c r="G6" s="3357"/>
      <c r="H6" s="3357"/>
      <c r="I6" s="3357"/>
      <c r="J6" s="3357"/>
      <c r="K6" s="3357"/>
      <c r="L6" s="3357"/>
      <c r="M6" s="3357"/>
      <c r="N6" s="3357"/>
      <c r="O6" s="3357"/>
      <c r="P6" s="3357"/>
      <c r="Q6" s="3358"/>
      <c r="R6" s="1727">
        <f ca="1">结果表!O39</f>
        <v>31186</v>
      </c>
    </row>
    <row r="7" spans="1:18">
      <c r="A7" s="3356" t="str">
        <f>IF(项目基本情况!B9="市场价格","——",IF(项目基本情况!E8="已注销及未注销","抵押担保权已注销时的抵押价格","——"))</f>
        <v>——</v>
      </c>
      <c r="B7" s="3357"/>
      <c r="C7" s="3357"/>
      <c r="D7" s="3357"/>
      <c r="E7" s="3357"/>
      <c r="F7" s="3357"/>
      <c r="G7" s="3357"/>
      <c r="H7" s="3357"/>
      <c r="I7" s="3357"/>
      <c r="J7" s="3357"/>
      <c r="K7" s="3357"/>
      <c r="L7" s="3357"/>
      <c r="M7" s="3357"/>
      <c r="N7" s="3357"/>
      <c r="O7" s="3357"/>
      <c r="P7" s="3357"/>
      <c r="Q7" s="3358"/>
      <c r="R7" s="1727" t="str">
        <f>结果表!O40</f>
        <v>——</v>
      </c>
    </row>
    <row r="8" spans="1:18">
      <c r="A8" s="3356">
        <f>IF(项目基本情况!B9="市场价格","——",项目基本情况!E9)</f>
        <v>0</v>
      </c>
      <c r="B8" s="3357"/>
      <c r="C8" s="3357"/>
      <c r="D8" s="3357"/>
      <c r="E8" s="3357"/>
      <c r="F8" s="3357"/>
      <c r="G8" s="3357"/>
      <c r="H8" s="3357"/>
      <c r="I8" s="3357"/>
      <c r="J8" s="3357"/>
      <c r="K8" s="3357"/>
      <c r="L8" s="3357"/>
      <c r="M8" s="3357"/>
      <c r="N8" s="3357"/>
      <c r="O8" s="3357"/>
      <c r="P8" s="3357"/>
      <c r="Q8" s="3358"/>
      <c r="R8" s="1727" t="str">
        <f>结果表!O41</f>
        <v>——</v>
      </c>
    </row>
    <row r="9" spans="1:18">
      <c r="A9" s="1728" t="s">
        <v>2029</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2016</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63" t="s">
        <v>2053</v>
      </c>
      <c r="B1" s="3363"/>
      <c r="C1" s="3363"/>
      <c r="D1" s="3363"/>
    </row>
    <row r="2" spans="1:4" ht="47.25" customHeight="1">
      <c r="A2" s="3367" t="str">
        <f>"1.权利限制："&amp;项目基本情况!L24&amp;"未设定租赁等其他他项权利。"</f>
        <v>1.权利限制：根据估价对象《不动产权证书》原件、《国有土地使用权》复印件，截至估价期日，估价对象抵押权未见登记。未设定租赁等其他他项权利。</v>
      </c>
      <c r="B2" s="3367"/>
      <c r="C2" s="3367"/>
      <c r="D2" s="3367"/>
    </row>
    <row r="3" spans="1:4" ht="48" customHeight="1">
      <c r="A3" s="336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63"/>
      <c r="C3" s="3363"/>
      <c r="D3" s="3363"/>
    </row>
    <row r="4" spans="1:4" ht="36.75" customHeight="1">
      <c r="A4" s="3363" t="str">
        <f>"3.估价规划限制条件：详见"&amp;项目基本情况!E21&amp;"。"</f>
        <v>3.估价规划限制条件：详见《建设工程规划许可证》[]、《出让合同》[]。</v>
      </c>
      <c r="B4" s="3363"/>
      <c r="C4" s="3363"/>
      <c r="D4" s="3363"/>
    </row>
    <row r="5" spans="1:4">
      <c r="A5" s="3366" t="s">
        <v>2054</v>
      </c>
      <c r="B5" s="3366"/>
      <c r="C5" s="3366"/>
      <c r="D5" s="3366"/>
    </row>
    <row r="6" spans="1:4">
      <c r="A6" s="3363" t="s">
        <v>2032</v>
      </c>
      <c r="B6" s="3363"/>
      <c r="C6" s="3363"/>
      <c r="D6" s="3363"/>
    </row>
    <row r="7" spans="1:4" ht="33" customHeight="1">
      <c r="A7" s="3363" t="s">
        <v>2554</v>
      </c>
      <c r="B7" s="3363"/>
      <c r="C7" s="3363"/>
      <c r="D7" s="3363"/>
    </row>
    <row r="8" spans="1:4" ht="32.25" customHeight="1">
      <c r="A8" s="336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63"/>
      <c r="C8" s="3363"/>
      <c r="D8" s="3363"/>
    </row>
    <row r="9" spans="1:4" ht="33.75" customHeight="1">
      <c r="A9" s="336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63"/>
      <c r="C9" s="3363"/>
      <c r="D9" s="3363"/>
    </row>
    <row r="10" spans="1:4">
      <c r="A10" s="3363" t="str">
        <f>IF(项目基本情况!B8="抵押","4.估价师所知悉的法定优先受偿款情况为：","——")</f>
        <v>4.估价师所知悉的法定优先受偿款情况为：</v>
      </c>
      <c r="B10" s="3363"/>
      <c r="C10" s="3363"/>
      <c r="D10" s="3363"/>
    </row>
    <row r="11" spans="1:4" ht="37.5" customHeight="1">
      <c r="A11" s="336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65"/>
      <c r="C11" s="3365"/>
      <c r="D11" s="3365"/>
    </row>
    <row r="12" spans="1:4" ht="168" customHeight="1">
      <c r="A12" s="3366" t="s">
        <v>2056</v>
      </c>
      <c r="B12" s="3366"/>
      <c r="C12" s="3366"/>
      <c r="D12" s="3366"/>
    </row>
    <row r="13" spans="1:4">
      <c r="A13" s="3364" t="s">
        <v>2725</v>
      </c>
      <c r="B13" s="3364"/>
      <c r="C13" s="3364"/>
      <c r="D13" s="3364"/>
    </row>
    <row r="14" spans="1:4">
      <c r="A14" s="3365" t="str">
        <f>IF(项目基本情况!B8="抵押","综上，"&amp;结果表!K47,"——")</f>
        <v>综上，本次评估不存在估价师知悉的法定优先受偿款</v>
      </c>
      <c r="B14" s="3365"/>
      <c r="C14" s="3365"/>
      <c r="D14" s="3365"/>
    </row>
    <row r="15" spans="1:4" ht="58.5" customHeight="1">
      <c r="A15" s="336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63"/>
      <c r="C15" s="3363"/>
      <c r="D15" s="3363"/>
    </row>
    <row r="16" spans="1:4" ht="70.5" customHeight="1">
      <c r="A16" s="336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63"/>
      <c r="C16" s="3363"/>
      <c r="D16" s="3363"/>
    </row>
    <row r="17" spans="1:4">
      <c r="A17" s="3363" t="s">
        <v>2681</v>
      </c>
      <c r="B17" s="3363"/>
      <c r="C17" s="3363"/>
      <c r="D17" s="3363"/>
    </row>
    <row r="18" spans="1:4">
      <c r="A18" s="3363" t="s">
        <v>2673</v>
      </c>
      <c r="B18" s="3363"/>
      <c r="C18" s="3363"/>
      <c r="D18" s="3363"/>
    </row>
    <row r="19" spans="1:4">
      <c r="A19" s="2585" t="s">
        <v>2674</v>
      </c>
      <c r="B19" s="2585" t="s">
        <v>2675</v>
      </c>
      <c r="C19" s="2585" t="s">
        <v>2676</v>
      </c>
      <c r="D19" s="2585" t="s">
        <v>2677</v>
      </c>
    </row>
    <row r="20" spans="1:4">
      <c r="A20" s="2585" t="str">
        <f>项目基本情况!B4</f>
        <v>土地估价师</v>
      </c>
      <c r="B20" s="2585">
        <f>项目基本情况!C4</f>
        <v>0</v>
      </c>
      <c r="C20" s="2587"/>
      <c r="D20" s="1715" t="s">
        <v>2682</v>
      </c>
    </row>
    <row r="21" spans="1:4">
      <c r="A21" s="2585" t="str">
        <f>项目基本情况!D4</f>
        <v>土地估价师</v>
      </c>
      <c r="B21" s="2585">
        <f>项目基本情况!E4</f>
        <v>0</v>
      </c>
      <c r="C21" s="2587"/>
      <c r="D21" s="1715" t="s">
        <v>2683</v>
      </c>
    </row>
    <row r="23" spans="1:4">
      <c r="A23" s="3363" t="s">
        <v>2678</v>
      </c>
      <c r="B23" s="3363"/>
      <c r="C23" s="3363"/>
      <c r="D23" s="3363"/>
    </row>
    <row r="24" spans="1:4">
      <c r="A24" s="2585" t="s">
        <v>2674</v>
      </c>
      <c r="B24" s="2585" t="s">
        <v>2679</v>
      </c>
      <c r="C24" s="2585" t="s">
        <v>2676</v>
      </c>
      <c r="D24" s="2585" t="s">
        <v>2677</v>
      </c>
    </row>
    <row r="25" spans="1:4">
      <c r="A25" s="2588" t="s">
        <v>2680</v>
      </c>
      <c r="B25" s="2585" t="s">
        <v>942</v>
      </c>
      <c r="C25" s="2587"/>
      <c r="D25" s="1715" t="s">
        <v>2683</v>
      </c>
    </row>
    <row r="29" spans="1:4">
      <c r="D29" s="2586" t="s">
        <v>2027</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862</v>
      </c>
    </row>
    <row r="13" spans="1:7">
      <c r="A13" s="1153" t="s">
        <v>52</v>
      </c>
    </row>
    <row r="15" spans="1:7" ht="14.25">
      <c r="A15" s="3375" t="s">
        <v>53</v>
      </c>
      <c r="B15" s="3376" t="s">
        <v>837</v>
      </c>
      <c r="C15" s="3372"/>
    </row>
    <row r="16" spans="1:7" ht="14.25">
      <c r="A16" s="3375"/>
      <c r="B16" s="3373" t="s">
        <v>54</v>
      </c>
      <c r="C16" s="1154" t="s">
        <v>53</v>
      </c>
    </row>
    <row r="17" spans="1:3" ht="14.25">
      <c r="A17" s="3375"/>
      <c r="B17" s="3373"/>
      <c r="C17" s="1154" t="s">
        <v>55</v>
      </c>
    </row>
    <row r="18" spans="1:3" ht="14.25">
      <c r="A18" s="3375"/>
      <c r="B18" s="3373"/>
      <c r="C18" s="1154" t="s">
        <v>56</v>
      </c>
    </row>
    <row r="19" spans="1:3" ht="14.25">
      <c r="A19" s="3375"/>
      <c r="B19" s="3371" t="s">
        <v>57</v>
      </c>
      <c r="C19" s="3372"/>
    </row>
    <row r="20" spans="1:3" ht="14.25">
      <c r="A20" s="1155" t="s">
        <v>58</v>
      </c>
      <c r="B20" s="1156"/>
      <c r="C20" s="1157"/>
    </row>
    <row r="21" spans="1:3" ht="14.25">
      <c r="A21" s="3374" t="s">
        <v>59</v>
      </c>
      <c r="B21" s="3371" t="s">
        <v>60</v>
      </c>
      <c r="C21" s="3372"/>
    </row>
    <row r="22" spans="1:3" ht="14.25">
      <c r="A22" s="3374"/>
      <c r="B22" s="3371" t="s">
        <v>61</v>
      </c>
      <c r="C22" s="3372"/>
    </row>
    <row r="23" spans="1:3" ht="14.25">
      <c r="A23" s="3374"/>
      <c r="B23" s="3371" t="s">
        <v>62</v>
      </c>
      <c r="C23" s="3372"/>
    </row>
    <row r="24" spans="1:3" ht="14.25">
      <c r="A24" s="3374"/>
      <c r="B24" s="3377" t="s">
        <v>63</v>
      </c>
      <c r="C24" s="1158" t="s">
        <v>828</v>
      </c>
    </row>
    <row r="25" spans="1:3" ht="14.25">
      <c r="A25" s="3374"/>
      <c r="B25" s="3378"/>
      <c r="C25" s="1158" t="s">
        <v>829</v>
      </c>
    </row>
    <row r="26" spans="1:3" ht="14.25">
      <c r="A26" s="3374"/>
      <c r="B26" s="3378"/>
      <c r="C26" s="1158" t="s">
        <v>830</v>
      </c>
    </row>
    <row r="27" spans="1:3" ht="14.25">
      <c r="A27" s="3374"/>
      <c r="B27" s="3378"/>
      <c r="C27" s="1158" t="s">
        <v>831</v>
      </c>
    </row>
    <row r="28" spans="1:3" ht="14.25">
      <c r="A28" s="3374"/>
      <c r="B28" s="3378"/>
      <c r="C28" s="1158" t="s">
        <v>832</v>
      </c>
    </row>
    <row r="29" spans="1:3" ht="14.25">
      <c r="A29" s="3374"/>
      <c r="B29" s="3378"/>
      <c r="C29" s="1158" t="s">
        <v>833</v>
      </c>
    </row>
    <row r="30" spans="1:3" ht="14.25">
      <c r="A30" s="3374"/>
      <c r="B30" s="3378"/>
      <c r="C30" s="1158" t="s">
        <v>834</v>
      </c>
    </row>
    <row r="31" spans="1:3" ht="14.25">
      <c r="A31" s="3374"/>
      <c r="B31" s="3378"/>
      <c r="C31" s="1158" t="s">
        <v>835</v>
      </c>
    </row>
    <row r="32" spans="1:3" ht="14.25">
      <c r="A32" s="3374"/>
      <c r="B32" s="3378"/>
      <c r="C32" s="1158" t="s">
        <v>1636</v>
      </c>
    </row>
    <row r="33" spans="1:3" ht="14.25">
      <c r="A33" s="3374"/>
      <c r="B33" s="3368" t="s">
        <v>1642</v>
      </c>
      <c r="C33" s="1158" t="s">
        <v>1637</v>
      </c>
    </row>
    <row r="34" spans="1:3" ht="14.25">
      <c r="A34" s="3374"/>
      <c r="B34" s="3369"/>
      <c r="C34" s="1163" t="s">
        <v>1638</v>
      </c>
    </row>
    <row r="35" spans="1:3" ht="14.25">
      <c r="A35" s="3374"/>
      <c r="B35" s="3369"/>
      <c r="C35" s="1164" t="s">
        <v>1639</v>
      </c>
    </row>
    <row r="36" spans="1:3" ht="14.25">
      <c r="A36" s="3374"/>
      <c r="B36" s="3369"/>
      <c r="C36" s="1164" t="s">
        <v>1640</v>
      </c>
    </row>
    <row r="37" spans="1:3" ht="14.25">
      <c r="A37" s="3374"/>
      <c r="B37" s="3370"/>
      <c r="C37" s="1165" t="s">
        <v>1641</v>
      </c>
    </row>
    <row r="38" spans="1:3">
      <c r="A38" s="1159" t="s">
        <v>836</v>
      </c>
    </row>
    <row r="41" spans="1:3">
      <c r="A41" s="1159" t="s">
        <v>68</v>
      </c>
    </row>
    <row r="42" spans="1:3" ht="14.25">
      <c r="A42" s="1160" t="s">
        <v>844</v>
      </c>
    </row>
    <row r="43" spans="1:3" ht="14.25">
      <c r="A43" s="1161" t="s">
        <v>69</v>
      </c>
    </row>
    <row r="44" spans="1:3" ht="14.25">
      <c r="A44" s="1160" t="s">
        <v>843</v>
      </c>
    </row>
    <row r="45" spans="1:3" ht="14.25">
      <c r="A45" s="1162" t="s">
        <v>845</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1897</v>
      </c>
      <c r="B2" s="3027">
        <f ca="1">TODAY()</f>
        <v>44308</v>
      </c>
      <c r="C2" s="3028" t="s">
        <v>1898</v>
      </c>
      <c r="D2" s="3028"/>
      <c r="E2" s="3025"/>
      <c r="F2" s="3025"/>
      <c r="G2" s="3025"/>
    </row>
    <row r="3" spans="1:7" ht="20.25" customHeight="1">
      <c r="A3" s="3049" t="s">
        <v>1899</v>
      </c>
      <c r="B3" s="3030" t="s">
        <v>1900</v>
      </c>
      <c r="C3" s="3031" t="s">
        <v>1901</v>
      </c>
      <c r="D3" s="3050" t="s">
        <v>1902</v>
      </c>
      <c r="E3" s="3030" t="s">
        <v>1903</v>
      </c>
      <c r="F3" s="3030" t="s">
        <v>1901</v>
      </c>
      <c r="G3" s="3025"/>
    </row>
    <row r="4" spans="1:7" ht="20.25" customHeight="1">
      <c r="A4" s="3030" t="s">
        <v>1904</v>
      </c>
      <c r="B4" s="3030">
        <f ca="1">IF(C4&lt;B2,"已过期",1119970066)</f>
        <v>1119970066</v>
      </c>
      <c r="C4" s="3033">
        <v>44876</v>
      </c>
      <c r="D4" s="3041" t="s">
        <v>1904</v>
      </c>
      <c r="E4" s="3030">
        <f ca="1">IF(F4&lt;B2,"已过期",96010014)</f>
        <v>96010014</v>
      </c>
      <c r="F4" s="3032">
        <v>47118</v>
      </c>
      <c r="G4" s="3025"/>
    </row>
    <row r="5" spans="1:7" ht="20.25" customHeight="1">
      <c r="A5" s="3030" t="s">
        <v>1905</v>
      </c>
      <c r="B5" s="3030">
        <f ca="1">IF(C5&lt;B2,"已过期",1119970111)</f>
        <v>1119970111</v>
      </c>
      <c r="C5" s="3033">
        <v>44876</v>
      </c>
      <c r="D5" s="3041" t="s">
        <v>1905</v>
      </c>
      <c r="E5" s="3030">
        <f ca="1">IF(F5&lt;B2,"已过期",94010078)</f>
        <v>94010078</v>
      </c>
      <c r="F5" s="3032">
        <v>46387</v>
      </c>
      <c r="G5" s="3025"/>
    </row>
    <row r="6" spans="1:7" ht="20.25" customHeight="1">
      <c r="A6" s="3030" t="s">
        <v>1906</v>
      </c>
      <c r="B6" s="3030">
        <f ca="1">IF(C6&lt;B2,"已过期",1120050019)</f>
        <v>1120050019</v>
      </c>
      <c r="C6" s="3033">
        <v>44395</v>
      </c>
      <c r="D6" s="3041" t="s">
        <v>1906</v>
      </c>
      <c r="E6" s="3030">
        <f ca="1">IF(F6&lt;B2,"已过期",2002110030)</f>
        <v>2002110030</v>
      </c>
      <c r="F6" s="3032">
        <v>46387</v>
      </c>
      <c r="G6" s="3025"/>
    </row>
    <row r="7" spans="1:7" ht="20.25" customHeight="1">
      <c r="A7" s="3030" t="s">
        <v>1907</v>
      </c>
      <c r="B7" s="3030">
        <f ca="1">IF(C7&lt;B2,"已过期",1120000080)</f>
        <v>1120000080</v>
      </c>
      <c r="C7" s="3033">
        <v>44876</v>
      </c>
      <c r="D7" s="3041" t="s">
        <v>1907</v>
      </c>
      <c r="E7" s="3030">
        <f ca="1">IF(F7&lt;B2,"已过期",2000110082)</f>
        <v>2000110082</v>
      </c>
      <c r="F7" s="3032">
        <v>46387</v>
      </c>
      <c r="G7" s="3025"/>
    </row>
    <row r="8" spans="1:7" ht="20.25" customHeight="1">
      <c r="A8" s="3030" t="s">
        <v>1908</v>
      </c>
      <c r="B8" s="3030">
        <f ca="1">IF(C8&lt;B2,"已过期",1419970001)</f>
        <v>1419970001</v>
      </c>
      <c r="C8" s="3033">
        <v>44899</v>
      </c>
      <c r="D8" s="3041" t="s">
        <v>1908</v>
      </c>
      <c r="E8" s="3030">
        <f ca="1">IF(F8&lt;B2,"已过期",2002110125)</f>
        <v>2002110125</v>
      </c>
      <c r="F8" s="3032">
        <v>47118</v>
      </c>
      <c r="G8" s="3025"/>
    </row>
    <row r="9" spans="1:7" ht="20.25" customHeight="1">
      <c r="A9" s="3030" t="s">
        <v>1909</v>
      </c>
      <c r="B9" s="3030">
        <f ca="1">IF(C9&lt;B2,"已过期",1120060040)</f>
        <v>1120060040</v>
      </c>
      <c r="C9" s="3033">
        <v>44554</v>
      </c>
      <c r="D9" s="3041" t="s">
        <v>1909</v>
      </c>
      <c r="E9" s="3030">
        <f ca="1">IF(F9&lt;B2,"已过期",2004110096)</f>
        <v>2004110096</v>
      </c>
      <c r="F9" s="3032">
        <v>47118</v>
      </c>
      <c r="G9" s="3025"/>
    </row>
    <row r="10" spans="1:7" ht="20.25" customHeight="1">
      <c r="A10" s="3030" t="s">
        <v>1910</v>
      </c>
      <c r="B10" s="3030">
        <f ca="1">IF(C10&lt;B2,"已过期",1120100036)</f>
        <v>1120100036</v>
      </c>
      <c r="C10" s="3033">
        <v>44675</v>
      </c>
      <c r="D10" s="3041" t="s">
        <v>1910</v>
      </c>
      <c r="E10" s="3030">
        <f ca="1">IF(F10&lt;B2,"已过期",2010110070)</f>
        <v>2010110070</v>
      </c>
      <c r="F10" s="3032">
        <v>47907</v>
      </c>
      <c r="G10" s="3025"/>
    </row>
    <row r="11" spans="1:7" ht="20.25" customHeight="1">
      <c r="A11" s="3030" t="s">
        <v>1911</v>
      </c>
      <c r="B11" s="3030">
        <f ca="1">IF(C11&lt;B2,"已过期",1120070131)</f>
        <v>1120070131</v>
      </c>
      <c r="C11" s="3033">
        <v>44849</v>
      </c>
      <c r="D11" s="3041" t="s">
        <v>1911</v>
      </c>
      <c r="E11" s="3030">
        <f ca="1">IF(F11&lt;B2,"已过期",2014110011)</f>
        <v>2014110011</v>
      </c>
      <c r="F11" s="3032">
        <v>49302</v>
      </c>
      <c r="G11" s="3025"/>
    </row>
    <row r="12" spans="1:7" ht="20.25" customHeight="1">
      <c r="A12" s="3030" t="s">
        <v>2939</v>
      </c>
      <c r="B12" s="3030">
        <f ca="1">IF(C12&lt;B2,"已过期",1120040230)</f>
        <v>1120040230</v>
      </c>
      <c r="C12" s="3033">
        <v>44864</v>
      </c>
      <c r="D12" s="3041" t="s">
        <v>2940</v>
      </c>
      <c r="E12" s="3030">
        <f ca="1">IF(F12&lt;B2,"已过期",98030020)</f>
        <v>98030020</v>
      </c>
      <c r="F12" s="3032">
        <v>47118</v>
      </c>
      <c r="G12" s="3025"/>
    </row>
    <row r="13" spans="1:7" ht="20.25" customHeight="1">
      <c r="A13" s="3030"/>
      <c r="B13" s="3030"/>
      <c r="C13" s="3033"/>
      <c r="D13" s="3041" t="s">
        <v>1912</v>
      </c>
      <c r="E13" s="3030">
        <f ca="1">IF(F13&lt;B2,"已过期",2011110090)</f>
        <v>2011110090</v>
      </c>
      <c r="F13" s="3032">
        <v>48302</v>
      </c>
      <c r="G13" s="3025"/>
    </row>
    <row r="14" spans="1:7" ht="20.25" customHeight="1">
      <c r="A14" s="3030" t="s">
        <v>1913</v>
      </c>
      <c r="B14" s="3030">
        <f ca="1">IF(C14&lt;B2,"已过期",1120020033)</f>
        <v>1120020033</v>
      </c>
      <c r="C14" s="3033">
        <v>44339</v>
      </c>
      <c r="D14" s="3041" t="s">
        <v>1913</v>
      </c>
      <c r="E14" s="3030">
        <f ca="1">IF(F14&lt;B2,"已过期",2000110137)</f>
        <v>2000110137</v>
      </c>
      <c r="F14" s="3032">
        <v>46387</v>
      </c>
      <c r="G14" s="3025"/>
    </row>
    <row r="15" spans="1:7" ht="20.25" customHeight="1">
      <c r="A15" s="3030" t="s">
        <v>2954</v>
      </c>
      <c r="B15" s="3030">
        <f ca="1">IF(C14&lt;B2,"已过期",1119980106)</f>
        <v>1119980106</v>
      </c>
      <c r="C15" s="3033">
        <v>44969</v>
      </c>
      <c r="D15" s="3041"/>
      <c r="E15" s="3030"/>
      <c r="F15" s="3030"/>
      <c r="G15" s="3025"/>
    </row>
    <row r="16" spans="1:7" s="2831" customFormat="1" ht="20.25" customHeight="1">
      <c r="A16" s="3029" t="s">
        <v>2041</v>
      </c>
      <c r="B16" s="3029" t="s">
        <v>2041</v>
      </c>
      <c r="C16" s="3033"/>
      <c r="D16" s="3042" t="s">
        <v>2041</v>
      </c>
      <c r="E16" s="3030" t="s">
        <v>2041</v>
      </c>
      <c r="F16" s="3032"/>
      <c r="G16" s="3034"/>
    </row>
    <row r="17" spans="1:7" ht="20.25" customHeight="1">
      <c r="A17" s="3382" t="s">
        <v>1914</v>
      </c>
      <c r="B17" s="3383"/>
      <c r="C17" s="3383"/>
      <c r="D17" s="3383"/>
      <c r="E17" s="3383"/>
      <c r="F17" s="3383"/>
      <c r="G17" s="3034"/>
    </row>
    <row r="18" spans="1:7" ht="20.25" customHeight="1">
      <c r="A18" s="3379" t="s">
        <v>1915</v>
      </c>
      <c r="B18" s="3379"/>
      <c r="C18" s="3380"/>
      <c r="D18" s="3381" t="s">
        <v>1916</v>
      </c>
      <c r="E18" s="3379"/>
      <c r="F18" s="3379"/>
      <c r="G18" s="3034"/>
    </row>
    <row r="19" spans="1:7" s="2829" customFormat="1" ht="20.25" customHeight="1">
      <c r="A19" s="3035" t="s">
        <v>1917</v>
      </c>
      <c r="B19" s="3036" t="s">
        <v>1918</v>
      </c>
      <c r="C19" s="3043" t="s">
        <v>1919</v>
      </c>
      <c r="D19" s="3041" t="s">
        <v>1917</v>
      </c>
      <c r="E19" s="3036" t="s">
        <v>1918</v>
      </c>
      <c r="F19" s="3036" t="s">
        <v>1919</v>
      </c>
      <c r="G19" s="3026"/>
    </row>
    <row r="20" spans="1:7" s="2829" customFormat="1" ht="20.25" customHeight="1">
      <c r="A20" s="3037" t="s">
        <v>1920</v>
      </c>
      <c r="B20" s="3037" t="s">
        <v>1921</v>
      </c>
      <c r="C20" s="3044">
        <v>44820</v>
      </c>
      <c r="D20" s="3046" t="s">
        <v>1922</v>
      </c>
      <c r="E20" s="3037" t="s">
        <v>1923</v>
      </c>
      <c r="F20" s="3038">
        <v>44377</v>
      </c>
      <c r="G20" s="3026"/>
    </row>
    <row r="21" spans="1:7" s="2829" customFormat="1" ht="20.25" customHeight="1">
      <c r="A21" s="3037"/>
      <c r="B21" s="3037"/>
      <c r="C21" s="3045"/>
      <c r="D21" s="3046" t="s">
        <v>1924</v>
      </c>
      <c r="E21" s="3037" t="s">
        <v>2953</v>
      </c>
      <c r="F21" s="3038">
        <v>44012</v>
      </c>
      <c r="G21" s="3026"/>
    </row>
    <row r="22" spans="1:7" ht="20.25" customHeight="1">
      <c r="A22" s="3025"/>
      <c r="B22" s="3025"/>
      <c r="C22" s="3039"/>
      <c r="D22" s="3047"/>
      <c r="E22" s="3048"/>
      <c r="F22" s="3040" t="s">
        <v>2967</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54" priority="149">
      <formula>AND($C5-TODAY()&lt;30,TODAY()&lt;$C5)</formula>
    </cfRule>
  </conditionalFormatting>
  <conditionalFormatting sqref="C20">
    <cfRule type="expression" dxfId="253" priority="148">
      <formula>AND($C20-TODAY()&lt;30,TODAY()&lt;$C20)</formula>
    </cfRule>
  </conditionalFormatting>
  <conditionalFormatting sqref="C20 F4 C5 C13">
    <cfRule type="cellIs" dxfId="252" priority="150" stopIfTrue="1" operator="lessThan">
      <formula>$B$2</formula>
    </cfRule>
  </conditionalFormatting>
  <conditionalFormatting sqref="F5 F7 F9">
    <cfRule type="cellIs" dxfId="251" priority="144" stopIfTrue="1" operator="lessThan">
      <formula>$B$2</formula>
    </cfRule>
  </conditionalFormatting>
  <conditionalFormatting sqref="C16:D16">
    <cfRule type="expression" dxfId="250" priority="142">
      <formula>AND($C16-TODAY()&lt;30,TODAY()&lt;$C16)</formula>
    </cfRule>
  </conditionalFormatting>
  <conditionalFormatting sqref="F6 F8 F10 C16:D16">
    <cfRule type="cellIs" dxfId="249" priority="143" stopIfTrue="1" operator="lessThan">
      <formula>$B$2</formula>
    </cfRule>
  </conditionalFormatting>
  <conditionalFormatting sqref="F14">
    <cfRule type="cellIs" dxfId="248" priority="114" stopIfTrue="1" operator="lessThan">
      <formula>$B$2</formula>
    </cfRule>
  </conditionalFormatting>
  <conditionalFormatting sqref="F13">
    <cfRule type="cellIs" dxfId="247" priority="113" stopIfTrue="1" operator="lessThan">
      <formula>$B$2</formula>
    </cfRule>
  </conditionalFormatting>
  <conditionalFormatting sqref="B4:B11 E4:E11 E13:E15 B13:B15">
    <cfRule type="cellIs" dxfId="246" priority="111" stopIfTrue="1" operator="equal">
      <formula>"已过期"</formula>
    </cfRule>
  </conditionalFormatting>
  <conditionalFormatting sqref="F20">
    <cfRule type="cellIs" dxfId="245" priority="108" stopIfTrue="1" operator="lessThan">
      <formula>$B$2</formula>
    </cfRule>
  </conditionalFormatting>
  <conditionalFormatting sqref="F20">
    <cfRule type="expression" dxfId="244" priority="152">
      <formula>AND($E20-TODAY()&lt;30,TODAY()&lt;$E20)</formula>
    </cfRule>
  </conditionalFormatting>
  <conditionalFormatting sqref="C6">
    <cfRule type="expression" dxfId="243" priority="82">
      <formula>AND($C6-TODAY()&lt;30,TODAY()&lt;$C6)</formula>
    </cfRule>
  </conditionalFormatting>
  <conditionalFormatting sqref="C6">
    <cfRule type="cellIs" dxfId="242" priority="83" stopIfTrue="1" operator="lessThan">
      <formula>$B$2</formula>
    </cfRule>
  </conditionalFormatting>
  <conditionalFormatting sqref="C11 C15">
    <cfRule type="expression" dxfId="241" priority="80">
      <formula>AND($C11-TODAY()&lt;30,TODAY()&lt;$C11)</formula>
    </cfRule>
  </conditionalFormatting>
  <conditionalFormatting sqref="C11 C15">
    <cfRule type="cellIs" dxfId="240" priority="81" stopIfTrue="1" operator="lessThan">
      <formula>$B$2</formula>
    </cfRule>
  </conditionalFormatting>
  <conditionalFormatting sqref="F11">
    <cfRule type="cellIs" dxfId="239" priority="79" stopIfTrue="1" operator="lessThan">
      <formula>$B$2</formula>
    </cfRule>
  </conditionalFormatting>
  <conditionalFormatting sqref="C14">
    <cfRule type="expression" dxfId="238" priority="60">
      <formula>AND($C14-TODAY()&lt;30,TODAY()&lt;$C14)</formula>
    </cfRule>
  </conditionalFormatting>
  <conditionalFormatting sqref="C14">
    <cfRule type="cellIs" dxfId="237" priority="61" stopIfTrue="1" operator="lessThan">
      <formula>$B$2</formula>
    </cfRule>
  </conditionalFormatting>
  <conditionalFormatting sqref="C12">
    <cfRule type="cellIs" dxfId="236" priority="54" stopIfTrue="1" operator="lessThan">
      <formula>$B$2</formula>
    </cfRule>
  </conditionalFormatting>
  <conditionalFormatting sqref="C12">
    <cfRule type="expression" dxfId="235" priority="51">
      <formula>AND($C12-TODAY()&lt;30,TODAY()&lt;$C12)</formula>
    </cfRule>
  </conditionalFormatting>
  <conditionalFormatting sqref="C12">
    <cfRule type="cellIs" dxfId="234" priority="52" stopIfTrue="1" operator="lessThan">
      <formula>$B$2</formula>
    </cfRule>
  </conditionalFormatting>
  <conditionalFormatting sqref="B12">
    <cfRule type="cellIs" dxfId="233" priority="48" stopIfTrue="1" operator="equal">
      <formula>"已过期"</formula>
    </cfRule>
  </conditionalFormatting>
  <conditionalFormatting sqref="E12">
    <cfRule type="cellIs" dxfId="232" priority="38" stopIfTrue="1" operator="equal">
      <formula>"已过期"</formula>
    </cfRule>
  </conditionalFormatting>
  <conditionalFormatting sqref="F12">
    <cfRule type="cellIs" dxfId="231" priority="37" stopIfTrue="1" operator="lessThan">
      <formula>$B$2</formula>
    </cfRule>
  </conditionalFormatting>
  <conditionalFormatting sqref="C9:C10">
    <cfRule type="expression" dxfId="230" priority="33">
      <formula>AND($C9-TODAY()&lt;30,TODAY()&lt;$C9)</formula>
    </cfRule>
  </conditionalFormatting>
  <conditionalFormatting sqref="C9:C10">
    <cfRule type="cellIs" dxfId="229" priority="34" stopIfTrue="1" operator="lessThan">
      <formula>$B$2</formula>
    </cfRule>
  </conditionalFormatting>
  <conditionalFormatting sqref="F21">
    <cfRule type="cellIs" dxfId="228" priority="13" stopIfTrue="1" operator="lessThan">
      <formula>$B$2</formula>
    </cfRule>
  </conditionalFormatting>
  <conditionalFormatting sqref="F21">
    <cfRule type="expression" dxfId="227" priority="14">
      <formula>AND($E21-TODAY()&lt;30,TODAY()&lt;$E21)</formula>
    </cfRule>
  </conditionalFormatting>
  <conditionalFormatting sqref="C7:C8">
    <cfRule type="expression" dxfId="226" priority="5">
      <formula>AND($C7-TODAY()&lt;30,TODAY()&lt;$C7)</formula>
    </cfRule>
  </conditionalFormatting>
  <conditionalFormatting sqref="C7:C8">
    <cfRule type="cellIs" dxfId="225" priority="6" stopIfTrue="1" operator="lessThan">
      <formula>$B$2</formula>
    </cfRule>
  </conditionalFormatting>
  <conditionalFormatting sqref="C7:C8">
    <cfRule type="expression" dxfId="224" priority="3">
      <formula>AND($C7-TODAY()&lt;30,TODAY()&lt;$C7)</formula>
    </cfRule>
  </conditionalFormatting>
  <conditionalFormatting sqref="C7:C8">
    <cfRule type="cellIs" dxfId="223" priority="4" stopIfTrue="1" operator="lessThan">
      <formula>$B$2</formula>
    </cfRule>
  </conditionalFormatting>
  <conditionalFormatting sqref="C4">
    <cfRule type="expression" dxfId="222" priority="1">
      <formula>AND($C4-TODAY()&lt;30,TODAY()&lt;$C4)</formula>
    </cfRule>
  </conditionalFormatting>
  <conditionalFormatting sqref="C4">
    <cfRule type="cellIs" dxfId="22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847</v>
      </c>
      <c r="B1" s="5" t="s">
        <v>132</v>
      </c>
      <c r="C1" s="1488"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2525</v>
      </c>
      <c r="R1" s="2432" t="s">
        <v>2519</v>
      </c>
      <c r="S1" s="6" t="s">
        <v>146</v>
      </c>
      <c r="T1" s="7" t="s">
        <v>147</v>
      </c>
      <c r="U1" s="6" t="s">
        <v>148</v>
      </c>
      <c r="V1" s="6" t="s">
        <v>149</v>
      </c>
      <c r="W1" s="991" t="s">
        <v>864</v>
      </c>
    </row>
    <row r="2" spans="1:23">
      <c r="A2" s="8" t="s">
        <v>73</v>
      </c>
      <c r="B2" s="8" t="s">
        <v>150</v>
      </c>
      <c r="C2" s="1489" t="s">
        <v>1699</v>
      </c>
      <c r="D2" s="9" t="s">
        <v>74</v>
      </c>
      <c r="E2" s="9" t="s">
        <v>127</v>
      </c>
      <c r="F2" s="9" t="s">
        <v>128</v>
      </c>
      <c r="G2" s="9">
        <v>40</v>
      </c>
      <c r="H2" s="9" t="s">
        <v>129</v>
      </c>
      <c r="I2" s="9" t="s">
        <v>130</v>
      </c>
      <c r="J2" s="9" t="s">
        <v>131</v>
      </c>
      <c r="K2" s="9" t="s">
        <v>75</v>
      </c>
      <c r="L2" s="9" t="s">
        <v>75</v>
      </c>
      <c r="M2" s="9" t="s">
        <v>75</v>
      </c>
      <c r="N2" s="9" t="s">
        <v>75</v>
      </c>
      <c r="O2" s="9" t="s">
        <v>75</v>
      </c>
      <c r="P2" s="992" t="s">
        <v>870</v>
      </c>
      <c r="Q2" s="9" t="s">
        <v>75</v>
      </c>
      <c r="R2" s="992" t="s">
        <v>2520</v>
      </c>
      <c r="S2" s="9" t="s">
        <v>75</v>
      </c>
      <c r="T2" s="9" t="s">
        <v>76</v>
      </c>
      <c r="U2" s="9" t="s">
        <v>75</v>
      </c>
      <c r="V2" s="9" t="s">
        <v>77</v>
      </c>
      <c r="W2" s="9" t="s">
        <v>865</v>
      </c>
    </row>
    <row r="3" spans="1:23">
      <c r="A3" s="8" t="s">
        <v>78</v>
      </c>
      <c r="B3" s="10" t="s">
        <v>151</v>
      </c>
      <c r="C3" s="1490" t="s">
        <v>1700</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2521</v>
      </c>
      <c r="S3" s="9" t="s">
        <v>84</v>
      </c>
      <c r="T3" s="9" t="s">
        <v>85</v>
      </c>
      <c r="U3" s="9" t="s">
        <v>84</v>
      </c>
      <c r="V3" s="9" t="s">
        <v>86</v>
      </c>
      <c r="W3" s="9" t="s">
        <v>866</v>
      </c>
    </row>
    <row r="4" spans="1:23">
      <c r="A4" s="8" t="s">
        <v>87</v>
      </c>
      <c r="B4" s="8" t="s">
        <v>152</v>
      </c>
      <c r="C4" s="1489" t="s">
        <v>1701</v>
      </c>
      <c r="D4" s="9" t="s">
        <v>1982</v>
      </c>
      <c r="E4" s="9" t="s">
        <v>88</v>
      </c>
      <c r="F4" s="9" t="s">
        <v>89</v>
      </c>
      <c r="G4" s="9">
        <v>70</v>
      </c>
      <c r="H4" s="9" t="s">
        <v>90</v>
      </c>
      <c r="I4" s="9" t="s">
        <v>91</v>
      </c>
      <c r="K4" s="9" t="s">
        <v>92</v>
      </c>
      <c r="L4" s="9" t="s">
        <v>92</v>
      </c>
      <c r="M4" s="9" t="s">
        <v>92</v>
      </c>
      <c r="N4" s="9" t="s">
        <v>92</v>
      </c>
      <c r="O4" s="9" t="s">
        <v>92</v>
      </c>
      <c r="P4" s="992" t="s">
        <v>754</v>
      </c>
      <c r="Q4" s="9" t="s">
        <v>92</v>
      </c>
      <c r="R4" s="992" t="s">
        <v>2522</v>
      </c>
      <c r="S4" s="9" t="s">
        <v>92</v>
      </c>
      <c r="T4" s="9" t="s">
        <v>93</v>
      </c>
      <c r="U4" s="9" t="s">
        <v>92</v>
      </c>
      <c r="W4" s="9" t="s">
        <v>867</v>
      </c>
    </row>
    <row r="5" spans="1:23">
      <c r="A5" s="8" t="s">
        <v>94</v>
      </c>
      <c r="B5" s="8" t="s">
        <v>153</v>
      </c>
      <c r="C5" s="1489" t="s">
        <v>1702</v>
      </c>
      <c r="F5" s="9" t="s">
        <v>95</v>
      </c>
      <c r="H5" s="9" t="s">
        <v>70</v>
      </c>
      <c r="I5" s="9" t="s">
        <v>96</v>
      </c>
      <c r="K5" s="9" t="s">
        <v>97</v>
      </c>
      <c r="L5" s="9" t="s">
        <v>97</v>
      </c>
      <c r="M5" s="9" t="s">
        <v>97</v>
      </c>
      <c r="N5" s="9" t="s">
        <v>97</v>
      </c>
      <c r="O5" s="9" t="s">
        <v>97</v>
      </c>
      <c r="P5" s="992" t="s">
        <v>540</v>
      </c>
      <c r="Q5" s="9" t="s">
        <v>97</v>
      </c>
      <c r="R5" s="992" t="s">
        <v>2523</v>
      </c>
      <c r="S5" s="9" t="s">
        <v>97</v>
      </c>
      <c r="T5" s="9" t="s">
        <v>98</v>
      </c>
      <c r="U5" s="9" t="s">
        <v>97</v>
      </c>
      <c r="W5" s="9" t="s">
        <v>868</v>
      </c>
    </row>
    <row r="6" spans="1:23">
      <c r="A6" s="8" t="s">
        <v>99</v>
      </c>
      <c r="B6" s="1131" t="s">
        <v>1630</v>
      </c>
      <c r="C6" s="1491" t="s">
        <v>1703</v>
      </c>
      <c r="F6" s="9" t="s">
        <v>71</v>
      </c>
      <c r="H6" s="9" t="s">
        <v>72</v>
      </c>
      <c r="I6" s="9" t="s">
        <v>100</v>
      </c>
      <c r="K6" s="9" t="s">
        <v>101</v>
      </c>
      <c r="L6" s="9" t="s">
        <v>101</v>
      </c>
      <c r="M6" s="9" t="s">
        <v>101</v>
      </c>
      <c r="N6" s="9" t="s">
        <v>101</v>
      </c>
      <c r="O6" s="9" t="s">
        <v>101</v>
      </c>
      <c r="P6" s="992" t="s">
        <v>871</v>
      </c>
      <c r="Q6" s="9" t="s">
        <v>101</v>
      </c>
      <c r="R6" s="992" t="s">
        <v>2524</v>
      </c>
      <c r="S6" s="9" t="s">
        <v>101</v>
      </c>
      <c r="T6" s="9"/>
      <c r="U6" s="9" t="s">
        <v>101</v>
      </c>
      <c r="W6" s="9" t="s">
        <v>869</v>
      </c>
    </row>
    <row r="7" spans="1:23">
      <c r="A7" s="8" t="s">
        <v>102</v>
      </c>
      <c r="B7" s="8" t="s">
        <v>103</v>
      </c>
      <c r="C7" s="1489" t="s">
        <v>1704</v>
      </c>
      <c r="F7" s="9" t="s">
        <v>154</v>
      </c>
      <c r="H7" s="9" t="s">
        <v>104</v>
      </c>
      <c r="I7" s="9" t="s">
        <v>105</v>
      </c>
    </row>
    <row r="8" spans="1:23">
      <c r="A8" s="8" t="s">
        <v>106</v>
      </c>
      <c r="B8" s="8" t="s">
        <v>107</v>
      </c>
      <c r="C8" s="1489" t="s">
        <v>1705</v>
      </c>
      <c r="F8" s="9" t="s">
        <v>155</v>
      </c>
      <c r="H8" s="9"/>
      <c r="I8" s="9" t="s">
        <v>108</v>
      </c>
    </row>
    <row r="9" spans="1:23">
      <c r="A9" s="8" t="s">
        <v>109</v>
      </c>
      <c r="B9" s="8" t="s">
        <v>156</v>
      </c>
      <c r="C9" s="1489" t="s">
        <v>1706</v>
      </c>
      <c r="F9" s="9" t="s">
        <v>110</v>
      </c>
      <c r="H9" s="9"/>
    </row>
    <row r="10" spans="1:23">
      <c r="A10" s="8" t="s">
        <v>111</v>
      </c>
      <c r="B10" s="8" t="s">
        <v>157</v>
      </c>
      <c r="C10" s="1489" t="s">
        <v>1707</v>
      </c>
      <c r="F10" s="9" t="s">
        <v>6</v>
      </c>
    </row>
    <row r="11" spans="1:23">
      <c r="A11" s="8" t="s">
        <v>112</v>
      </c>
      <c r="B11" s="8" t="s">
        <v>158</v>
      </c>
      <c r="C11" s="1489" t="s">
        <v>1708</v>
      </c>
    </row>
    <row r="12" spans="1:23">
      <c r="A12" s="8" t="s">
        <v>113</v>
      </c>
      <c r="B12" s="8" t="s">
        <v>159</v>
      </c>
      <c r="C12" s="1489" t="s">
        <v>1709</v>
      </c>
    </row>
    <row r="13" spans="1:23">
      <c r="A13" s="8" t="s">
        <v>114</v>
      </c>
      <c r="B13" s="8" t="s">
        <v>160</v>
      </c>
      <c r="C13" s="1489" t="s">
        <v>1710</v>
      </c>
    </row>
    <row r="14" spans="1:23">
      <c r="A14" s="8" t="s">
        <v>115</v>
      </c>
      <c r="B14" s="8" t="s">
        <v>161</v>
      </c>
      <c r="C14" s="1492" t="s">
        <v>1886</v>
      </c>
    </row>
    <row r="15" spans="1:23">
      <c r="A15" s="8" t="s">
        <v>116</v>
      </c>
      <c r="B15" s="8" t="s">
        <v>1671</v>
      </c>
      <c r="C15" s="1492"/>
    </row>
    <row r="16" spans="1:23">
      <c r="A16" s="8" t="s">
        <v>117</v>
      </c>
      <c r="B16" s="8" t="s">
        <v>1672</v>
      </c>
      <c r="C16" s="1492"/>
    </row>
    <row r="17" spans="1:3">
      <c r="A17" s="8" t="s">
        <v>118</v>
      </c>
      <c r="B17" s="8" t="s">
        <v>1673</v>
      </c>
      <c r="C17" s="1492"/>
    </row>
    <row r="18" spans="1:3">
      <c r="A18" s="8" t="s">
        <v>119</v>
      </c>
      <c r="B18" s="2792" t="s">
        <v>2915</v>
      </c>
      <c r="C18" s="1492"/>
    </row>
    <row r="19" spans="1:3">
      <c r="A19" s="8" t="s">
        <v>120</v>
      </c>
      <c r="B19" s="2792" t="s">
        <v>2922</v>
      </c>
      <c r="C19" s="1492"/>
    </row>
    <row r="20" spans="1:3">
      <c r="A20" s="8" t="s">
        <v>121</v>
      </c>
      <c r="B20" s="2792" t="s">
        <v>2968</v>
      </c>
      <c r="C20" s="1492"/>
    </row>
    <row r="21" spans="1:3">
      <c r="A21" s="8" t="s">
        <v>122</v>
      </c>
      <c r="B21" s="8" t="s">
        <v>1631</v>
      </c>
      <c r="C21" s="1492"/>
    </row>
    <row r="22" spans="1:3">
      <c r="A22" s="8" t="s">
        <v>123</v>
      </c>
      <c r="B22" s="8" t="s">
        <v>1631</v>
      </c>
      <c r="C22" s="1492"/>
    </row>
    <row r="23" spans="1:3">
      <c r="A23" s="8" t="s">
        <v>124</v>
      </c>
      <c r="B23" s="8" t="s">
        <v>1631</v>
      </c>
      <c r="C23" s="1492"/>
    </row>
    <row r="24" spans="1:3">
      <c r="A24" s="8" t="s">
        <v>12</v>
      </c>
      <c r="B24" s="8" t="s">
        <v>1631</v>
      </c>
      <c r="C24" s="1492"/>
    </row>
    <row r="25" spans="1:3">
      <c r="A25" s="8" t="s">
        <v>125</v>
      </c>
      <c r="B25" s="8" t="s">
        <v>1631</v>
      </c>
      <c r="C25" s="1492"/>
    </row>
    <row r="26" spans="1:3">
      <c r="A26" s="8" t="s">
        <v>126</v>
      </c>
      <c r="B26" s="8" t="s">
        <v>1631</v>
      </c>
      <c r="C26" s="1492"/>
    </row>
    <row r="27" spans="1:3">
      <c r="A27" s="8" t="s">
        <v>1631</v>
      </c>
      <c r="B27" s="8" t="s">
        <v>1631</v>
      </c>
      <c r="C27" s="1492"/>
    </row>
    <row r="28" spans="1:3">
      <c r="A28" s="8" t="s">
        <v>1631</v>
      </c>
      <c r="B28" s="8" t="s">
        <v>1631</v>
      </c>
      <c r="C28" s="1492"/>
    </row>
    <row r="29" spans="1:3">
      <c r="A29" s="8" t="s">
        <v>1631</v>
      </c>
      <c r="B29" s="8" t="s">
        <v>1631</v>
      </c>
      <c r="C29" s="1492"/>
    </row>
    <row r="30" spans="1:3">
      <c r="A30" s="8" t="s">
        <v>1631</v>
      </c>
      <c r="B30" s="8" t="s">
        <v>1631</v>
      </c>
      <c r="C30" s="1492"/>
    </row>
    <row r="31" spans="1:3">
      <c r="A31" s="8" t="s">
        <v>1631</v>
      </c>
      <c r="B31" s="8" t="s">
        <v>1631</v>
      </c>
      <c r="C31" s="1492"/>
    </row>
    <row r="32" spans="1:3">
      <c r="A32" s="8" t="s">
        <v>1631</v>
      </c>
      <c r="B32" s="8" t="s">
        <v>1631</v>
      </c>
      <c r="C32" s="1492"/>
    </row>
    <row r="33" spans="1:3">
      <c r="A33" s="8" t="s">
        <v>1631</v>
      </c>
      <c r="B33" s="8" t="s">
        <v>1631</v>
      </c>
      <c r="C33" s="1492"/>
    </row>
    <row r="34" spans="1:3">
      <c r="A34" s="8" t="s">
        <v>1631</v>
      </c>
      <c r="B34" s="8" t="s">
        <v>1631</v>
      </c>
      <c r="C34" s="1492"/>
    </row>
    <row r="35" spans="1:3">
      <c r="A35" s="8" t="s">
        <v>1631</v>
      </c>
      <c r="B35" s="8" t="s">
        <v>1631</v>
      </c>
      <c r="C35" s="1492"/>
    </row>
    <row r="36" spans="1:3">
      <c r="A36" s="8" t="s">
        <v>1631</v>
      </c>
      <c r="B36" s="8" t="s">
        <v>1631</v>
      </c>
      <c r="C36" s="1492"/>
    </row>
    <row r="37" spans="1:3">
      <c r="A37" s="8" t="s">
        <v>1631</v>
      </c>
      <c r="B37" s="8" t="s">
        <v>1631</v>
      </c>
      <c r="C37" s="1492"/>
    </row>
    <row r="38" spans="1:3">
      <c r="A38" s="8" t="s">
        <v>1631</v>
      </c>
      <c r="B38" s="8" t="s">
        <v>1631</v>
      </c>
      <c r="C38" s="1492"/>
    </row>
    <row r="39" spans="1:3">
      <c r="A39" s="8" t="s">
        <v>1631</v>
      </c>
      <c r="B39" s="8" t="s">
        <v>1631</v>
      </c>
      <c r="C39" s="1492"/>
    </row>
    <row r="40" spans="1:3">
      <c r="A40" s="8" t="s">
        <v>1631</v>
      </c>
      <c r="B40" s="8" t="s">
        <v>1631</v>
      </c>
      <c r="C40" s="1492"/>
    </row>
    <row r="41" spans="1:3">
      <c r="A41" s="8" t="s">
        <v>1631</v>
      </c>
      <c r="B41" s="8" t="s">
        <v>1631</v>
      </c>
      <c r="C41" s="1492"/>
    </row>
    <row r="42" spans="1:3">
      <c r="A42" s="8" t="s">
        <v>1631</v>
      </c>
      <c r="B42" s="8" t="s">
        <v>1631</v>
      </c>
      <c r="C42" s="1492"/>
    </row>
    <row r="43" spans="1:3">
      <c r="A43" s="8" t="s">
        <v>1631</v>
      </c>
      <c r="B43" s="8" t="s">
        <v>1631</v>
      </c>
      <c r="C43" s="1492"/>
    </row>
    <row r="44" spans="1:3">
      <c r="A44" s="8" t="s">
        <v>1631</v>
      </c>
      <c r="B44" s="8" t="s">
        <v>1631</v>
      </c>
      <c r="C44" s="1492"/>
    </row>
    <row r="45" spans="1:3">
      <c r="A45" s="8" t="s">
        <v>1631</v>
      </c>
      <c r="B45" s="8" t="s">
        <v>1631</v>
      </c>
      <c r="C45" s="1492"/>
    </row>
    <row r="46" spans="1:3">
      <c r="A46" s="8" t="s">
        <v>1631</v>
      </c>
      <c r="B46" s="8" t="s">
        <v>1631</v>
      </c>
      <c r="C46" s="1492"/>
    </row>
    <row r="47" spans="1:3">
      <c r="A47" s="8" t="s">
        <v>1631</v>
      </c>
      <c r="B47" s="8" t="s">
        <v>1631</v>
      </c>
      <c r="C47" s="1492"/>
    </row>
    <row r="48" spans="1:3">
      <c r="A48" s="8" t="s">
        <v>1631</v>
      </c>
      <c r="B48" s="8" t="s">
        <v>1631</v>
      </c>
      <c r="C48" s="1492"/>
    </row>
    <row r="49" spans="1:5">
      <c r="A49" s="8" t="s">
        <v>1631</v>
      </c>
      <c r="B49" s="8" t="s">
        <v>1631</v>
      </c>
      <c r="C49" s="1492"/>
    </row>
    <row r="50" spans="1:5">
      <c r="A50" s="8" t="s">
        <v>1631</v>
      </c>
      <c r="B50" s="8" t="s">
        <v>1631</v>
      </c>
      <c r="C50" s="1492"/>
    </row>
    <row r="51" spans="1:5">
      <c r="A51" s="1683" t="s">
        <v>1930</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1974</v>
      </c>
      <c r="B52" s="1686" t="s">
        <v>1975</v>
      </c>
      <c r="C52" s="1684" t="s">
        <v>1976</v>
      </c>
      <c r="D52" s="1684" t="s">
        <v>1977</v>
      </c>
      <c r="E52" s="1685"/>
    </row>
    <row r="53" spans="1:5">
      <c r="A53" s="3384" t="s">
        <v>1978</v>
      </c>
      <c r="B53" s="1684" t="s">
        <v>1984</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3月3日，在规划利用条件下、设定土地开发程度为红线外“七通”、宗地内场地，设定用途为，剩余土地使用年限为的出让国有建设用地使用权价格。</v>
      </c>
      <c r="D53" s="1685"/>
      <c r="E53" s="1685"/>
    </row>
    <row r="54" spans="1:5">
      <c r="A54" s="3384"/>
      <c r="B54" s="1684" t="s">
        <v>1985</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84"/>
      <c r="B55" s="1684" t="s">
        <v>1979</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84"/>
      <c r="B56" s="1684" t="s">
        <v>1980</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84"/>
      <c r="B57" s="1684" t="s">
        <v>1981</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2037</v>
      </c>
      <c r="B58" s="1684" t="s">
        <v>2038</v>
      </c>
      <c r="C58" s="11" t="s">
        <v>2039</v>
      </c>
      <c r="D58" s="1272"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155</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结果表-23净值</vt:lpstr>
      <vt:lpstr>结果表-24净值</vt:lpstr>
      <vt:lpstr>结果表-27净值</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Sheet3</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'结果表-23净值'!Print_Area</vt:lpstr>
      <vt:lpstr>'结果表-24净值'!Print_Area</vt:lpstr>
      <vt:lpstr>'结果表-27净值'!Print_Area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2021-04-22T05:48:21Z</dcterms:modified>
</cp:coreProperties>
</file>