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3"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比较法-住宅" sheetId="21" r:id="rId31"/>
    <sheet name="不动产收益法商业" sheetId="15" r:id="rId32"/>
    <sheet name="酒店收入计算" sheetId="57" state="hidden" r:id="rId33"/>
    <sheet name="成本逼近法" sheetId="11" state="hidden" r:id="rId34"/>
    <sheet name="不动产收益法车库" sheetId="72"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0" i="12" l="1"/>
  <c r="D14" i="9"/>
  <c r="D123" i="21"/>
  <c r="E123" i="21"/>
  <c r="F123" i="21"/>
  <c r="D69" i="21"/>
  <c r="E69" i="21"/>
  <c r="F69" i="21"/>
  <c r="E40" i="39"/>
  <c r="E9" i="39"/>
  <c r="E7" i="39"/>
  <c r="I40" i="39"/>
  <c r="G40" i="39"/>
  <c r="I9" i="39"/>
  <c r="G9" i="39"/>
  <c r="I7" i="39"/>
  <c r="G7" i="39"/>
  <c r="F20" i="6"/>
  <c r="L3" i="73"/>
  <c r="L4" i="73"/>
  <c r="L5" i="73"/>
  <c r="L6" i="73"/>
  <c r="L7" i="73"/>
  <c r="L8" i="73"/>
  <c r="L9" i="73"/>
  <c r="L10" i="73"/>
  <c r="L11" i="73"/>
  <c r="L12" i="73"/>
  <c r="L13" i="73"/>
  <c r="L14" i="73"/>
  <c r="L15" i="73"/>
  <c r="L16" i="73"/>
  <c r="L17" i="73"/>
  <c r="L18" i="73"/>
  <c r="L19" i="73"/>
  <c r="L20" i="73"/>
  <c r="L21" i="73"/>
  <c r="L22" i="73"/>
  <c r="L23" i="73"/>
  <c r="L24" i="73"/>
  <c r="L25" i="73"/>
  <c r="L26" i="73"/>
  <c r="L27" i="73"/>
  <c r="L28" i="73"/>
  <c r="L29" i="73"/>
  <c r="L30" i="73"/>
  <c r="L31" i="73"/>
  <c r="L32" i="73"/>
  <c r="L33" i="73"/>
  <c r="L34" i="73"/>
  <c r="L35" i="73"/>
  <c r="L36" i="73"/>
  <c r="L37" i="73"/>
  <c r="L38" i="73"/>
  <c r="L39" i="73"/>
  <c r="L40" i="73"/>
  <c r="L41" i="73"/>
  <c r="L42" i="73"/>
  <c r="L43" i="73"/>
  <c r="L44" i="73"/>
  <c r="L45" i="73"/>
  <c r="L46" i="73"/>
  <c r="L47" i="73"/>
  <c r="L48" i="73"/>
  <c r="L49" i="73"/>
  <c r="L50" i="73"/>
  <c r="L51" i="73"/>
  <c r="L2" i="7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C33" i="2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L31" i="3"/>
  <c r="AZ31" i="3"/>
  <c r="BO31" i="3"/>
  <c r="BP31" i="3"/>
  <c r="BQ31" i="3"/>
  <c r="BR31" i="3"/>
  <c r="BS31" i="3"/>
  <c r="BT31" i="3"/>
  <c r="BB32" i="3"/>
  <c r="BC32" i="3"/>
  <c r="BA32" i="3"/>
  <c r="AZ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L33" i="3"/>
  <c r="AZ33" i="3"/>
  <c r="BO33" i="3"/>
  <c r="BP33" i="3"/>
  <c r="BQ33" i="3"/>
  <c r="BR33" i="3"/>
  <c r="BS33" i="3"/>
  <c r="BT33" i="3"/>
  <c r="BB34" i="3"/>
  <c r="BC34" i="3"/>
  <c r="BA34" i="3"/>
  <c r="AZ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L35" i="3"/>
  <c r="AZ35" i="3"/>
  <c r="BO35" i="3"/>
  <c r="BP35" i="3"/>
  <c r="BQ35" i="3"/>
  <c r="BR35" i="3"/>
  <c r="BS35" i="3"/>
  <c r="BT35" i="3"/>
  <c r="BB36" i="3"/>
  <c r="BC36" i="3"/>
  <c r="BA36" i="3"/>
  <c r="AZ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c r="AZ37" i="3"/>
  <c r="BO37" i="3"/>
  <c r="BP37" i="3"/>
  <c r="BQ37" i="3"/>
  <c r="BR37" i="3"/>
  <c r="BS37" i="3"/>
  <c r="BT37" i="3"/>
  <c r="BB38" i="3"/>
  <c r="BC38" i="3"/>
  <c r="BA38" i="3"/>
  <c r="AZ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L39" i="3"/>
  <c r="AZ39" i="3"/>
  <c r="BO39" i="3"/>
  <c r="BP39" i="3"/>
  <c r="BQ39" i="3"/>
  <c r="BR39" i="3"/>
  <c r="BS39" i="3"/>
  <c r="BT39" i="3"/>
  <c r="BB40" i="3"/>
  <c r="BC40" i="3"/>
  <c r="BA40" i="3"/>
  <c r="AZ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L41" i="3"/>
  <c r="AZ41" i="3"/>
  <c r="BO41" i="3"/>
  <c r="BP41" i="3"/>
  <c r="BQ41" i="3"/>
  <c r="BR41" i="3"/>
  <c r="BS41" i="3"/>
  <c r="BT41" i="3"/>
  <c r="BB42" i="3"/>
  <c r="BC42" i="3"/>
  <c r="BA42" i="3"/>
  <c r="AZ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L43" i="3"/>
  <c r="AZ43" i="3"/>
  <c r="BO43" i="3"/>
  <c r="BP43" i="3"/>
  <c r="BQ43" i="3"/>
  <c r="BR43" i="3"/>
  <c r="BS43" i="3"/>
  <c r="BT43" i="3"/>
  <c r="BB44" i="3"/>
  <c r="BC44" i="3"/>
  <c r="BA44" i="3"/>
  <c r="AZ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c r="AZ45" i="3"/>
  <c r="BO45" i="3"/>
  <c r="BP45" i="3"/>
  <c r="BQ45" i="3"/>
  <c r="BR45" i="3"/>
  <c r="BS45" i="3"/>
  <c r="BT45" i="3"/>
  <c r="BB46" i="3"/>
  <c r="BC46" i="3"/>
  <c r="BA46" i="3"/>
  <c r="AZ46" i="3"/>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c r="AZ47" i="3"/>
  <c r="BO47" i="3"/>
  <c r="BP47" i="3"/>
  <c r="BQ47" i="3"/>
  <c r="BR47" i="3"/>
  <c r="BS47" i="3"/>
  <c r="BT47" i="3"/>
  <c r="BB48" i="3"/>
  <c r="BC48" i="3"/>
  <c r="BA48" i="3"/>
  <c r="AZ48" i="3"/>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c r="AZ49" i="3"/>
  <c r="BO49" i="3"/>
  <c r="BP49" i="3"/>
  <c r="BQ49" i="3"/>
  <c r="BR49" i="3"/>
  <c r="BS49" i="3"/>
  <c r="BT49" i="3"/>
  <c r="BB50" i="3"/>
  <c r="BC50" i="3"/>
  <c r="BA50" i="3"/>
  <c r="AZ50" i="3"/>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c r="AZ51" i="3"/>
  <c r="BO51" i="3"/>
  <c r="BP51" i="3"/>
  <c r="BQ51" i="3"/>
  <c r="BR51" i="3"/>
  <c r="BS51" i="3"/>
  <c r="BT51" i="3"/>
  <c r="BB52" i="3"/>
  <c r="BC52" i="3"/>
  <c r="BA52" i="3"/>
  <c r="AZ52" i="3"/>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c r="AZ53" i="3"/>
  <c r="BO53" i="3"/>
  <c r="BP53" i="3"/>
  <c r="BQ53" i="3"/>
  <c r="BR53" i="3"/>
  <c r="BS53" i="3"/>
  <c r="BT53" i="3"/>
  <c r="BB54" i="3"/>
  <c r="BC54" i="3"/>
  <c r="BA54" i="3"/>
  <c r="AZ54" i="3"/>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c r="AZ55" i="3"/>
  <c r="BO55" i="3"/>
  <c r="BP55" i="3"/>
  <c r="BQ55" i="3"/>
  <c r="BR55" i="3"/>
  <c r="BS55" i="3"/>
  <c r="BT55" i="3"/>
  <c r="BB56" i="3"/>
  <c r="BC56" i="3"/>
  <c r="BA56" i="3"/>
  <c r="AZ56" i="3"/>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c r="AZ57" i="3"/>
  <c r="BO57" i="3"/>
  <c r="BP57" i="3"/>
  <c r="BQ57" i="3"/>
  <c r="BR57" i="3"/>
  <c r="BS57" i="3"/>
  <c r="BT57" i="3"/>
  <c r="BB58" i="3"/>
  <c r="BC58" i="3"/>
  <c r="BA58" i="3"/>
  <c r="AZ58" i="3"/>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c r="AZ59" i="3"/>
  <c r="BO59" i="3"/>
  <c r="BP59" i="3"/>
  <c r="BQ59" i="3"/>
  <c r="BR59" i="3"/>
  <c r="BS59" i="3"/>
  <c r="BT59" i="3"/>
  <c r="BB60" i="3"/>
  <c r="BC60" i="3"/>
  <c r="BA60" i="3"/>
  <c r="AZ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c r="AZ61" i="3"/>
  <c r="BO61" i="3"/>
  <c r="BP61" i="3"/>
  <c r="BQ61" i="3"/>
  <c r="BR61" i="3"/>
  <c r="BS61" i="3"/>
  <c r="BT61" i="3"/>
  <c r="BB62" i="3"/>
  <c r="BC62" i="3"/>
  <c r="BA62" i="3"/>
  <c r="AZ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L79" i="3"/>
  <c r="AZ79" i="3"/>
  <c r="BO79" i="3"/>
  <c r="BP79" i="3"/>
  <c r="BQ79" i="3"/>
  <c r="BR79" i="3"/>
  <c r="BS79" i="3"/>
  <c r="BT79" i="3"/>
  <c r="BB80" i="3"/>
  <c r="BC80" i="3"/>
  <c r="BA80" i="3"/>
  <c r="AZ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L81" i="3"/>
  <c r="AZ81" i="3"/>
  <c r="BO81" i="3"/>
  <c r="BP81" i="3"/>
  <c r="BQ81" i="3"/>
  <c r="BR81" i="3"/>
  <c r="BS81" i="3"/>
  <c r="BT81" i="3"/>
  <c r="BB82" i="3"/>
  <c r="BC82" i="3"/>
  <c r="BA82" i="3"/>
  <c r="AZ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L83" i="3"/>
  <c r="AZ83" i="3"/>
  <c r="BO83" i="3"/>
  <c r="BP83" i="3"/>
  <c r="BQ83" i="3"/>
  <c r="BR83" i="3"/>
  <c r="BS83" i="3"/>
  <c r="BT83" i="3"/>
  <c r="BB84" i="3"/>
  <c r="BC84" i="3"/>
  <c r="BA84" i="3"/>
  <c r="AZ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L85" i="3"/>
  <c r="AZ85" i="3"/>
  <c r="BO85" i="3"/>
  <c r="BP85" i="3"/>
  <c r="BQ85" i="3"/>
  <c r="BR85" i="3"/>
  <c r="BS85" i="3"/>
  <c r="BT85" i="3"/>
  <c r="BB86" i="3"/>
  <c r="BC86" i="3"/>
  <c r="BA86" i="3"/>
  <c r="AZ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L87" i="3"/>
  <c r="AZ87" i="3"/>
  <c r="BO87" i="3"/>
  <c r="BP87" i="3"/>
  <c r="BQ87" i="3"/>
  <c r="BR87" i="3"/>
  <c r="BS87" i="3"/>
  <c r="BT87" i="3"/>
  <c r="BB88" i="3"/>
  <c r="BC88" i="3"/>
  <c r="BA88" i="3"/>
  <c r="AZ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L89" i="3"/>
  <c r="AZ89" i="3"/>
  <c r="BO89" i="3"/>
  <c r="BP89" i="3"/>
  <c r="BQ89" i="3"/>
  <c r="BR89" i="3"/>
  <c r="BS89" i="3"/>
  <c r="BT89" i="3"/>
  <c r="BB90" i="3"/>
  <c r="BC90" i="3"/>
  <c r="BA90" i="3"/>
  <c r="AZ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L91" i="3"/>
  <c r="AZ91" i="3"/>
  <c r="BO91" i="3"/>
  <c r="BP91" i="3"/>
  <c r="BQ91" i="3"/>
  <c r="BR91" i="3"/>
  <c r="BS91" i="3"/>
  <c r="BT91" i="3"/>
  <c r="BB92" i="3"/>
  <c r="BC92" i="3"/>
  <c r="BA92" i="3"/>
  <c r="AZ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L93" i="3"/>
  <c r="AZ93" i="3"/>
  <c r="BO93" i="3"/>
  <c r="BP93" i="3"/>
  <c r="BQ93" i="3"/>
  <c r="BR93" i="3"/>
  <c r="BS93" i="3"/>
  <c r="BT93" i="3"/>
  <c r="BB94" i="3"/>
  <c r="BC94" i="3"/>
  <c r="BA94" i="3"/>
  <c r="AZ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L95" i="3"/>
  <c r="AZ95" i="3"/>
  <c r="BO95" i="3"/>
  <c r="BP95" i="3"/>
  <c r="BQ95" i="3"/>
  <c r="BR95" i="3"/>
  <c r="BS95" i="3"/>
  <c r="BT95" i="3"/>
  <c r="BB96" i="3"/>
  <c r="BC96" i="3"/>
  <c r="BA96" i="3"/>
  <c r="AZ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L97" i="3"/>
  <c r="AZ97" i="3"/>
  <c r="BO97" i="3"/>
  <c r="BP97" i="3"/>
  <c r="BQ97" i="3"/>
  <c r="BR97" i="3"/>
  <c r="BS97" i="3"/>
  <c r="BT97" i="3"/>
  <c r="BB98" i="3"/>
  <c r="BC98" i="3"/>
  <c r="BA98" i="3"/>
  <c r="AZ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L99" i="3"/>
  <c r="AZ99" i="3"/>
  <c r="BO99" i="3"/>
  <c r="BP99" i="3"/>
  <c r="BQ99" i="3"/>
  <c r="BR99" i="3"/>
  <c r="BS99" i="3"/>
  <c r="BT99" i="3"/>
  <c r="BB100" i="3"/>
  <c r="BC100" i="3"/>
  <c r="BA100" i="3"/>
  <c r="AZ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L101" i="3"/>
  <c r="AZ101" i="3"/>
  <c r="BO101" i="3"/>
  <c r="BP101" i="3"/>
  <c r="BQ101" i="3"/>
  <c r="BR101" i="3"/>
  <c r="BS101" i="3"/>
  <c r="BT101" i="3"/>
  <c r="BB102" i="3"/>
  <c r="BC102" i="3"/>
  <c r="BA102" i="3"/>
  <c r="AZ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L103" i="3"/>
  <c r="AZ103" i="3"/>
  <c r="BO103" i="3"/>
  <c r="BP103" i="3"/>
  <c r="BQ103" i="3"/>
  <c r="BR103" i="3"/>
  <c r="BS103" i="3"/>
  <c r="BT103" i="3"/>
  <c r="BB104" i="3"/>
  <c r="BC104" i="3"/>
  <c r="BA104" i="3"/>
  <c r="AZ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L105" i="3"/>
  <c r="AZ105" i="3"/>
  <c r="BO105" i="3"/>
  <c r="BP105" i="3"/>
  <c r="BQ105" i="3"/>
  <c r="BR105" i="3"/>
  <c r="BS105" i="3"/>
  <c r="BT105" i="3"/>
  <c r="BB106" i="3"/>
  <c r="BC106" i="3"/>
  <c r="BA106" i="3"/>
  <c r="AZ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L107" i="3"/>
  <c r="AZ107" i="3"/>
  <c r="BO107" i="3"/>
  <c r="BP107" i="3"/>
  <c r="BQ107" i="3"/>
  <c r="BR107" i="3"/>
  <c r="BS107" i="3"/>
  <c r="BT107" i="3"/>
  <c r="BB108" i="3"/>
  <c r="BC108" i="3"/>
  <c r="BA108" i="3"/>
  <c r="AZ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L109" i="3"/>
  <c r="AZ109" i="3"/>
  <c r="BO109" i="3"/>
  <c r="BP109" i="3"/>
  <c r="BQ109" i="3"/>
  <c r="BR109" i="3"/>
  <c r="BS109" i="3"/>
  <c r="BT109" i="3"/>
  <c r="BB110" i="3"/>
  <c r="BC110" i="3"/>
  <c r="BA110" i="3"/>
  <c r="AZ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L111" i="3"/>
  <c r="AZ111" i="3"/>
  <c r="BO111" i="3"/>
  <c r="BP111" i="3"/>
  <c r="BQ111" i="3"/>
  <c r="BR111" i="3"/>
  <c r="BS111" i="3"/>
  <c r="BT111" i="3"/>
  <c r="BB112" i="3"/>
  <c r="BC112" i="3"/>
  <c r="BA112" i="3"/>
  <c r="AZ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L113" i="3"/>
  <c r="AZ113" i="3"/>
  <c r="BO113" i="3"/>
  <c r="BP113" i="3"/>
  <c r="BQ113" i="3"/>
  <c r="BR113" i="3"/>
  <c r="BS113" i="3"/>
  <c r="BT113" i="3"/>
  <c r="BB114" i="3"/>
  <c r="BC114" i="3"/>
  <c r="BA114" i="3"/>
  <c r="AZ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L115" i="3"/>
  <c r="AZ115" i="3"/>
  <c r="BO115" i="3"/>
  <c r="BP115" i="3"/>
  <c r="BQ115" i="3"/>
  <c r="BR115" i="3"/>
  <c r="BS115" i="3"/>
  <c r="BT115" i="3"/>
  <c r="BB116" i="3"/>
  <c r="BC116" i="3"/>
  <c r="BA116" i="3"/>
  <c r="AZ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L117" i="3"/>
  <c r="AZ117" i="3"/>
  <c r="BO117" i="3"/>
  <c r="BP117" i="3"/>
  <c r="BQ117" i="3"/>
  <c r="BR117" i="3"/>
  <c r="BS117" i="3"/>
  <c r="BT117" i="3"/>
  <c r="BB118" i="3"/>
  <c r="BC118" i="3"/>
  <c r="BA118" i="3"/>
  <c r="AZ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L119" i="3"/>
  <c r="AZ119" i="3"/>
  <c r="BO119" i="3"/>
  <c r="BP119" i="3"/>
  <c r="BQ119" i="3"/>
  <c r="BR119" i="3"/>
  <c r="BS119" i="3"/>
  <c r="BT119" i="3"/>
  <c r="BB120" i="3"/>
  <c r="BC120" i="3"/>
  <c r="BA120" i="3"/>
  <c r="AZ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L121" i="3"/>
  <c r="AZ121" i="3"/>
  <c r="BO121" i="3"/>
  <c r="BP121" i="3"/>
  <c r="BQ121" i="3"/>
  <c r="BR121" i="3"/>
  <c r="BS121" i="3"/>
  <c r="BT121" i="3"/>
  <c r="BB122" i="3"/>
  <c r="BC122" i="3"/>
  <c r="BA122" i="3"/>
  <c r="AZ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L123" i="3"/>
  <c r="AZ123" i="3"/>
  <c r="BO123" i="3"/>
  <c r="BP123" i="3"/>
  <c r="BQ123" i="3"/>
  <c r="BR123" i="3"/>
  <c r="BS123" i="3"/>
  <c r="BT123" i="3"/>
  <c r="BB124" i="3"/>
  <c r="BC124" i="3"/>
  <c r="BA124" i="3"/>
  <c r="AZ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L125" i="3"/>
  <c r="AZ125" i="3"/>
  <c r="BO125" i="3"/>
  <c r="BP125" i="3"/>
  <c r="BQ125" i="3"/>
  <c r="BR125" i="3"/>
  <c r="BS125" i="3"/>
  <c r="BT125" i="3"/>
  <c r="BB126" i="3"/>
  <c r="BC126" i="3"/>
  <c r="BA126" i="3"/>
  <c r="AZ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L127" i="3"/>
  <c r="AZ127" i="3"/>
  <c r="BO127" i="3"/>
  <c r="BP127" i="3"/>
  <c r="BQ127" i="3"/>
  <c r="BR127" i="3"/>
  <c r="BS127" i="3"/>
  <c r="BT127" i="3"/>
  <c r="BB128" i="3"/>
  <c r="BC128" i="3"/>
  <c r="BA128" i="3"/>
  <c r="AZ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L129" i="3"/>
  <c r="AZ129" i="3"/>
  <c r="BO129" i="3"/>
  <c r="BP129" i="3"/>
  <c r="BQ129" i="3"/>
  <c r="BR129" i="3"/>
  <c r="BS129" i="3"/>
  <c r="BT129" i="3"/>
  <c r="BB130" i="3"/>
  <c r="BC130" i="3"/>
  <c r="BA130" i="3"/>
  <c r="AZ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L131" i="3"/>
  <c r="AZ131" i="3"/>
  <c r="BO131" i="3"/>
  <c r="BP131" i="3"/>
  <c r="BQ131" i="3"/>
  <c r="BR131" i="3"/>
  <c r="BS131" i="3"/>
  <c r="BT131" i="3"/>
  <c r="BB132" i="3"/>
  <c r="BC132" i="3"/>
  <c r="BA132" i="3"/>
  <c r="AZ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L133" i="3"/>
  <c r="AZ133" i="3"/>
  <c r="BO133" i="3"/>
  <c r="BP133" i="3"/>
  <c r="BQ133" i="3"/>
  <c r="BR133" i="3"/>
  <c r="BS133" i="3"/>
  <c r="BT133" i="3"/>
  <c r="BB134" i="3"/>
  <c r="BC134" i="3"/>
  <c r="BA134" i="3"/>
  <c r="AZ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L135" i="3"/>
  <c r="AZ135" i="3"/>
  <c r="BO135" i="3"/>
  <c r="BP135" i="3"/>
  <c r="BQ135" i="3"/>
  <c r="BR135" i="3"/>
  <c r="BS135" i="3"/>
  <c r="BT135" i="3"/>
  <c r="BB136" i="3"/>
  <c r="BC136" i="3"/>
  <c r="BA136" i="3"/>
  <c r="AZ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L137" i="3"/>
  <c r="AZ137" i="3"/>
  <c r="BO137" i="3"/>
  <c r="BP137" i="3"/>
  <c r="BQ137" i="3"/>
  <c r="BR137" i="3"/>
  <c r="BS137" i="3"/>
  <c r="BT137" i="3"/>
  <c r="BB138" i="3"/>
  <c r="BC138" i="3"/>
  <c r="BA138" i="3"/>
  <c r="AZ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L139" i="3"/>
  <c r="AZ139" i="3"/>
  <c r="BO139" i="3"/>
  <c r="BP139" i="3"/>
  <c r="BQ139" i="3"/>
  <c r="BR139" i="3"/>
  <c r="BS139" i="3"/>
  <c r="BT139" i="3"/>
  <c r="BB140" i="3"/>
  <c r="BC140" i="3"/>
  <c r="BA140" i="3"/>
  <c r="AZ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L141" i="3"/>
  <c r="AZ141" i="3"/>
  <c r="BO141" i="3"/>
  <c r="BP141" i="3"/>
  <c r="BQ141" i="3"/>
  <c r="BR141" i="3"/>
  <c r="BS141" i="3"/>
  <c r="BT141" i="3"/>
  <c r="BB142" i="3"/>
  <c r="BC142" i="3"/>
  <c r="BA142" i="3"/>
  <c r="AZ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L143" i="3"/>
  <c r="AZ143" i="3"/>
  <c r="BO143" i="3"/>
  <c r="BP143" i="3"/>
  <c r="BQ143" i="3"/>
  <c r="BR143" i="3"/>
  <c r="BS143" i="3"/>
  <c r="BT143" i="3"/>
  <c r="BB144" i="3"/>
  <c r="BC144" i="3"/>
  <c r="BA144" i="3"/>
  <c r="AZ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L145" i="3"/>
  <c r="AZ145" i="3"/>
  <c r="BO145" i="3"/>
  <c r="BP145" i="3"/>
  <c r="BQ145" i="3"/>
  <c r="BR145" i="3"/>
  <c r="BS145" i="3"/>
  <c r="BT145" i="3"/>
  <c r="BB146" i="3"/>
  <c r="BC146" i="3"/>
  <c r="BA146" i="3"/>
  <c r="AZ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L147" i="3"/>
  <c r="AZ147" i="3"/>
  <c r="BO147" i="3"/>
  <c r="BP147" i="3"/>
  <c r="BQ147" i="3"/>
  <c r="BR147" i="3"/>
  <c r="BS147" i="3"/>
  <c r="BT147" i="3"/>
  <c r="BB148" i="3"/>
  <c r="BC148" i="3"/>
  <c r="BA148" i="3"/>
  <c r="AZ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L149" i="3"/>
  <c r="AZ149" i="3"/>
  <c r="BO149" i="3"/>
  <c r="BP149" i="3"/>
  <c r="BQ149" i="3"/>
  <c r="BR149" i="3"/>
  <c r="BS149" i="3"/>
  <c r="BT149" i="3"/>
  <c r="BB150" i="3"/>
  <c r="BC150" i="3"/>
  <c r="BA150" i="3"/>
  <c r="AZ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L151" i="3"/>
  <c r="AZ151" i="3"/>
  <c r="BO151" i="3"/>
  <c r="BP151" i="3"/>
  <c r="BQ151" i="3"/>
  <c r="BR151" i="3"/>
  <c r="BS151" i="3"/>
  <c r="BT151" i="3"/>
  <c r="BB152" i="3"/>
  <c r="BC152" i="3"/>
  <c r="BA152" i="3"/>
  <c r="AZ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L153" i="3"/>
  <c r="AZ153" i="3"/>
  <c r="BO153" i="3"/>
  <c r="BP153" i="3"/>
  <c r="BQ153" i="3"/>
  <c r="BR153" i="3"/>
  <c r="BS153" i="3"/>
  <c r="BT153" i="3"/>
  <c r="BB154" i="3"/>
  <c r="BC154" i="3"/>
  <c r="BA154" i="3"/>
  <c r="AZ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L155" i="3"/>
  <c r="AZ155" i="3"/>
  <c r="BO155" i="3"/>
  <c r="BP155" i="3"/>
  <c r="BQ155" i="3"/>
  <c r="BR155" i="3"/>
  <c r="BS155" i="3"/>
  <c r="BT155" i="3"/>
  <c r="BB156" i="3"/>
  <c r="BC156" i="3"/>
  <c r="BA156" i="3"/>
  <c r="AZ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L157" i="3"/>
  <c r="AZ157" i="3"/>
  <c r="BO157" i="3"/>
  <c r="BP157" i="3"/>
  <c r="BQ157" i="3"/>
  <c r="BR157" i="3"/>
  <c r="BS157" i="3"/>
  <c r="BT157" i="3"/>
  <c r="BB158" i="3"/>
  <c r="BC158" i="3"/>
  <c r="BA158" i="3"/>
  <c r="AZ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L159" i="3"/>
  <c r="AZ159" i="3"/>
  <c r="BO159" i="3"/>
  <c r="BP159" i="3"/>
  <c r="BQ159" i="3"/>
  <c r="BR159" i="3"/>
  <c r="BS159" i="3"/>
  <c r="BT159" i="3"/>
  <c r="BB160" i="3"/>
  <c r="BC160" i="3"/>
  <c r="BA160" i="3"/>
  <c r="AZ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L161" i="3"/>
  <c r="AZ161" i="3"/>
  <c r="BO161" i="3"/>
  <c r="BP161" i="3"/>
  <c r="BQ161" i="3"/>
  <c r="BR161" i="3"/>
  <c r="BS161" i="3"/>
  <c r="BT161" i="3"/>
  <c r="BB162" i="3"/>
  <c r="BC162" i="3"/>
  <c r="BA162" i="3"/>
  <c r="AZ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L163" i="3"/>
  <c r="AZ163" i="3"/>
  <c r="BO163" i="3"/>
  <c r="BP163" i="3"/>
  <c r="BQ163" i="3"/>
  <c r="BR163" i="3"/>
  <c r="BS163" i="3"/>
  <c r="BT163" i="3"/>
  <c r="BB164" i="3"/>
  <c r="BC164" i="3"/>
  <c r="BA164" i="3"/>
  <c r="AZ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L165" i="3"/>
  <c r="AZ165" i="3"/>
  <c r="BO165" i="3"/>
  <c r="BP165" i="3"/>
  <c r="BQ165" i="3"/>
  <c r="BR165" i="3"/>
  <c r="BS165" i="3"/>
  <c r="BT165" i="3"/>
  <c r="BB166" i="3"/>
  <c r="BC166" i="3"/>
  <c r="BA166" i="3"/>
  <c r="AZ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L167" i="3"/>
  <c r="AZ167" i="3"/>
  <c r="BO167" i="3"/>
  <c r="BP167" i="3"/>
  <c r="BQ167" i="3"/>
  <c r="BR167" i="3"/>
  <c r="BS167" i="3"/>
  <c r="BT167" i="3"/>
  <c r="BB168" i="3"/>
  <c r="BC168" i="3"/>
  <c r="BA168" i="3"/>
  <c r="AZ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L169" i="3"/>
  <c r="AZ169" i="3"/>
  <c r="BO169" i="3"/>
  <c r="BP169" i="3"/>
  <c r="BQ169" i="3"/>
  <c r="BR169" i="3"/>
  <c r="BS169" i="3"/>
  <c r="BT169" i="3"/>
  <c r="BB170" i="3"/>
  <c r="BC170" i="3"/>
  <c r="BA170" i="3"/>
  <c r="AZ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L171" i="3"/>
  <c r="AZ171" i="3"/>
  <c r="BO171" i="3"/>
  <c r="BP171" i="3"/>
  <c r="BQ171" i="3"/>
  <c r="BR171" i="3"/>
  <c r="BS171" i="3"/>
  <c r="BT171" i="3"/>
  <c r="BB172" i="3"/>
  <c r="BC172" i="3"/>
  <c r="BA172" i="3"/>
  <c r="AZ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L173" i="3"/>
  <c r="AZ173" i="3"/>
  <c r="BO173" i="3"/>
  <c r="BP173" i="3"/>
  <c r="BQ173" i="3"/>
  <c r="BR173" i="3"/>
  <c r="BS173" i="3"/>
  <c r="BT173" i="3"/>
  <c r="BB174" i="3"/>
  <c r="BC174" i="3"/>
  <c r="BA174" i="3"/>
  <c r="AZ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L175" i="3"/>
  <c r="AZ175" i="3"/>
  <c r="BO175" i="3"/>
  <c r="BP175" i="3"/>
  <c r="BQ175" i="3"/>
  <c r="BR175" i="3"/>
  <c r="BS175" i="3"/>
  <c r="BT175" i="3"/>
  <c r="BB176" i="3"/>
  <c r="BC176" i="3"/>
  <c r="BA176" i="3"/>
  <c r="AZ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L177" i="3"/>
  <c r="AZ177" i="3"/>
  <c r="BO177" i="3"/>
  <c r="BP177" i="3"/>
  <c r="BQ177" i="3"/>
  <c r="BR177" i="3"/>
  <c r="BS177" i="3"/>
  <c r="BT177" i="3"/>
  <c r="BB178" i="3"/>
  <c r="BC178" i="3"/>
  <c r="BA178" i="3"/>
  <c r="AZ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L179" i="3"/>
  <c r="AZ179" i="3"/>
  <c r="BO179" i="3"/>
  <c r="BP179" i="3"/>
  <c r="BQ179" i="3"/>
  <c r="BR179" i="3"/>
  <c r="BS179" i="3"/>
  <c r="BT179" i="3"/>
  <c r="BB180" i="3"/>
  <c r="BC180" i="3"/>
  <c r="BA180" i="3"/>
  <c r="AZ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L181" i="3"/>
  <c r="AZ181" i="3"/>
  <c r="BO181" i="3"/>
  <c r="BP181" i="3"/>
  <c r="BQ181" i="3"/>
  <c r="BR181" i="3"/>
  <c r="BS181" i="3"/>
  <c r="BT181" i="3"/>
  <c r="BB182" i="3"/>
  <c r="BC182" i="3"/>
  <c r="BA182" i="3"/>
  <c r="AZ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L183" i="3"/>
  <c r="AZ183" i="3"/>
  <c r="BO183" i="3"/>
  <c r="BP183" i="3"/>
  <c r="BQ183" i="3"/>
  <c r="BR183" i="3"/>
  <c r="BS183" i="3"/>
  <c r="BT183" i="3"/>
  <c r="BB184" i="3"/>
  <c r="BC184" i="3"/>
  <c r="BA184" i="3"/>
  <c r="AZ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L185" i="3"/>
  <c r="AZ185" i="3"/>
  <c r="BO185" i="3"/>
  <c r="BP185" i="3"/>
  <c r="BQ185" i="3"/>
  <c r="BR185" i="3"/>
  <c r="BS185" i="3"/>
  <c r="BT185" i="3"/>
  <c r="BB186" i="3"/>
  <c r="BC186" i="3"/>
  <c r="BA186" i="3"/>
  <c r="AZ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L187" i="3"/>
  <c r="AZ187" i="3"/>
  <c r="BO187" i="3"/>
  <c r="BP187" i="3"/>
  <c r="BQ187" i="3"/>
  <c r="BR187" i="3"/>
  <c r="BS187" i="3"/>
  <c r="BT187" i="3"/>
  <c r="BB188" i="3"/>
  <c r="BC188" i="3"/>
  <c r="BA188" i="3"/>
  <c r="AZ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L189" i="3"/>
  <c r="AZ189" i="3"/>
  <c r="BO189" i="3"/>
  <c r="BP189" i="3"/>
  <c r="BQ189" i="3"/>
  <c r="BR189" i="3"/>
  <c r="BS189" i="3"/>
  <c r="BT189" i="3"/>
  <c r="BB190" i="3"/>
  <c r="BC190" i="3"/>
  <c r="BA190" i="3"/>
  <c r="AZ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L191" i="3"/>
  <c r="AZ191" i="3"/>
  <c r="BO191" i="3"/>
  <c r="BP191" i="3"/>
  <c r="BQ191" i="3"/>
  <c r="BR191" i="3"/>
  <c r="BS191" i="3"/>
  <c r="BT191" i="3"/>
  <c r="BB192" i="3"/>
  <c r="BC192" i="3"/>
  <c r="BA192" i="3"/>
  <c r="AZ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L193" i="3"/>
  <c r="AZ193" i="3"/>
  <c r="BO193" i="3"/>
  <c r="BP193" i="3"/>
  <c r="BQ193" i="3"/>
  <c r="BR193" i="3"/>
  <c r="BS193" i="3"/>
  <c r="BT193" i="3"/>
  <c r="BB194" i="3"/>
  <c r="BC194" i="3"/>
  <c r="BA194" i="3"/>
  <c r="AZ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L195" i="3"/>
  <c r="AZ195" i="3"/>
  <c r="BO195" i="3"/>
  <c r="BP195" i="3"/>
  <c r="BQ195" i="3"/>
  <c r="BR195" i="3"/>
  <c r="BS195" i="3"/>
  <c r="BT195" i="3"/>
  <c r="BB196" i="3"/>
  <c r="BC196" i="3"/>
  <c r="BA196" i="3"/>
  <c r="AZ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L197" i="3"/>
  <c r="AZ197" i="3"/>
  <c r="BO197" i="3"/>
  <c r="BP197" i="3"/>
  <c r="BQ197" i="3"/>
  <c r="BR197" i="3"/>
  <c r="BS197" i="3"/>
  <c r="BT197" i="3"/>
  <c r="BB198" i="3"/>
  <c r="BC198" i="3"/>
  <c r="BA198" i="3"/>
  <c r="AZ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L199" i="3"/>
  <c r="AZ199" i="3"/>
  <c r="BO199" i="3"/>
  <c r="BP199" i="3"/>
  <c r="BQ199" i="3"/>
  <c r="BR199" i="3"/>
  <c r="BS199" i="3"/>
  <c r="BT199" i="3"/>
  <c r="BB200" i="3"/>
  <c r="BC200" i="3"/>
  <c r="BA200" i="3"/>
  <c r="AZ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L201" i="3"/>
  <c r="AZ201" i="3"/>
  <c r="BO201" i="3"/>
  <c r="BP201" i="3"/>
  <c r="BQ201" i="3"/>
  <c r="BR201" i="3"/>
  <c r="BS201" i="3"/>
  <c r="BT201" i="3"/>
  <c r="BB202" i="3"/>
  <c r="BC202" i="3"/>
  <c r="BA202" i="3"/>
  <c r="AZ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L203" i="3"/>
  <c r="AZ203" i="3"/>
  <c r="BO203" i="3"/>
  <c r="BP203" i="3"/>
  <c r="BQ203" i="3"/>
  <c r="BR203" i="3"/>
  <c r="BS203" i="3"/>
  <c r="BT203" i="3"/>
  <c r="BB204" i="3"/>
  <c r="BC204" i="3"/>
  <c r="BA204" i="3"/>
  <c r="AZ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L205" i="3"/>
  <c r="AZ205" i="3"/>
  <c r="BO205" i="3"/>
  <c r="BP205" i="3"/>
  <c r="BQ205" i="3"/>
  <c r="BR205" i="3"/>
  <c r="BS205" i="3"/>
  <c r="BT205" i="3"/>
  <c r="BB206" i="3"/>
  <c r="BC206" i="3"/>
  <c r="BA206" i="3"/>
  <c r="AZ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L207" i="3"/>
  <c r="AZ207" i="3"/>
  <c r="BO207" i="3"/>
  <c r="BP207" i="3"/>
  <c r="BQ207" i="3"/>
  <c r="BR207" i="3"/>
  <c r="BS207" i="3"/>
  <c r="BT207" i="3"/>
  <c r="BB208" i="3"/>
  <c r="BC208" i="3"/>
  <c r="BA208" i="3"/>
  <c r="AZ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L209" i="3"/>
  <c r="AZ209" i="3"/>
  <c r="BO209" i="3"/>
  <c r="BP209" i="3"/>
  <c r="BQ209" i="3"/>
  <c r="BR209" i="3"/>
  <c r="BS209" i="3"/>
  <c r="BT209" i="3"/>
  <c r="BB210" i="3"/>
  <c r="BC210" i="3"/>
  <c r="BA210" i="3"/>
  <c r="AZ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L211" i="3"/>
  <c r="AZ211" i="3"/>
  <c r="BO211" i="3"/>
  <c r="BP211" i="3"/>
  <c r="BQ211" i="3"/>
  <c r="BR211" i="3"/>
  <c r="BS211" i="3"/>
  <c r="BT211" i="3"/>
  <c r="BB212" i="3"/>
  <c r="BC212" i="3"/>
  <c r="BA212" i="3"/>
  <c r="AZ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L213" i="3"/>
  <c r="AZ213" i="3"/>
  <c r="BO213" i="3"/>
  <c r="BP213" i="3"/>
  <c r="BQ213" i="3"/>
  <c r="BR213" i="3"/>
  <c r="BS213" i="3"/>
  <c r="BT213" i="3"/>
  <c r="BB214" i="3"/>
  <c r="BC214" i="3"/>
  <c r="BA214" i="3"/>
  <c r="AZ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c r="AZ215" i="3"/>
  <c r="BO215" i="3"/>
  <c r="BP215" i="3"/>
  <c r="BQ215" i="3"/>
  <c r="BR215" i="3"/>
  <c r="BS215" i="3"/>
  <c r="BT215" i="3"/>
  <c r="BB216" i="3"/>
  <c r="BC216" i="3"/>
  <c r="BA216" i="3"/>
  <c r="AZ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c r="AZ217" i="3"/>
  <c r="BO217" i="3"/>
  <c r="BP217" i="3"/>
  <c r="BQ217" i="3"/>
  <c r="BR217" i="3"/>
  <c r="BS217" i="3"/>
  <c r="BT217" i="3"/>
  <c r="BB218" i="3"/>
  <c r="BC218" i="3"/>
  <c r="BA218" i="3"/>
  <c r="AZ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c r="AZ219" i="3"/>
  <c r="BO219" i="3"/>
  <c r="BP219" i="3"/>
  <c r="BQ219" i="3"/>
  <c r="BR219" i="3"/>
  <c r="BS219" i="3"/>
  <c r="BT219" i="3"/>
  <c r="BB220" i="3"/>
  <c r="BC220" i="3"/>
  <c r="BA220" i="3"/>
  <c r="AZ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c r="AZ221" i="3"/>
  <c r="BO221" i="3"/>
  <c r="BP221" i="3"/>
  <c r="BQ221" i="3"/>
  <c r="BR221" i="3"/>
  <c r="BS221" i="3"/>
  <c r="BT221" i="3"/>
  <c r="BB222" i="3"/>
  <c r="BC222" i="3"/>
  <c r="BA222" i="3"/>
  <c r="AZ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c r="AZ223" i="3"/>
  <c r="BO223" i="3"/>
  <c r="BP223" i="3"/>
  <c r="BQ223" i="3"/>
  <c r="BR223" i="3"/>
  <c r="BS223" i="3"/>
  <c r="BT223" i="3"/>
  <c r="BB224" i="3"/>
  <c r="BC224" i="3"/>
  <c r="BA224" i="3"/>
  <c r="AZ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c r="AZ225" i="3"/>
  <c r="BO225" i="3"/>
  <c r="BP225" i="3"/>
  <c r="BQ225" i="3"/>
  <c r="BR225" i="3"/>
  <c r="BS225" i="3"/>
  <c r="BT225" i="3"/>
  <c r="BB226" i="3"/>
  <c r="BC226" i="3"/>
  <c r="BA226" i="3"/>
  <c r="AZ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c r="AZ227" i="3"/>
  <c r="BO227" i="3"/>
  <c r="BP227" i="3"/>
  <c r="BQ227" i="3"/>
  <c r="BR227" i="3"/>
  <c r="BS227" i="3"/>
  <c r="BT227" i="3"/>
  <c r="BB228" i="3"/>
  <c r="BC228" i="3"/>
  <c r="BA228" i="3"/>
  <c r="AZ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c r="AZ229" i="3"/>
  <c r="BO229" i="3"/>
  <c r="BP229" i="3"/>
  <c r="BQ229" i="3"/>
  <c r="BR229" i="3"/>
  <c r="BS229" i="3"/>
  <c r="BT229" i="3"/>
  <c r="BB230" i="3"/>
  <c r="BC230" i="3"/>
  <c r="BA230" i="3"/>
  <c r="AZ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c r="AZ231" i="3"/>
  <c r="BO231" i="3"/>
  <c r="BP231" i="3"/>
  <c r="BQ231" i="3"/>
  <c r="BR231" i="3"/>
  <c r="BS231" i="3"/>
  <c r="BT231" i="3"/>
  <c r="BB232" i="3"/>
  <c r="BC232" i="3"/>
  <c r="BA232" i="3"/>
  <c r="AZ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c r="AZ233" i="3"/>
  <c r="BO233" i="3"/>
  <c r="BP233" i="3"/>
  <c r="BQ233" i="3"/>
  <c r="BR233" i="3"/>
  <c r="BS233" i="3"/>
  <c r="BT233" i="3"/>
  <c r="BB234" i="3"/>
  <c r="BC234" i="3"/>
  <c r="BA234" i="3"/>
  <c r="AZ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c r="AZ235" i="3"/>
  <c r="BO235" i="3"/>
  <c r="BP235" i="3"/>
  <c r="BQ235" i="3"/>
  <c r="BR235" i="3"/>
  <c r="BS235" i="3"/>
  <c r="BT235" i="3"/>
  <c r="BB236" i="3"/>
  <c r="BC236" i="3"/>
  <c r="BA236" i="3"/>
  <c r="AZ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c r="AZ237" i="3"/>
  <c r="BO237" i="3"/>
  <c r="BP237" i="3"/>
  <c r="BQ237" i="3"/>
  <c r="BR237" i="3"/>
  <c r="BS237" i="3"/>
  <c r="BT237" i="3"/>
  <c r="BB238" i="3"/>
  <c r="BC238" i="3"/>
  <c r="BA238" i="3"/>
  <c r="AZ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c r="AZ239" i="3"/>
  <c r="BO239" i="3"/>
  <c r="BP239" i="3"/>
  <c r="BQ239" i="3"/>
  <c r="BR239" i="3"/>
  <c r="BS239" i="3"/>
  <c r="BT239" i="3"/>
  <c r="BB240" i="3"/>
  <c r="BC240" i="3"/>
  <c r="BA240" i="3"/>
  <c r="AZ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c r="AZ241" i="3"/>
  <c r="BO241" i="3"/>
  <c r="BP241" i="3"/>
  <c r="BQ241" i="3"/>
  <c r="BR241" i="3"/>
  <c r="BS241" i="3"/>
  <c r="BT241" i="3"/>
  <c r="BB242" i="3"/>
  <c r="BC242" i="3"/>
  <c r="BA242" i="3"/>
  <c r="AZ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c r="AZ243" i="3"/>
  <c r="BO243" i="3"/>
  <c r="BP243" i="3"/>
  <c r="BQ243" i="3"/>
  <c r="BR243" i="3"/>
  <c r="BS243" i="3"/>
  <c r="BT243" i="3"/>
  <c r="BB244" i="3"/>
  <c r="BC244" i="3"/>
  <c r="BA244" i="3"/>
  <c r="AZ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c r="AZ245" i="3"/>
  <c r="BO245" i="3"/>
  <c r="BP245" i="3"/>
  <c r="BQ245" i="3"/>
  <c r="BR245" i="3"/>
  <c r="BS245" i="3"/>
  <c r="BT245" i="3"/>
  <c r="BB246" i="3"/>
  <c r="BC246" i="3"/>
  <c r="BA246" i="3"/>
  <c r="AZ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c r="AZ247" i="3"/>
  <c r="BO247" i="3"/>
  <c r="BP247" i="3"/>
  <c r="BQ247" i="3"/>
  <c r="BR247" i="3"/>
  <c r="BS247" i="3"/>
  <c r="BT247" i="3"/>
  <c r="BB248" i="3"/>
  <c r="BC248" i="3"/>
  <c r="BA248" i="3"/>
  <c r="AZ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c r="AZ249" i="3"/>
  <c r="BO249" i="3"/>
  <c r="BP249" i="3"/>
  <c r="BQ249" i="3"/>
  <c r="BR249" i="3"/>
  <c r="BS249" i="3"/>
  <c r="BT249" i="3"/>
  <c r="BB250" i="3"/>
  <c r="BC250" i="3"/>
  <c r="BA250" i="3"/>
  <c r="AZ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c r="AZ251" i="3"/>
  <c r="BO251" i="3"/>
  <c r="BP251" i="3"/>
  <c r="BQ251" i="3"/>
  <c r="BR251" i="3"/>
  <c r="BS251" i="3"/>
  <c r="BT251" i="3"/>
  <c r="BB252" i="3"/>
  <c r="BC252" i="3"/>
  <c r="BA252" i="3"/>
  <c r="AZ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c r="AZ253" i="3"/>
  <c r="BO253" i="3"/>
  <c r="BP253" i="3"/>
  <c r="BQ253" i="3"/>
  <c r="BR253" i="3"/>
  <c r="BS253" i="3"/>
  <c r="BT253" i="3"/>
  <c r="BB254" i="3"/>
  <c r="BC254" i="3"/>
  <c r="BA254" i="3"/>
  <c r="AZ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c r="AZ255" i="3"/>
  <c r="BO255" i="3"/>
  <c r="BP255" i="3"/>
  <c r="BQ255" i="3"/>
  <c r="BR255" i="3"/>
  <c r="BS255" i="3"/>
  <c r="BT255" i="3"/>
  <c r="BB256" i="3"/>
  <c r="BC256" i="3"/>
  <c r="BA256" i="3"/>
  <c r="AZ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c r="AZ257" i="3"/>
  <c r="BO257" i="3"/>
  <c r="BP257" i="3"/>
  <c r="BQ257" i="3"/>
  <c r="BR257" i="3"/>
  <c r="BS257" i="3"/>
  <c r="BT257" i="3"/>
  <c r="BB258" i="3"/>
  <c r="BC258" i="3"/>
  <c r="BA258" i="3"/>
  <c r="AZ258" i="3"/>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c r="AZ259" i="3"/>
  <c r="BO259" i="3"/>
  <c r="BP259" i="3"/>
  <c r="BQ259" i="3"/>
  <c r="BR259" i="3"/>
  <c r="BS259" i="3"/>
  <c r="BT259" i="3"/>
  <c r="BB260" i="3"/>
  <c r="BC260" i="3"/>
  <c r="BA260" i="3"/>
  <c r="AZ260" i="3"/>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c r="AZ261" i="3"/>
  <c r="BO261" i="3"/>
  <c r="BP261" i="3"/>
  <c r="BQ261" i="3"/>
  <c r="BR261" i="3"/>
  <c r="BS261" i="3"/>
  <c r="BT261" i="3"/>
  <c r="BB262" i="3"/>
  <c r="BC262" i="3"/>
  <c r="BA262" i="3"/>
  <c r="AZ262" i="3"/>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c r="AZ263" i="3"/>
  <c r="BO263" i="3"/>
  <c r="BP263" i="3"/>
  <c r="BQ263" i="3"/>
  <c r="BR263" i="3"/>
  <c r="BS263" i="3"/>
  <c r="BT263" i="3"/>
  <c r="BB264" i="3"/>
  <c r="BC264" i="3"/>
  <c r="BA264" i="3"/>
  <c r="AZ264" i="3"/>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c r="AZ265" i="3"/>
  <c r="BO265" i="3"/>
  <c r="BP265" i="3"/>
  <c r="BQ265" i="3"/>
  <c r="BR265" i="3"/>
  <c r="BS265" i="3"/>
  <c r="BT265" i="3"/>
  <c r="BB266" i="3"/>
  <c r="BC266" i="3"/>
  <c r="BA266" i="3"/>
  <c r="AZ266" i="3"/>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c r="AZ267" i="3"/>
  <c r="BO267" i="3"/>
  <c r="BP267" i="3"/>
  <c r="BQ267" i="3"/>
  <c r="BR267" i="3"/>
  <c r="BS267" i="3"/>
  <c r="BT267" i="3"/>
  <c r="BB268" i="3"/>
  <c r="BC268" i="3"/>
  <c r="BA268" i="3"/>
  <c r="AZ268" i="3"/>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c r="AZ269" i="3"/>
  <c r="BO269" i="3"/>
  <c r="BP269" i="3"/>
  <c r="BQ269" i="3"/>
  <c r="BR269" i="3"/>
  <c r="BS269" i="3"/>
  <c r="BT269" i="3"/>
  <c r="BB270" i="3"/>
  <c r="BC270" i="3"/>
  <c r="BA270" i="3"/>
  <c r="AZ270" i="3"/>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c r="AZ271" i="3"/>
  <c r="BO271" i="3"/>
  <c r="BP271" i="3"/>
  <c r="BQ271" i="3"/>
  <c r="BR271" i="3"/>
  <c r="BS271" i="3"/>
  <c r="BT271" i="3"/>
  <c r="BB272" i="3"/>
  <c r="BC272" i="3"/>
  <c r="BA272" i="3"/>
  <c r="AZ272" i="3"/>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c r="AZ273" i="3"/>
  <c r="BO273" i="3"/>
  <c r="BP273" i="3"/>
  <c r="BQ273" i="3"/>
  <c r="BR273" i="3"/>
  <c r="BS273" i="3"/>
  <c r="BT273" i="3"/>
  <c r="BB274" i="3"/>
  <c r="BC274" i="3"/>
  <c r="BA274" i="3"/>
  <c r="AZ274" i="3"/>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c r="AZ275" i="3"/>
  <c r="BO275" i="3"/>
  <c r="BP275" i="3"/>
  <c r="BQ275" i="3"/>
  <c r="BR275" i="3"/>
  <c r="BS275" i="3"/>
  <c r="BT275" i="3"/>
  <c r="BB276" i="3"/>
  <c r="BC276" i="3"/>
  <c r="BA276" i="3"/>
  <c r="AZ276" i="3"/>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c r="AZ277" i="3"/>
  <c r="BO277" i="3"/>
  <c r="BP277" i="3"/>
  <c r="BQ277" i="3"/>
  <c r="BR277" i="3"/>
  <c r="BS277" i="3"/>
  <c r="BT277" i="3"/>
  <c r="BB278" i="3"/>
  <c r="BC278" i="3"/>
  <c r="BA278" i="3"/>
  <c r="AZ278" i="3"/>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c r="AZ279" i="3"/>
  <c r="BO279" i="3"/>
  <c r="BP279" i="3"/>
  <c r="BQ279" i="3"/>
  <c r="BR279" i="3"/>
  <c r="BS279" i="3"/>
  <c r="BT279" i="3"/>
  <c r="BB280" i="3"/>
  <c r="BC280" i="3"/>
  <c r="BA280" i="3"/>
  <c r="AZ280" i="3"/>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c r="AZ281" i="3"/>
  <c r="BO281" i="3"/>
  <c r="BP281" i="3"/>
  <c r="BQ281" i="3"/>
  <c r="BR281" i="3"/>
  <c r="BS281" i="3"/>
  <c r="BT281" i="3"/>
  <c r="BB282" i="3"/>
  <c r="BC282" i="3"/>
  <c r="BA282" i="3"/>
  <c r="AZ282" i="3"/>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c r="AZ283" i="3"/>
  <c r="BO283" i="3"/>
  <c r="BP283" i="3"/>
  <c r="BQ283" i="3"/>
  <c r="BR283" i="3"/>
  <c r="BS283" i="3"/>
  <c r="BT283" i="3"/>
  <c r="BB284" i="3"/>
  <c r="BC284" i="3"/>
  <c r="BA284" i="3"/>
  <c r="AZ284" i="3"/>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c r="AZ285" i="3"/>
  <c r="BO285" i="3"/>
  <c r="BP285" i="3"/>
  <c r="BQ285" i="3"/>
  <c r="BR285" i="3"/>
  <c r="BS285" i="3"/>
  <c r="BT285" i="3"/>
  <c r="BB286" i="3"/>
  <c r="BC286" i="3"/>
  <c r="BA286" i="3"/>
  <c r="AZ286" i="3"/>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c r="AZ287" i="3"/>
  <c r="BO287" i="3"/>
  <c r="BP287" i="3"/>
  <c r="BQ287" i="3"/>
  <c r="BR287" i="3"/>
  <c r="BS287" i="3"/>
  <c r="BT287" i="3"/>
  <c r="BB288" i="3"/>
  <c r="BC288" i="3"/>
  <c r="BA288" i="3"/>
  <c r="AZ288" i="3"/>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c r="AZ289" i="3"/>
  <c r="BO289" i="3"/>
  <c r="BP289" i="3"/>
  <c r="BQ289" i="3"/>
  <c r="BR289" i="3"/>
  <c r="BS289" i="3"/>
  <c r="BT289" i="3"/>
  <c r="BB290" i="3"/>
  <c r="BC290" i="3"/>
  <c r="BA290" i="3"/>
  <c r="AZ290" i="3"/>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c r="AZ291" i="3"/>
  <c r="BO291" i="3"/>
  <c r="BP291" i="3"/>
  <c r="BQ291" i="3"/>
  <c r="BR291" i="3"/>
  <c r="BS291" i="3"/>
  <c r="BT291" i="3"/>
  <c r="BB292" i="3"/>
  <c r="BC292" i="3"/>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L298" i="3"/>
  <c r="BO298" i="3"/>
  <c r="BP298" i="3"/>
  <c r="BQ298" i="3"/>
  <c r="BR298" i="3"/>
  <c r="BS298" i="3"/>
  <c r="BT298" i="3"/>
  <c r="BB299" i="3"/>
  <c r="BC299" i="3"/>
  <c r="BA299" i="3"/>
  <c r="AZ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L300" i="3"/>
  <c r="AZ300" i="3"/>
  <c r="BO300" i="3"/>
  <c r="BP300" i="3"/>
  <c r="BQ300" i="3"/>
  <c r="BR300" i="3"/>
  <c r="BS300" i="3"/>
  <c r="BT300" i="3"/>
  <c r="BB301" i="3"/>
  <c r="BC301" i="3"/>
  <c r="BA301" i="3"/>
  <c r="AZ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L302" i="3"/>
  <c r="AZ302" i="3"/>
  <c r="BO302" i="3"/>
  <c r="BP302" i="3"/>
  <c r="BQ302" i="3"/>
  <c r="BR302" i="3"/>
  <c r="BS302" i="3"/>
  <c r="BT302" i="3"/>
  <c r="BB303" i="3"/>
  <c r="BC303" i="3"/>
  <c r="BA303" i="3"/>
  <c r="AZ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L304" i="3"/>
  <c r="AZ304" i="3"/>
  <c r="BO304" i="3"/>
  <c r="BP304" i="3"/>
  <c r="BQ304" i="3"/>
  <c r="BR304" i="3"/>
  <c r="BS304" i="3"/>
  <c r="BT304" i="3"/>
  <c r="BB305" i="3"/>
  <c r="BC305" i="3"/>
  <c r="BA305" i="3"/>
  <c r="AZ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L306" i="3"/>
  <c r="AZ306" i="3"/>
  <c r="BO306" i="3"/>
  <c r="BP306" i="3"/>
  <c r="BQ306" i="3"/>
  <c r="BR306" i="3"/>
  <c r="BS306" i="3"/>
  <c r="BT306" i="3"/>
  <c r="BB307" i="3"/>
  <c r="BC307" i="3"/>
  <c r="BA307" i="3"/>
  <c r="AZ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L308" i="3"/>
  <c r="AZ308" i="3"/>
  <c r="BO308" i="3"/>
  <c r="BP308" i="3"/>
  <c r="BQ308" i="3"/>
  <c r="BR308" i="3"/>
  <c r="BS308" i="3"/>
  <c r="BT308" i="3"/>
  <c r="BB309" i="3"/>
  <c r="BC309" i="3"/>
  <c r="BA309" i="3"/>
  <c r="AZ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L310" i="3"/>
  <c r="AZ310" i="3"/>
  <c r="BO310" i="3"/>
  <c r="BP310" i="3"/>
  <c r="BQ310" i="3"/>
  <c r="BR310" i="3"/>
  <c r="BS310" i="3"/>
  <c r="BT310" i="3"/>
  <c r="BB311" i="3"/>
  <c r="BC311" i="3"/>
  <c r="BA311" i="3"/>
  <c r="AZ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L312" i="3"/>
  <c r="AZ312" i="3"/>
  <c r="BO312" i="3"/>
  <c r="BP312" i="3"/>
  <c r="BQ312" i="3"/>
  <c r="BR312" i="3"/>
  <c r="BS312" i="3"/>
  <c r="BT312" i="3"/>
  <c r="BB313" i="3"/>
  <c r="BC313" i="3"/>
  <c r="BA313" i="3"/>
  <c r="AZ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L314" i="3"/>
  <c r="AZ314" i="3"/>
  <c r="BO314" i="3"/>
  <c r="BP314" i="3"/>
  <c r="BQ314" i="3"/>
  <c r="BR314" i="3"/>
  <c r="BS314" i="3"/>
  <c r="BT314" i="3"/>
  <c r="BB315" i="3"/>
  <c r="BC315" i="3"/>
  <c r="BA315" i="3"/>
  <c r="AZ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L316" i="3"/>
  <c r="AZ316" i="3"/>
  <c r="BO316" i="3"/>
  <c r="BP316" i="3"/>
  <c r="BQ316" i="3"/>
  <c r="BR316" i="3"/>
  <c r="BS316" i="3"/>
  <c r="BT316" i="3"/>
  <c r="BB317" i="3"/>
  <c r="BC317" i="3"/>
  <c r="BA317" i="3"/>
  <c r="AZ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L318" i="3"/>
  <c r="AZ318" i="3"/>
  <c r="BO318" i="3"/>
  <c r="BP318" i="3"/>
  <c r="BQ318" i="3"/>
  <c r="BR318" i="3"/>
  <c r="BS318" i="3"/>
  <c r="BT318" i="3"/>
  <c r="BB319" i="3"/>
  <c r="BC319" i="3"/>
  <c r="BA319" i="3"/>
  <c r="AZ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L320" i="3"/>
  <c r="AZ320" i="3"/>
  <c r="BO320" i="3"/>
  <c r="BP320" i="3"/>
  <c r="BQ320" i="3"/>
  <c r="BR320" i="3"/>
  <c r="BS320" i="3"/>
  <c r="BT320" i="3"/>
  <c r="BB321" i="3"/>
  <c r="BC321" i="3"/>
  <c r="BA321" i="3"/>
  <c r="AZ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L322" i="3"/>
  <c r="AZ322" i="3"/>
  <c r="BO322" i="3"/>
  <c r="BP322" i="3"/>
  <c r="BQ322" i="3"/>
  <c r="BR322" i="3"/>
  <c r="BS322" i="3"/>
  <c r="BT322" i="3"/>
  <c r="BB323" i="3"/>
  <c r="BC323" i="3"/>
  <c r="BA323" i="3"/>
  <c r="AZ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L324" i="3"/>
  <c r="AZ324" i="3"/>
  <c r="BO324" i="3"/>
  <c r="BP324" i="3"/>
  <c r="BQ324" i="3"/>
  <c r="BR324" i="3"/>
  <c r="BS324" i="3"/>
  <c r="BT324" i="3"/>
  <c r="BB325" i="3"/>
  <c r="BC325" i="3"/>
  <c r="BA325" i="3"/>
  <c r="AZ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L326" i="3"/>
  <c r="AZ326" i="3"/>
  <c r="BO326" i="3"/>
  <c r="BP326" i="3"/>
  <c r="BQ326" i="3"/>
  <c r="BR326" i="3"/>
  <c r="BS326" i="3"/>
  <c r="BT326" i="3"/>
  <c r="BB327" i="3"/>
  <c r="BC327" i="3"/>
  <c r="BA327" i="3"/>
  <c r="AZ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L328" i="3"/>
  <c r="AZ328" i="3"/>
  <c r="BO328" i="3"/>
  <c r="BP328" i="3"/>
  <c r="BQ328" i="3"/>
  <c r="BR328" i="3"/>
  <c r="BS328" i="3"/>
  <c r="BT328" i="3"/>
  <c r="BB329" i="3"/>
  <c r="BC329" i="3"/>
  <c r="BA329" i="3"/>
  <c r="AZ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L330" i="3"/>
  <c r="AZ330" i="3"/>
  <c r="BO330" i="3"/>
  <c r="BP330" i="3"/>
  <c r="BQ330" i="3"/>
  <c r="BR330" i="3"/>
  <c r="BS330" i="3"/>
  <c r="BT330" i="3"/>
  <c r="BB331" i="3"/>
  <c r="BC331" i="3"/>
  <c r="BA331" i="3"/>
  <c r="AZ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L332" i="3"/>
  <c r="AZ332" i="3"/>
  <c r="BO332" i="3"/>
  <c r="BP332" i="3"/>
  <c r="BQ332" i="3"/>
  <c r="BR332" i="3"/>
  <c r="BS332" i="3"/>
  <c r="BT332" i="3"/>
  <c r="BB333" i="3"/>
  <c r="BC333" i="3"/>
  <c r="BA333" i="3"/>
  <c r="AZ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L334" i="3"/>
  <c r="AZ334" i="3"/>
  <c r="BO334" i="3"/>
  <c r="BP334" i="3"/>
  <c r="BQ334" i="3"/>
  <c r="BR334" i="3"/>
  <c r="BS334" i="3"/>
  <c r="BT334" i="3"/>
  <c r="BB335" i="3"/>
  <c r="BC335" i="3"/>
  <c r="BA335" i="3"/>
  <c r="AZ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L336" i="3"/>
  <c r="AZ336" i="3"/>
  <c r="BO336" i="3"/>
  <c r="BP336" i="3"/>
  <c r="BQ336" i="3"/>
  <c r="BR336" i="3"/>
  <c r="BS336" i="3"/>
  <c r="BT336" i="3"/>
  <c r="BB337" i="3"/>
  <c r="BC337" i="3"/>
  <c r="BA337" i="3"/>
  <c r="AZ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L338" i="3"/>
  <c r="AZ338" i="3"/>
  <c r="BO338" i="3"/>
  <c r="BP338" i="3"/>
  <c r="BQ338" i="3"/>
  <c r="BR338" i="3"/>
  <c r="BS338" i="3"/>
  <c r="BT338" i="3"/>
  <c r="BB339" i="3"/>
  <c r="BC339" i="3"/>
  <c r="BA339" i="3"/>
  <c r="AZ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L340" i="3"/>
  <c r="AZ340" i="3"/>
  <c r="BO340" i="3"/>
  <c r="BP340" i="3"/>
  <c r="BQ340" i="3"/>
  <c r="BR340" i="3"/>
  <c r="BS340" i="3"/>
  <c r="BT340" i="3"/>
  <c r="BB341" i="3"/>
  <c r="BC341" i="3"/>
  <c r="BA341" i="3"/>
  <c r="AZ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L342" i="3"/>
  <c r="AZ342" i="3"/>
  <c r="BO342" i="3"/>
  <c r="BP342" i="3"/>
  <c r="BQ342" i="3"/>
  <c r="BR342" i="3"/>
  <c r="BS342" i="3"/>
  <c r="BT342" i="3"/>
  <c r="BB343" i="3"/>
  <c r="BC343" i="3"/>
  <c r="BA343" i="3"/>
  <c r="AZ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L344" i="3"/>
  <c r="AZ344" i="3"/>
  <c r="BO344" i="3"/>
  <c r="BP344" i="3"/>
  <c r="BQ344" i="3"/>
  <c r="BR344" i="3"/>
  <c r="BS344" i="3"/>
  <c r="BT344" i="3"/>
  <c r="BB345" i="3"/>
  <c r="BC345" i="3"/>
  <c r="BA345" i="3"/>
  <c r="AZ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L346" i="3"/>
  <c r="AZ346" i="3"/>
  <c r="BO346" i="3"/>
  <c r="BP346" i="3"/>
  <c r="BQ346" i="3"/>
  <c r="BR346" i="3"/>
  <c r="BS346" i="3"/>
  <c r="BT346" i="3"/>
  <c r="BB347" i="3"/>
  <c r="BC347" i="3"/>
  <c r="BA347" i="3"/>
  <c r="AZ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L348" i="3"/>
  <c r="AZ348" i="3"/>
  <c r="BO348" i="3"/>
  <c r="BP348" i="3"/>
  <c r="BQ348" i="3"/>
  <c r="BR348" i="3"/>
  <c r="BS348" i="3"/>
  <c r="BT348" i="3"/>
  <c r="BB349" i="3"/>
  <c r="BC349" i="3"/>
  <c r="BA349" i="3"/>
  <c r="AZ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L350" i="3"/>
  <c r="AZ350" i="3"/>
  <c r="BO350" i="3"/>
  <c r="BP350" i="3"/>
  <c r="BQ350" i="3"/>
  <c r="BR350" i="3"/>
  <c r="BS350" i="3"/>
  <c r="BT350" i="3"/>
  <c r="BB351" i="3"/>
  <c r="BC351" i="3"/>
  <c r="BA351" i="3"/>
  <c r="AZ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L352" i="3"/>
  <c r="AZ352" i="3"/>
  <c r="BO352" i="3"/>
  <c r="BP352" i="3"/>
  <c r="BQ352" i="3"/>
  <c r="BR352" i="3"/>
  <c r="BS352" i="3"/>
  <c r="BT352" i="3"/>
  <c r="BB353" i="3"/>
  <c r="BC353" i="3"/>
  <c r="BA353" i="3"/>
  <c r="AZ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L354" i="3"/>
  <c r="AZ354" i="3"/>
  <c r="BO354" i="3"/>
  <c r="BP354" i="3"/>
  <c r="BQ354" i="3"/>
  <c r="BR354" i="3"/>
  <c r="BS354" i="3"/>
  <c r="BT354" i="3"/>
  <c r="BB355" i="3"/>
  <c r="BC355" i="3"/>
  <c r="BA355" i="3"/>
  <c r="AZ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L356" i="3"/>
  <c r="AZ356" i="3"/>
  <c r="BO356" i="3"/>
  <c r="BP356" i="3"/>
  <c r="BQ356" i="3"/>
  <c r="BR356" i="3"/>
  <c r="BS356" i="3"/>
  <c r="BT356" i="3"/>
  <c r="BB357" i="3"/>
  <c r="BC357" i="3"/>
  <c r="BA357" i="3"/>
  <c r="AZ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L358" i="3"/>
  <c r="AZ358" i="3"/>
  <c r="BO358" i="3"/>
  <c r="BP358" i="3"/>
  <c r="BQ358" i="3"/>
  <c r="BR358" i="3"/>
  <c r="BS358" i="3"/>
  <c r="BT358" i="3"/>
  <c r="BB359" i="3"/>
  <c r="BC359" i="3"/>
  <c r="BA359" i="3"/>
  <c r="AZ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L360" i="3"/>
  <c r="AZ360" i="3"/>
  <c r="BO360" i="3"/>
  <c r="BP360" i="3"/>
  <c r="BQ360" i="3"/>
  <c r="BR360" i="3"/>
  <c r="BS360" i="3"/>
  <c r="BT360" i="3"/>
  <c r="BB361" i="3"/>
  <c r="BC361" i="3"/>
  <c r="BA361" i="3"/>
  <c r="AZ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L362" i="3"/>
  <c r="AZ362" i="3"/>
  <c r="BO362" i="3"/>
  <c r="BP362" i="3"/>
  <c r="BQ362" i="3"/>
  <c r="BR362" i="3"/>
  <c r="BS362" i="3"/>
  <c r="BT362" i="3"/>
  <c r="BB363" i="3"/>
  <c r="BC363" i="3"/>
  <c r="BA363" i="3"/>
  <c r="AZ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L364" i="3"/>
  <c r="AZ364" i="3"/>
  <c r="BO364" i="3"/>
  <c r="BP364" i="3"/>
  <c r="BQ364" i="3"/>
  <c r="BR364" i="3"/>
  <c r="BS364" i="3"/>
  <c r="BT364" i="3"/>
  <c r="BB365" i="3"/>
  <c r="BC365" i="3"/>
  <c r="BA365" i="3"/>
  <c r="AZ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L366" i="3"/>
  <c r="AZ366" i="3"/>
  <c r="BO366" i="3"/>
  <c r="BP366" i="3"/>
  <c r="BQ366" i="3"/>
  <c r="BR366" i="3"/>
  <c r="BS366" i="3"/>
  <c r="BT366" i="3"/>
  <c r="BB367" i="3"/>
  <c r="BC367" i="3"/>
  <c r="BA367" i="3"/>
  <c r="AZ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L368" i="3"/>
  <c r="AZ368" i="3"/>
  <c r="BO368" i="3"/>
  <c r="BP368" i="3"/>
  <c r="BQ368" i="3"/>
  <c r="BR368" i="3"/>
  <c r="BS368" i="3"/>
  <c r="BT368" i="3"/>
  <c r="BB369" i="3"/>
  <c r="BC369" i="3"/>
  <c r="BA369" i="3"/>
  <c r="AZ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L370" i="3"/>
  <c r="AZ370" i="3"/>
  <c r="BO370" i="3"/>
  <c r="BP370" i="3"/>
  <c r="BQ370" i="3"/>
  <c r="BR370" i="3"/>
  <c r="BS370" i="3"/>
  <c r="BT370" i="3"/>
  <c r="BB371" i="3"/>
  <c r="BC371" i="3"/>
  <c r="BA371" i="3"/>
  <c r="AZ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L372" i="3"/>
  <c r="AZ372" i="3"/>
  <c r="BO372" i="3"/>
  <c r="BP372" i="3"/>
  <c r="BQ372" i="3"/>
  <c r="BR372" i="3"/>
  <c r="BS372" i="3"/>
  <c r="BT372" i="3"/>
  <c r="BB373" i="3"/>
  <c r="BC373" i="3"/>
  <c r="BA373" i="3"/>
  <c r="AZ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L374" i="3"/>
  <c r="AZ374" i="3"/>
  <c r="BO374" i="3"/>
  <c r="BP374" i="3"/>
  <c r="BQ374" i="3"/>
  <c r="BR374" i="3"/>
  <c r="BS374" i="3"/>
  <c r="BT374" i="3"/>
  <c r="BB375" i="3"/>
  <c r="BC375" i="3"/>
  <c r="BA375" i="3"/>
  <c r="AZ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L376" i="3"/>
  <c r="AZ376" i="3"/>
  <c r="BO376" i="3"/>
  <c r="BP376" i="3"/>
  <c r="BQ376" i="3"/>
  <c r="BR376" i="3"/>
  <c r="BS376" i="3"/>
  <c r="BT376" i="3"/>
  <c r="BB377" i="3"/>
  <c r="BC377" i="3"/>
  <c r="BA377" i="3"/>
  <c r="AZ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L378" i="3"/>
  <c r="AZ378" i="3"/>
  <c r="BO378" i="3"/>
  <c r="BP378" i="3"/>
  <c r="BQ378" i="3"/>
  <c r="BR378" i="3"/>
  <c r="BS378" i="3"/>
  <c r="BT378" i="3"/>
  <c r="BB379" i="3"/>
  <c r="BC379" i="3"/>
  <c r="BA379" i="3"/>
  <c r="AZ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L380" i="3"/>
  <c r="AZ380" i="3"/>
  <c r="BO380" i="3"/>
  <c r="BP380" i="3"/>
  <c r="BQ380" i="3"/>
  <c r="BR380" i="3"/>
  <c r="BS380" i="3"/>
  <c r="BT380" i="3"/>
  <c r="BB381" i="3"/>
  <c r="BC381" i="3"/>
  <c r="BA381" i="3"/>
  <c r="AZ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L382" i="3"/>
  <c r="AZ382" i="3"/>
  <c r="BO382" i="3"/>
  <c r="BP382" i="3"/>
  <c r="BQ382" i="3"/>
  <c r="BR382" i="3"/>
  <c r="BS382" i="3"/>
  <c r="BT382" i="3"/>
  <c r="BB383" i="3"/>
  <c r="BC383" i="3"/>
  <c r="BA383" i="3"/>
  <c r="AZ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L384" i="3"/>
  <c r="AZ384" i="3"/>
  <c r="BO384" i="3"/>
  <c r="BP384" i="3"/>
  <c r="BQ384" i="3"/>
  <c r="BR384" i="3"/>
  <c r="BS384" i="3"/>
  <c r="BT384" i="3"/>
  <c r="BB385" i="3"/>
  <c r="BC385" i="3"/>
  <c r="BA385" i="3"/>
  <c r="AZ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L386" i="3"/>
  <c r="AZ386" i="3"/>
  <c r="BO386" i="3"/>
  <c r="BP386" i="3"/>
  <c r="BQ386" i="3"/>
  <c r="BR386" i="3"/>
  <c r="BS386" i="3"/>
  <c r="BT386" i="3"/>
  <c r="BB387" i="3"/>
  <c r="BC387" i="3"/>
  <c r="BA387" i="3"/>
  <c r="AZ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L388" i="3"/>
  <c r="AZ388" i="3"/>
  <c r="BO388" i="3"/>
  <c r="BP388" i="3"/>
  <c r="BQ388" i="3"/>
  <c r="BR388" i="3"/>
  <c r="BS388" i="3"/>
  <c r="BT388" i="3"/>
  <c r="BB389" i="3"/>
  <c r="BC389" i="3"/>
  <c r="BA389" i="3"/>
  <c r="AZ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L390" i="3"/>
  <c r="AZ390" i="3"/>
  <c r="BO390" i="3"/>
  <c r="BP390" i="3"/>
  <c r="BQ390" i="3"/>
  <c r="BR390" i="3"/>
  <c r="BS390" i="3"/>
  <c r="BT390" i="3"/>
  <c r="BB391" i="3"/>
  <c r="BC391" i="3"/>
  <c r="BA391" i="3"/>
  <c r="AZ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L392" i="3"/>
  <c r="AZ392" i="3"/>
  <c r="BO392" i="3"/>
  <c r="BP392" i="3"/>
  <c r="BQ392" i="3"/>
  <c r="BR392" i="3"/>
  <c r="BS392" i="3"/>
  <c r="BT392" i="3"/>
  <c r="BB393" i="3"/>
  <c r="BC393" i="3"/>
  <c r="BA393" i="3"/>
  <c r="AZ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L394" i="3"/>
  <c r="AZ394" i="3"/>
  <c r="BO394" i="3"/>
  <c r="BP394" i="3"/>
  <c r="BQ394" i="3"/>
  <c r="BR394" i="3"/>
  <c r="BS394" i="3"/>
  <c r="BT394" i="3"/>
  <c r="BB395" i="3"/>
  <c r="BC395" i="3"/>
  <c r="BA395" i="3"/>
  <c r="AZ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L396" i="3"/>
  <c r="AZ396" i="3"/>
  <c r="BO396" i="3"/>
  <c r="BP396" i="3"/>
  <c r="BQ396" i="3"/>
  <c r="BR396" i="3"/>
  <c r="BS396" i="3"/>
  <c r="BT396" i="3"/>
  <c r="BB397" i="3"/>
  <c r="BC397" i="3"/>
  <c r="BA397" i="3"/>
  <c r="AZ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L398" i="3"/>
  <c r="AZ398" i="3"/>
  <c r="BO398" i="3"/>
  <c r="BP398" i="3"/>
  <c r="BQ398" i="3"/>
  <c r="BR398" i="3"/>
  <c r="BS398" i="3"/>
  <c r="BT398" i="3"/>
  <c r="BB399" i="3"/>
  <c r="BC399" i="3"/>
  <c r="BA399" i="3"/>
  <c r="AZ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L400" i="3"/>
  <c r="AZ400" i="3"/>
  <c r="BO400" i="3"/>
  <c r="BP400" i="3"/>
  <c r="BQ400" i="3"/>
  <c r="BR400" i="3"/>
  <c r="BS400" i="3"/>
  <c r="BT400" i="3"/>
  <c r="BB401" i="3"/>
  <c r="BC401" i="3"/>
  <c r="BA401" i="3"/>
  <c r="AZ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L402" i="3"/>
  <c r="AZ402" i="3"/>
  <c r="BO402" i="3"/>
  <c r="BP402" i="3"/>
  <c r="BQ402" i="3"/>
  <c r="BR402" i="3"/>
  <c r="BS402" i="3"/>
  <c r="BT402" i="3"/>
  <c r="BB403" i="3"/>
  <c r="BC403" i="3"/>
  <c r="BA403" i="3"/>
  <c r="AZ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L404" i="3"/>
  <c r="AZ404" i="3"/>
  <c r="BO404" i="3"/>
  <c r="BP404" i="3"/>
  <c r="BQ404" i="3"/>
  <c r="BR404" i="3"/>
  <c r="BS404" i="3"/>
  <c r="BT404" i="3"/>
  <c r="BB405" i="3"/>
  <c r="BC405" i="3"/>
  <c r="BA405" i="3"/>
  <c r="AZ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L406" i="3"/>
  <c r="AZ406" i="3"/>
  <c r="BO406" i="3"/>
  <c r="BP406" i="3"/>
  <c r="BQ406" i="3"/>
  <c r="BR406" i="3"/>
  <c r="BS406" i="3"/>
  <c r="BT406" i="3"/>
  <c r="BB407" i="3"/>
  <c r="BC407" i="3"/>
  <c r="BA407" i="3"/>
  <c r="AZ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L408" i="3"/>
  <c r="AZ408" i="3"/>
  <c r="BO408" i="3"/>
  <c r="BP408" i="3"/>
  <c r="BQ408" i="3"/>
  <c r="BR408" i="3"/>
  <c r="BS408" i="3"/>
  <c r="BT408" i="3"/>
  <c r="BB409" i="3"/>
  <c r="BC409" i="3"/>
  <c r="BA409" i="3"/>
  <c r="AZ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L410" i="3"/>
  <c r="AZ410" i="3"/>
  <c r="BO410" i="3"/>
  <c r="BP410" i="3"/>
  <c r="BQ410" i="3"/>
  <c r="BR410" i="3"/>
  <c r="BS410" i="3"/>
  <c r="BT410" i="3"/>
  <c r="BB411" i="3"/>
  <c r="BC411" i="3"/>
  <c r="BA411" i="3"/>
  <c r="AZ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L412" i="3"/>
  <c r="AZ412" i="3"/>
  <c r="BO412" i="3"/>
  <c r="BP412" i="3"/>
  <c r="BQ412" i="3"/>
  <c r="BR412" i="3"/>
  <c r="BS412" i="3"/>
  <c r="BT412" i="3"/>
  <c r="BB413" i="3"/>
  <c r="BC413" i="3"/>
  <c r="BA413" i="3"/>
  <c r="AZ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L414" i="3"/>
  <c r="AZ414" i="3"/>
  <c r="BO414" i="3"/>
  <c r="BP414" i="3"/>
  <c r="BQ414" i="3"/>
  <c r="BR414" i="3"/>
  <c r="BS414" i="3"/>
  <c r="BT414" i="3"/>
  <c r="BB415" i="3"/>
  <c r="BC415" i="3"/>
  <c r="BA415" i="3"/>
  <c r="AZ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L416" i="3"/>
  <c r="AZ416" i="3"/>
  <c r="BO416" i="3"/>
  <c r="BP416" i="3"/>
  <c r="BQ416" i="3"/>
  <c r="BR416" i="3"/>
  <c r="BS416" i="3"/>
  <c r="BT416" i="3"/>
  <c r="BB417" i="3"/>
  <c r="BC417" i="3"/>
  <c r="BA417" i="3"/>
  <c r="AZ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L418" i="3"/>
  <c r="AZ418" i="3"/>
  <c r="BO418" i="3"/>
  <c r="BP418" i="3"/>
  <c r="BQ418" i="3"/>
  <c r="BR418" i="3"/>
  <c r="BS418" i="3"/>
  <c r="BT418" i="3"/>
  <c r="BB419" i="3"/>
  <c r="BC419" i="3"/>
  <c r="BA419" i="3"/>
  <c r="AZ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L420" i="3"/>
  <c r="AZ420" i="3"/>
  <c r="BO420" i="3"/>
  <c r="BP420" i="3"/>
  <c r="BQ420" i="3"/>
  <c r="BR420" i="3"/>
  <c r="BS420" i="3"/>
  <c r="BT420" i="3"/>
  <c r="BB421" i="3"/>
  <c r="BC421" i="3"/>
  <c r="BA421" i="3"/>
  <c r="AZ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L422" i="3"/>
  <c r="AZ422" i="3"/>
  <c r="BO422" i="3"/>
  <c r="BP422" i="3"/>
  <c r="BQ422" i="3"/>
  <c r="BR422" i="3"/>
  <c r="BS422" i="3"/>
  <c r="BT422" i="3"/>
  <c r="BB423" i="3"/>
  <c r="BC423" i="3"/>
  <c r="BA423" i="3"/>
  <c r="AZ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L424" i="3"/>
  <c r="AZ424" i="3"/>
  <c r="BO424" i="3"/>
  <c r="BP424" i="3"/>
  <c r="BQ424" i="3"/>
  <c r="BR424" i="3"/>
  <c r="BS424" i="3"/>
  <c r="BT424" i="3"/>
  <c r="BB425" i="3"/>
  <c r="BC425" i="3"/>
  <c r="BA425" i="3"/>
  <c r="AZ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L426" i="3"/>
  <c r="AZ426" i="3"/>
  <c r="BO426" i="3"/>
  <c r="BP426" i="3"/>
  <c r="BQ426" i="3"/>
  <c r="BR426" i="3"/>
  <c r="BS426" i="3"/>
  <c r="BT426" i="3"/>
  <c r="BB427" i="3"/>
  <c r="BC427" i="3"/>
  <c r="BA427" i="3"/>
  <c r="AZ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L428" i="3"/>
  <c r="AZ428" i="3"/>
  <c r="BO428" i="3"/>
  <c r="BP428" i="3"/>
  <c r="BQ428" i="3"/>
  <c r="BR428" i="3"/>
  <c r="BS428" i="3"/>
  <c r="BT428" i="3"/>
  <c r="BB429" i="3"/>
  <c r="BC429" i="3"/>
  <c r="BA429" i="3"/>
  <c r="AZ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c r="AZ430" i="3"/>
  <c r="BO430" i="3"/>
  <c r="BP430" i="3"/>
  <c r="BQ430" i="3"/>
  <c r="BR430" i="3"/>
  <c r="BS430" i="3"/>
  <c r="BT430" i="3"/>
  <c r="BB431" i="3"/>
  <c r="BC431" i="3"/>
  <c r="BA431" i="3"/>
  <c r="AZ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c r="AZ432" i="3"/>
  <c r="BO432" i="3"/>
  <c r="BP432" i="3"/>
  <c r="BQ432" i="3"/>
  <c r="BR432" i="3"/>
  <c r="BS432" i="3"/>
  <c r="BT432" i="3"/>
  <c r="BB433" i="3"/>
  <c r="BC433" i="3"/>
  <c r="BA433" i="3"/>
  <c r="AZ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c r="AZ434" i="3"/>
  <c r="BO434" i="3"/>
  <c r="BP434" i="3"/>
  <c r="BQ434" i="3"/>
  <c r="BR434" i="3"/>
  <c r="BS434" i="3"/>
  <c r="BT434" i="3"/>
  <c r="BB435" i="3"/>
  <c r="BC435" i="3"/>
  <c r="BA435" i="3"/>
  <c r="AZ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c r="AZ436" i="3"/>
  <c r="BO436" i="3"/>
  <c r="BP436" i="3"/>
  <c r="BQ436" i="3"/>
  <c r="BR436" i="3"/>
  <c r="BS436" i="3"/>
  <c r="BT436" i="3"/>
  <c r="BB437" i="3"/>
  <c r="BC437" i="3"/>
  <c r="BA437" i="3"/>
  <c r="AZ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c r="AZ438" i="3"/>
  <c r="BO438" i="3"/>
  <c r="BP438" i="3"/>
  <c r="BQ438" i="3"/>
  <c r="BR438" i="3"/>
  <c r="BS438" i="3"/>
  <c r="BT438" i="3"/>
  <c r="BB439" i="3"/>
  <c r="BC439" i="3"/>
  <c r="BA439" i="3"/>
  <c r="AZ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c r="AZ440" i="3"/>
  <c r="BO440" i="3"/>
  <c r="BP440" i="3"/>
  <c r="BQ440" i="3"/>
  <c r="BR440" i="3"/>
  <c r="BS440" i="3"/>
  <c r="BT440" i="3"/>
  <c r="BB441" i="3"/>
  <c r="BC441" i="3"/>
  <c r="BA441" i="3"/>
  <c r="AZ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c r="AZ442" i="3"/>
  <c r="BO442" i="3"/>
  <c r="BP442" i="3"/>
  <c r="BQ442" i="3"/>
  <c r="BR442" i="3"/>
  <c r="BS442" i="3"/>
  <c r="BT442" i="3"/>
  <c r="BB443" i="3"/>
  <c r="BC443" i="3"/>
  <c r="BA443" i="3"/>
  <c r="AZ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c r="AZ444" i="3"/>
  <c r="BO444" i="3"/>
  <c r="BP444" i="3"/>
  <c r="BQ444" i="3"/>
  <c r="BR444" i="3"/>
  <c r="BS444" i="3"/>
  <c r="BT444" i="3"/>
  <c r="BB445" i="3"/>
  <c r="BC445" i="3"/>
  <c r="BA445" i="3"/>
  <c r="AZ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c r="AZ446" i="3"/>
  <c r="BO446" i="3"/>
  <c r="BP446" i="3"/>
  <c r="BQ446" i="3"/>
  <c r="BR446" i="3"/>
  <c r="BS446" i="3"/>
  <c r="BT446" i="3"/>
  <c r="BB447" i="3"/>
  <c r="BC447" i="3"/>
  <c r="BA447" i="3"/>
  <c r="AZ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c r="AZ448" i="3"/>
  <c r="BO448" i="3"/>
  <c r="BP448" i="3"/>
  <c r="BQ448" i="3"/>
  <c r="BR448" i="3"/>
  <c r="BS448" i="3"/>
  <c r="BT448" i="3"/>
  <c r="BB449" i="3"/>
  <c r="BC449" i="3"/>
  <c r="BA449" i="3"/>
  <c r="AZ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c r="AZ450" i="3"/>
  <c r="BO450" i="3"/>
  <c r="BP450" i="3"/>
  <c r="BQ450" i="3"/>
  <c r="BR450" i="3"/>
  <c r="BS450" i="3"/>
  <c r="BT450" i="3"/>
  <c r="BB451" i="3"/>
  <c r="BC451" i="3"/>
  <c r="BA451" i="3"/>
  <c r="AZ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c r="AZ452" i="3"/>
  <c r="BO452" i="3"/>
  <c r="BP452" i="3"/>
  <c r="BQ452" i="3"/>
  <c r="BR452" i="3"/>
  <c r="BS452" i="3"/>
  <c r="BT452" i="3"/>
  <c r="BB453" i="3"/>
  <c r="BC453" i="3"/>
  <c r="BA453" i="3"/>
  <c r="AZ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c r="AZ454" i="3"/>
  <c r="BO454" i="3"/>
  <c r="BP454" i="3"/>
  <c r="BQ454" i="3"/>
  <c r="BR454" i="3"/>
  <c r="BS454" i="3"/>
  <c r="BT454" i="3"/>
  <c r="BB455" i="3"/>
  <c r="BC455" i="3"/>
  <c r="BA455" i="3"/>
  <c r="AZ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c r="AZ456" i="3"/>
  <c r="BO456" i="3"/>
  <c r="BP456" i="3"/>
  <c r="BQ456" i="3"/>
  <c r="BR456" i="3"/>
  <c r="BS456" i="3"/>
  <c r="BT456" i="3"/>
  <c r="BB457" i="3"/>
  <c r="BC457" i="3"/>
  <c r="BA457" i="3"/>
  <c r="AZ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c r="AZ458" i="3"/>
  <c r="BO458" i="3"/>
  <c r="BP458" i="3"/>
  <c r="BQ458" i="3"/>
  <c r="BR458" i="3"/>
  <c r="BS458" i="3"/>
  <c r="BT458" i="3"/>
  <c r="BB459" i="3"/>
  <c r="BC459" i="3"/>
  <c r="BA459" i="3"/>
  <c r="AZ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c r="AZ460" i="3"/>
  <c r="BO460" i="3"/>
  <c r="BP460" i="3"/>
  <c r="BQ460" i="3"/>
  <c r="BR460" i="3"/>
  <c r="BS460" i="3"/>
  <c r="BT460" i="3"/>
  <c r="BB461" i="3"/>
  <c r="BC461" i="3"/>
  <c r="BA461" i="3"/>
  <c r="AZ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c r="AZ462" i="3"/>
  <c r="BO462" i="3"/>
  <c r="BP462" i="3"/>
  <c r="BQ462" i="3"/>
  <c r="BR462" i="3"/>
  <c r="BS462" i="3"/>
  <c r="BT462" i="3"/>
  <c r="BB463" i="3"/>
  <c r="BC463" i="3"/>
  <c r="BA463" i="3"/>
  <c r="AZ463" i="3"/>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c r="AZ464" i="3"/>
  <c r="BO464" i="3"/>
  <c r="BP464" i="3"/>
  <c r="BQ464" i="3"/>
  <c r="BR464" i="3"/>
  <c r="BS464" i="3"/>
  <c r="BT464" i="3"/>
  <c r="BB465" i="3"/>
  <c r="BC465" i="3"/>
  <c r="BA465" i="3"/>
  <c r="AZ465" i="3"/>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c r="AZ466" i="3"/>
  <c r="BO466" i="3"/>
  <c r="BP466" i="3"/>
  <c r="BQ466" i="3"/>
  <c r="BR466" i="3"/>
  <c r="BS466" i="3"/>
  <c r="BT466" i="3"/>
  <c r="BB467" i="3"/>
  <c r="BC467" i="3"/>
  <c r="BA467" i="3"/>
  <c r="AZ467" i="3"/>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c r="AZ468" i="3"/>
  <c r="BO468" i="3"/>
  <c r="BP468" i="3"/>
  <c r="BQ468" i="3"/>
  <c r="BR468" i="3"/>
  <c r="BS468" i="3"/>
  <c r="BT468" i="3"/>
  <c r="BB469" i="3"/>
  <c r="BC469" i="3"/>
  <c r="BA469" i="3"/>
  <c r="AZ469" i="3"/>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c r="AZ470" i="3"/>
  <c r="BO470" i="3"/>
  <c r="BP470" i="3"/>
  <c r="BQ470" i="3"/>
  <c r="BR470" i="3"/>
  <c r="BS470" i="3"/>
  <c r="BT470" i="3"/>
  <c r="BB471" i="3"/>
  <c r="BC471" i="3"/>
  <c r="BA471" i="3"/>
  <c r="AZ471" i="3"/>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c r="AZ472" i="3"/>
  <c r="BO472" i="3"/>
  <c r="BP472" i="3"/>
  <c r="BQ472" i="3"/>
  <c r="BR472" i="3"/>
  <c r="BS472" i="3"/>
  <c r="BT472" i="3"/>
  <c r="BB473" i="3"/>
  <c r="BC473" i="3"/>
  <c r="BA473" i="3"/>
  <c r="AZ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c r="AZ474" i="3"/>
  <c r="BO474" i="3"/>
  <c r="BP474" i="3"/>
  <c r="BQ474" i="3"/>
  <c r="BR474" i="3"/>
  <c r="BS474" i="3"/>
  <c r="BT474" i="3"/>
  <c r="BB475" i="3"/>
  <c r="BC475" i="3"/>
  <c r="BA475" i="3"/>
  <c r="AZ475" i="3"/>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c r="AZ476" i="3"/>
  <c r="BO476" i="3"/>
  <c r="BP476" i="3"/>
  <c r="BQ476" i="3"/>
  <c r="BR476" i="3"/>
  <c r="BS476" i="3"/>
  <c r="BT476" i="3"/>
  <c r="BB477" i="3"/>
  <c r="BC477" i="3"/>
  <c r="BA477" i="3"/>
  <c r="AZ477" i="3"/>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c r="AZ478" i="3"/>
  <c r="BO478" i="3"/>
  <c r="BP478" i="3"/>
  <c r="BQ478" i="3"/>
  <c r="BR478" i="3"/>
  <c r="BS478" i="3"/>
  <c r="BT478" i="3"/>
  <c r="BB479" i="3"/>
  <c r="BC479" i="3"/>
  <c r="BA479" i="3"/>
  <c r="AZ479" i="3"/>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c r="AZ480" i="3"/>
  <c r="BO480" i="3"/>
  <c r="BP480" i="3"/>
  <c r="BQ480" i="3"/>
  <c r="BR480" i="3"/>
  <c r="BS480" i="3"/>
  <c r="BT480" i="3"/>
  <c r="BB481" i="3"/>
  <c r="BC481" i="3"/>
  <c r="BA481" i="3"/>
  <c r="AZ481" i="3"/>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c r="AZ482" i="3"/>
  <c r="BO482" i="3"/>
  <c r="BP482" i="3"/>
  <c r="BQ482" i="3"/>
  <c r="BR482" i="3"/>
  <c r="BS482" i="3"/>
  <c r="BT482" i="3"/>
  <c r="BB483" i="3"/>
  <c r="BC483" i="3"/>
  <c r="BA483" i="3"/>
  <c r="AZ483" i="3"/>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c r="AZ484" i="3"/>
  <c r="BO484" i="3"/>
  <c r="BP484" i="3"/>
  <c r="BQ484" i="3"/>
  <c r="BR484" i="3"/>
  <c r="BS484" i="3"/>
  <c r="BT484" i="3"/>
  <c r="BB485" i="3"/>
  <c r="BC485" i="3"/>
  <c r="BA485" i="3"/>
  <c r="AZ485" i="3"/>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c r="AZ486" i="3"/>
  <c r="BO486" i="3"/>
  <c r="BP486" i="3"/>
  <c r="BQ486" i="3"/>
  <c r="BR486" i="3"/>
  <c r="BS486" i="3"/>
  <c r="BT486" i="3"/>
  <c r="BB487" i="3"/>
  <c r="BC487" i="3"/>
  <c r="BA487" i="3"/>
  <c r="AZ487" i="3"/>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c r="AZ488" i="3"/>
  <c r="BO488" i="3"/>
  <c r="BP488" i="3"/>
  <c r="BQ488" i="3"/>
  <c r="BR488" i="3"/>
  <c r="BS488" i="3"/>
  <c r="BT488" i="3"/>
  <c r="BB489" i="3"/>
  <c r="BC489" i="3"/>
  <c r="BA489" i="3"/>
  <c r="AZ489" i="3"/>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c r="AZ490" i="3"/>
  <c r="BO490" i="3"/>
  <c r="BP490" i="3"/>
  <c r="BQ490" i="3"/>
  <c r="BR490" i="3"/>
  <c r="BS490" i="3"/>
  <c r="BT490" i="3"/>
  <c r="BB491" i="3"/>
  <c r="BC491" i="3"/>
  <c r="BA491" i="3"/>
  <c r="AZ491" i="3"/>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c r="AZ492" i="3"/>
  <c r="BO492" i="3"/>
  <c r="BP492" i="3"/>
  <c r="BQ492" i="3"/>
  <c r="BR492" i="3"/>
  <c r="BS492" i="3"/>
  <c r="BT492" i="3"/>
  <c r="BB493" i="3"/>
  <c r="BC493" i="3"/>
  <c r="BA493" i="3"/>
  <c r="AZ493" i="3"/>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c r="AZ494" i="3"/>
  <c r="BO494" i="3"/>
  <c r="BP494" i="3"/>
  <c r="BQ494" i="3"/>
  <c r="BR494" i="3"/>
  <c r="BS494" i="3"/>
  <c r="BT494" i="3"/>
  <c r="BB495" i="3"/>
  <c r="BC495" i="3"/>
  <c r="BA495" i="3"/>
  <c r="AZ495" i="3"/>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c r="AZ496" i="3"/>
  <c r="BO496" i="3"/>
  <c r="BP496" i="3"/>
  <c r="BQ496" i="3"/>
  <c r="BR496" i="3"/>
  <c r="BS496" i="3"/>
  <c r="BT496" i="3"/>
  <c r="BB497" i="3"/>
  <c r="BC497" i="3"/>
  <c r="BA497" i="3"/>
  <c r="AZ497" i="3"/>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c r="AZ498" i="3"/>
  <c r="BO498" i="3"/>
  <c r="BP498" i="3"/>
  <c r="BQ498" i="3"/>
  <c r="BR498" i="3"/>
  <c r="BS498" i="3"/>
  <c r="BT498" i="3"/>
  <c r="BB499" i="3"/>
  <c r="BC499" i="3"/>
  <c r="BA499" i="3"/>
  <c r="AZ499" i="3"/>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c r="AZ500" i="3"/>
  <c r="BO500" i="3"/>
  <c r="BP500" i="3"/>
  <c r="BQ500" i="3"/>
  <c r="BR500" i="3"/>
  <c r="BS500" i="3"/>
  <c r="BT500" i="3"/>
  <c r="BB501" i="3"/>
  <c r="BC501" i="3"/>
  <c r="BA501" i="3"/>
  <c r="AZ501" i="3"/>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c r="AZ502" i="3"/>
  <c r="BO502" i="3"/>
  <c r="BP502" i="3"/>
  <c r="BQ502" i="3"/>
  <c r="BR502" i="3"/>
  <c r="BS502" i="3"/>
  <c r="BT502" i="3"/>
  <c r="BB503" i="3"/>
  <c r="BC503" i="3"/>
  <c r="BA503" i="3"/>
  <c r="AZ503" i="3"/>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c r="AZ504" i="3"/>
  <c r="BO504" i="3"/>
  <c r="BP504" i="3"/>
  <c r="BQ504" i="3"/>
  <c r="BR504" i="3"/>
  <c r="BS504" i="3"/>
  <c r="BT504" i="3"/>
  <c r="BB505" i="3"/>
  <c r="BC505" i="3"/>
  <c r="BA505" i="3"/>
  <c r="AZ505" i="3"/>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c r="AZ506" i="3"/>
  <c r="BO506" i="3"/>
  <c r="BP506" i="3"/>
  <c r="BQ506" i="3"/>
  <c r="BR506" i="3"/>
  <c r="BS506" i="3"/>
  <c r="BT506" i="3"/>
  <c r="BB507" i="3"/>
  <c r="BC507" i="3"/>
  <c r="BA507" i="3"/>
  <c r="AZ507" i="3"/>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c r="AZ508" i="3"/>
  <c r="BO508" i="3"/>
  <c r="BP508" i="3"/>
  <c r="BQ508" i="3"/>
  <c r="BR508" i="3"/>
  <c r="BS508" i="3"/>
  <c r="BT508" i="3"/>
  <c r="BB509" i="3"/>
  <c r="BC509" i="3"/>
  <c r="BA509" i="3"/>
  <c r="AZ509" i="3"/>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c r="AZ510" i="3"/>
  <c r="BO510" i="3"/>
  <c r="BP510" i="3"/>
  <c r="BQ510" i="3"/>
  <c r="BR510" i="3"/>
  <c r="BS510" i="3"/>
  <c r="BT510" i="3"/>
  <c r="BB511" i="3"/>
  <c r="BC511" i="3"/>
  <c r="BA511" i="3"/>
  <c r="AZ511" i="3"/>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c r="AZ512" i="3"/>
  <c r="BO512" i="3"/>
  <c r="BP512" i="3"/>
  <c r="BQ512" i="3"/>
  <c r="BR512" i="3"/>
  <c r="BS512" i="3"/>
  <c r="BT512" i="3"/>
  <c r="BB513" i="3"/>
  <c r="BC513" i="3"/>
  <c r="BA513" i="3"/>
  <c r="AZ513" i="3"/>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c r="AZ514" i="3"/>
  <c r="BO514" i="3"/>
  <c r="BP514" i="3"/>
  <c r="BQ514" i="3"/>
  <c r="BR514" i="3"/>
  <c r="BS514" i="3"/>
  <c r="BT514" i="3"/>
  <c r="BB515" i="3"/>
  <c r="BC515" i="3"/>
  <c r="BA515" i="3"/>
  <c r="AZ515" i="3"/>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c r="AZ516" i="3"/>
  <c r="BO516" i="3"/>
  <c r="BP516" i="3"/>
  <c r="BQ516" i="3"/>
  <c r="BR516" i="3"/>
  <c r="BS516" i="3"/>
  <c r="BT516" i="3"/>
  <c r="BB517" i="3"/>
  <c r="BC517" i="3"/>
  <c r="BA517" i="3"/>
  <c r="AZ517" i="3"/>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c r="AZ518" i="3"/>
  <c r="BO518" i="3"/>
  <c r="BP518" i="3"/>
  <c r="BQ518" i="3"/>
  <c r="BR518" i="3"/>
  <c r="BS518" i="3"/>
  <c r="BT518" i="3"/>
  <c r="BB519" i="3"/>
  <c r="BC519" i="3"/>
  <c r="BA519" i="3"/>
  <c r="AZ519" i="3"/>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c r="AZ520" i="3"/>
  <c r="BO520" i="3"/>
  <c r="BP520" i="3"/>
  <c r="BQ520" i="3"/>
  <c r="BR520" i="3"/>
  <c r="BS520" i="3"/>
  <c r="BT520" i="3"/>
  <c r="BB521" i="3"/>
  <c r="BC521" i="3"/>
  <c r="BA521" i="3"/>
  <c r="AZ521" i="3"/>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c r="AZ522" i="3"/>
  <c r="BO522" i="3"/>
  <c r="BP522" i="3"/>
  <c r="BQ522" i="3"/>
  <c r="BR522" i="3"/>
  <c r="BS522" i="3"/>
  <c r="BT522" i="3"/>
  <c r="BB523" i="3"/>
  <c r="BC523" i="3"/>
  <c r="BA523" i="3"/>
  <c r="AZ523" i="3"/>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c r="AZ524" i="3"/>
  <c r="BO524" i="3"/>
  <c r="BP524" i="3"/>
  <c r="BQ524" i="3"/>
  <c r="BR524" i="3"/>
  <c r="BS524" i="3"/>
  <c r="BT524" i="3"/>
  <c r="BB525" i="3"/>
  <c r="BC525" i="3"/>
  <c r="BA525" i="3"/>
  <c r="AZ525" i="3"/>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c r="AZ526" i="3"/>
  <c r="BO526" i="3"/>
  <c r="BP526" i="3"/>
  <c r="BQ526" i="3"/>
  <c r="BR526" i="3"/>
  <c r="BS526" i="3"/>
  <c r="BT526" i="3"/>
  <c r="BB527" i="3"/>
  <c r="BC527" i="3"/>
  <c r="BA527" i="3"/>
  <c r="AZ527" i="3"/>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c r="AZ528" i="3"/>
  <c r="BO528" i="3"/>
  <c r="BP528" i="3"/>
  <c r="BQ528" i="3"/>
  <c r="BR528" i="3"/>
  <c r="BS528" i="3"/>
  <c r="BT528" i="3"/>
  <c r="BB529" i="3"/>
  <c r="BC529" i="3"/>
  <c r="BA529" i="3"/>
  <c r="AZ529" i="3"/>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c r="AZ530" i="3"/>
  <c r="BO530" i="3"/>
  <c r="BP530" i="3"/>
  <c r="BQ530" i="3"/>
  <c r="BR530" i="3"/>
  <c r="BS530" i="3"/>
  <c r="BT530" i="3"/>
  <c r="BB531" i="3"/>
  <c r="BC531" i="3"/>
  <c r="BA531" i="3"/>
  <c r="AZ531" i="3"/>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c r="AZ532" i="3"/>
  <c r="BO532" i="3"/>
  <c r="BP532" i="3"/>
  <c r="BQ532" i="3"/>
  <c r="BR532" i="3"/>
  <c r="BS532" i="3"/>
  <c r="BT532" i="3"/>
  <c r="BB533" i="3"/>
  <c r="BC533" i="3"/>
  <c r="BA533" i="3"/>
  <c r="AZ533" i="3"/>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c r="AZ534" i="3"/>
  <c r="BO534" i="3"/>
  <c r="BP534" i="3"/>
  <c r="BQ534" i="3"/>
  <c r="BR534" i="3"/>
  <c r="BS534" i="3"/>
  <c r="BT534" i="3"/>
  <c r="BB535" i="3"/>
  <c r="BC535" i="3"/>
  <c r="BA535" i="3"/>
  <c r="AZ535" i="3"/>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c r="AZ536" i="3"/>
  <c r="BO536" i="3"/>
  <c r="BP536" i="3"/>
  <c r="BQ536" i="3"/>
  <c r="BR536" i="3"/>
  <c r="BS536" i="3"/>
  <c r="BT536" i="3"/>
  <c r="BB537" i="3"/>
  <c r="BC537" i="3"/>
  <c r="BA537" i="3"/>
  <c r="AZ537" i="3"/>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c r="AZ538" i="3"/>
  <c r="BO538" i="3"/>
  <c r="BP538" i="3"/>
  <c r="BQ538" i="3"/>
  <c r="BR538" i="3"/>
  <c r="BS538" i="3"/>
  <c r="BT538" i="3"/>
  <c r="BB539" i="3"/>
  <c r="BC539" i="3"/>
  <c r="BA539" i="3"/>
  <c r="AZ539" i="3"/>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c r="AZ540" i="3"/>
  <c r="BO540" i="3"/>
  <c r="BP540" i="3"/>
  <c r="BQ540" i="3"/>
  <c r="BR540" i="3"/>
  <c r="BS540" i="3"/>
  <c r="BT540" i="3"/>
  <c r="BB541" i="3"/>
  <c r="BC541" i="3"/>
  <c r="BA541" i="3"/>
  <c r="AZ541" i="3"/>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c r="AZ542" i="3"/>
  <c r="BO542" i="3"/>
  <c r="BP542" i="3"/>
  <c r="BQ542" i="3"/>
  <c r="BR542" i="3"/>
  <c r="BS542" i="3"/>
  <c r="BT542" i="3"/>
  <c r="BB543" i="3"/>
  <c r="BC543" i="3"/>
  <c r="BA543" i="3"/>
  <c r="AZ543" i="3"/>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c r="AZ544" i="3"/>
  <c r="BO544" i="3"/>
  <c r="BP544" i="3"/>
  <c r="BQ544" i="3"/>
  <c r="BR544" i="3"/>
  <c r="BS544" i="3"/>
  <c r="BT544" i="3"/>
  <c r="BB545" i="3"/>
  <c r="BC545" i="3"/>
  <c r="BA545" i="3"/>
  <c r="AZ545" i="3"/>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c r="AZ546" i="3"/>
  <c r="BO546" i="3"/>
  <c r="BP546" i="3"/>
  <c r="BQ546" i="3"/>
  <c r="BR546" i="3"/>
  <c r="BS546" i="3"/>
  <c r="BT546" i="3"/>
  <c r="BB547" i="3"/>
  <c r="BC547" i="3"/>
  <c r="BA547" i="3"/>
  <c r="AZ547" i="3"/>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c r="AZ548" i="3"/>
  <c r="BO548" i="3"/>
  <c r="BP548" i="3"/>
  <c r="BQ548" i="3"/>
  <c r="BR548" i="3"/>
  <c r="BS548" i="3"/>
  <c r="BT548" i="3"/>
  <c r="BB549" i="3"/>
  <c r="BC549" i="3"/>
  <c r="BA549" i="3"/>
  <c r="AZ549" i="3"/>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c r="AZ550" i="3"/>
  <c r="BO550" i="3"/>
  <c r="BP550" i="3"/>
  <c r="BQ550" i="3"/>
  <c r="BR550" i="3"/>
  <c r="BS550" i="3"/>
  <c r="BT550" i="3"/>
  <c r="BB551" i="3"/>
  <c r="BC551" i="3"/>
  <c r="BA551" i="3"/>
  <c r="AZ551" i="3"/>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c r="AZ552" i="3"/>
  <c r="BO552" i="3"/>
  <c r="BP552" i="3"/>
  <c r="BQ552" i="3"/>
  <c r="BR552" i="3"/>
  <c r="BS552" i="3"/>
  <c r="BT552" i="3"/>
  <c r="BB553" i="3"/>
  <c r="BC553" i="3"/>
  <c r="BA553" i="3"/>
  <c r="AZ553" i="3"/>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c r="AZ554" i="3"/>
  <c r="BO554" i="3"/>
  <c r="BP554" i="3"/>
  <c r="BQ554" i="3"/>
  <c r="BR554" i="3"/>
  <c r="BS554" i="3"/>
  <c r="BT554" i="3"/>
  <c r="BB555" i="3"/>
  <c r="BC555" i="3"/>
  <c r="BA555" i="3"/>
  <c r="AZ555" i="3"/>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c r="AZ556" i="3"/>
  <c r="BO556" i="3"/>
  <c r="BP556" i="3"/>
  <c r="BQ556" i="3"/>
  <c r="BR556" i="3"/>
  <c r="BS556" i="3"/>
  <c r="BT556" i="3"/>
  <c r="BB557" i="3"/>
  <c r="BC557" i="3"/>
  <c r="BA557" i="3"/>
  <c r="AZ557" i="3"/>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c r="AZ558" i="3"/>
  <c r="BO558" i="3"/>
  <c r="BP558" i="3"/>
  <c r="BQ558" i="3"/>
  <c r="BR558" i="3"/>
  <c r="BS558" i="3"/>
  <c r="BT558" i="3"/>
  <c r="BB559" i="3"/>
  <c r="BC559" i="3"/>
  <c r="BA559" i="3"/>
  <c r="AZ559" i="3"/>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c r="AZ560" i="3"/>
  <c r="BO560" i="3"/>
  <c r="BP560" i="3"/>
  <c r="BQ560" i="3"/>
  <c r="BR560" i="3"/>
  <c r="BS560" i="3"/>
  <c r="BT560" i="3"/>
  <c r="BB561" i="3"/>
  <c r="BC561" i="3"/>
  <c r="BA561" i="3"/>
  <c r="AZ561" i="3"/>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c r="AZ562" i="3"/>
  <c r="BO562" i="3"/>
  <c r="BP562" i="3"/>
  <c r="BQ562" i="3"/>
  <c r="BR562" i="3"/>
  <c r="BS562" i="3"/>
  <c r="BT562" i="3"/>
  <c r="BB563" i="3"/>
  <c r="BC563" i="3"/>
  <c r="BA563" i="3"/>
  <c r="AZ563" i="3"/>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c r="AZ564" i="3"/>
  <c r="BO564" i="3"/>
  <c r="BP564" i="3"/>
  <c r="BQ564" i="3"/>
  <c r="BR564" i="3"/>
  <c r="BS564" i="3"/>
  <c r="BT564" i="3"/>
  <c r="BB565" i="3"/>
  <c r="BC565" i="3"/>
  <c r="BA565" i="3"/>
  <c r="AZ565" i="3"/>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c r="AZ566" i="3"/>
  <c r="BO566" i="3"/>
  <c r="BP566" i="3"/>
  <c r="BQ566" i="3"/>
  <c r="BR566" i="3"/>
  <c r="BS566" i="3"/>
  <c r="BT566" i="3"/>
  <c r="BB567" i="3"/>
  <c r="BC567" i="3"/>
  <c r="BA567" i="3"/>
  <c r="AZ567" i="3"/>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c r="AZ568" i="3"/>
  <c r="BO568" i="3"/>
  <c r="BP568" i="3"/>
  <c r="BQ568" i="3"/>
  <c r="BR568" i="3"/>
  <c r="BS568" i="3"/>
  <c r="BT568" i="3"/>
  <c r="BB569" i="3"/>
  <c r="BC569" i="3"/>
  <c r="BA569" i="3"/>
  <c r="AZ569" i="3"/>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c r="AZ570" i="3"/>
  <c r="BO570" i="3"/>
  <c r="BP570" i="3"/>
  <c r="BQ570" i="3"/>
  <c r="BR570" i="3"/>
  <c r="BS570" i="3"/>
  <c r="BT570" i="3"/>
  <c r="BB571" i="3"/>
  <c r="BC571" i="3"/>
  <c r="BA571" i="3"/>
  <c r="AZ571" i="3"/>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c r="AZ572" i="3"/>
  <c r="BO572" i="3"/>
  <c r="BP572" i="3"/>
  <c r="BQ572" i="3"/>
  <c r="BR572" i="3"/>
  <c r="BS572" i="3"/>
  <c r="BT572" i="3"/>
  <c r="C11" i="21"/>
  <c r="F33" i="21"/>
  <c r="AA33" i="21"/>
  <c r="R47" i="21"/>
  <c r="B2" i="1"/>
  <c r="C7" i="21"/>
  <c r="F8" i="21"/>
  <c r="AA8" i="21"/>
  <c r="C63" i="21"/>
  <c r="F9" i="21"/>
  <c r="AA9" i="21"/>
  <c r="D66" i="21"/>
  <c r="E66" i="21"/>
  <c r="B70" i="21"/>
  <c r="F12" i="21"/>
  <c r="AA12" i="21"/>
  <c r="B72" i="21"/>
  <c r="F13" i="21"/>
  <c r="AA13" i="21"/>
  <c r="B74" i="21"/>
  <c r="F14" i="21"/>
  <c r="AA14" i="21"/>
  <c r="D77" i="21"/>
  <c r="D79" i="21"/>
  <c r="D81" i="21"/>
  <c r="D85" i="21"/>
  <c r="E85" i="21"/>
  <c r="F25" i="21"/>
  <c r="AA25" i="21"/>
  <c r="F26" i="21"/>
  <c r="AA26" i="21"/>
  <c r="B90" i="21"/>
  <c r="F27" i="21"/>
  <c r="AA27" i="21"/>
  <c r="B92" i="21"/>
  <c r="F28" i="21"/>
  <c r="AA28" i="21"/>
  <c r="B94" i="21"/>
  <c r="F29" i="21"/>
  <c r="AA29" i="21"/>
  <c r="B96" i="21"/>
  <c r="F30" i="21"/>
  <c r="AA30" i="21"/>
  <c r="B98" i="21"/>
  <c r="F31" i="21"/>
  <c r="AA31" i="21"/>
  <c r="F32" i="21"/>
  <c r="AA32" i="21"/>
  <c r="F34" i="21"/>
  <c r="AA34" i="21"/>
  <c r="F36" i="21"/>
  <c r="AA36" i="21"/>
  <c r="D113" i="21"/>
  <c r="E113" i="21"/>
  <c r="F113" i="21"/>
  <c r="G113" i="21"/>
  <c r="F37" i="21"/>
  <c r="AA37" i="21"/>
  <c r="D117" i="21"/>
  <c r="F39" i="21"/>
  <c r="AA39" i="21"/>
  <c r="F40" i="21"/>
  <c r="AA40" i="21"/>
  <c r="F41" i="21"/>
  <c r="AA41" i="21"/>
  <c r="F43" i="21"/>
  <c r="AA43" i="21"/>
  <c r="B126" i="21"/>
  <c r="F44" i="21"/>
  <c r="AA44" i="21"/>
  <c r="B128" i="21"/>
  <c r="F45" i="21"/>
  <c r="AA45" i="21"/>
  <c r="B130" i="21"/>
  <c r="F46" i="21"/>
  <c r="AA46" i="21"/>
  <c r="H33" i="21"/>
  <c r="AB33" i="21"/>
  <c r="T47" i="21"/>
  <c r="H8" i="21"/>
  <c r="AB8" i="21"/>
  <c r="H9" i="21"/>
  <c r="AB9" i="21"/>
  <c r="H10" i="21"/>
  <c r="AB10" i="21"/>
  <c r="H12" i="21"/>
  <c r="AB12" i="21"/>
  <c r="H13" i="21"/>
  <c r="AB13" i="21"/>
  <c r="H14" i="21"/>
  <c r="AB14" i="21"/>
  <c r="H25" i="21"/>
  <c r="AB25" i="21"/>
  <c r="H26" i="21"/>
  <c r="AB26" i="21"/>
  <c r="H27" i="21"/>
  <c r="AB27" i="21"/>
  <c r="H28" i="21"/>
  <c r="AB28" i="21"/>
  <c r="H29" i="21"/>
  <c r="AB29" i="21"/>
  <c r="H30" i="21"/>
  <c r="AB30" i="21"/>
  <c r="H31" i="21"/>
  <c r="AB31" i="21"/>
  <c r="H32" i="21"/>
  <c r="AB32" i="21"/>
  <c r="H34" i="21"/>
  <c r="AB34" i="21"/>
  <c r="H36" i="21"/>
  <c r="AB36" i="21"/>
  <c r="H37" i="21"/>
  <c r="AB37" i="21"/>
  <c r="H39" i="21"/>
  <c r="AB39" i="21"/>
  <c r="H40" i="21"/>
  <c r="AB40" i="21"/>
  <c r="H41" i="21"/>
  <c r="AB41" i="21"/>
  <c r="H43" i="21"/>
  <c r="AB43" i="21"/>
  <c r="H45" i="21"/>
  <c r="AB45" i="21"/>
  <c r="J33" i="21"/>
  <c r="AC33" i="21"/>
  <c r="V47" i="21"/>
  <c r="J8" i="21"/>
  <c r="AC8" i="21"/>
  <c r="J9" i="21"/>
  <c r="AC9" i="21"/>
  <c r="J12" i="21"/>
  <c r="AC12" i="21"/>
  <c r="J13" i="21"/>
  <c r="AC13" i="21"/>
  <c r="J14" i="21"/>
  <c r="AC14" i="21"/>
  <c r="J25" i="21"/>
  <c r="AC25" i="21"/>
  <c r="J26" i="21"/>
  <c r="AC26" i="21"/>
  <c r="J27" i="21"/>
  <c r="AC27" i="21"/>
  <c r="J28" i="21"/>
  <c r="AC28" i="21"/>
  <c r="J29" i="21"/>
  <c r="AC29" i="21"/>
  <c r="J30" i="21"/>
  <c r="AC30" i="21"/>
  <c r="J31" i="21"/>
  <c r="AC31" i="21"/>
  <c r="J32" i="21"/>
  <c r="AC32" i="21"/>
  <c r="J34" i="21"/>
  <c r="AC34" i="21"/>
  <c r="J36" i="21"/>
  <c r="AC36" i="21"/>
  <c r="J37" i="21"/>
  <c r="AC37" i="21"/>
  <c r="J39" i="21"/>
  <c r="AC39" i="21"/>
  <c r="J40" i="21"/>
  <c r="AC40" i="21"/>
  <c r="J41" i="21"/>
  <c r="AC41" i="21"/>
  <c r="J43" i="21"/>
  <c r="AC43" i="21"/>
  <c r="J44" i="21"/>
  <c r="AC44" i="21"/>
  <c r="J45" i="21"/>
  <c r="AC45" i="21"/>
  <c r="J46" i="21"/>
  <c r="AC46" i="21"/>
  <c r="F19" i="6"/>
  <c r="E19" i="6"/>
  <c r="D3" i="21"/>
  <c r="G69" i="21"/>
  <c r="E20" i="6"/>
  <c r="E21" i="6"/>
  <c r="E22" i="6"/>
  <c r="E23" i="6"/>
  <c r="E24" i="6"/>
  <c r="E25" i="6"/>
  <c r="E26" i="6"/>
  <c r="BQ5" i="3"/>
  <c r="BS5" i="3"/>
  <c r="F28" i="6"/>
  <c r="BR5" i="3"/>
  <c r="BT5" i="3"/>
  <c r="G28" i="6"/>
  <c r="E28" i="6"/>
  <c r="BN5" i="3"/>
  <c r="BP5" i="3"/>
  <c r="G29" i="6"/>
  <c r="BM5" i="3"/>
  <c r="BO5" i="3"/>
  <c r="F29" i="6"/>
  <c r="BB10" i="3"/>
  <c r="BB5" i="3"/>
  <c r="E8" i="6"/>
  <c r="F27" i="6"/>
  <c r="BC10" i="3"/>
  <c r="BC5" i="3"/>
  <c r="BD10" i="3"/>
  <c r="BE10" i="3"/>
  <c r="BF10" i="3"/>
  <c r="BG10" i="3"/>
  <c r="BH10" i="3"/>
  <c r="BI10" i="3"/>
  <c r="BJ10" i="3"/>
  <c r="BK10" i="3"/>
  <c r="BD5" i="3"/>
  <c r="BE5" i="3"/>
  <c r="BF5" i="3"/>
  <c r="BG5" i="3"/>
  <c r="BH5" i="3"/>
  <c r="BI5" i="3"/>
  <c r="BJ5" i="3"/>
  <c r="BK5" i="3"/>
  <c r="A6" i="1"/>
  <c r="A7" i="1"/>
  <c r="K7" i="1"/>
  <c r="M7" i="1"/>
  <c r="A8" i="1"/>
  <c r="G1" i="72"/>
  <c r="K8" i="1"/>
  <c r="C1" i="65"/>
  <c r="N1" i="65"/>
  <c r="B43" i="1"/>
  <c r="B41" i="1"/>
  <c r="F33" i="72"/>
  <c r="L21" i="6"/>
  <c r="R8" i="1"/>
  <c r="B52" i="1"/>
  <c r="F34" i="72"/>
  <c r="F61" i="72"/>
  <c r="T4" i="1"/>
  <c r="S8" i="1"/>
  <c r="A9" i="1"/>
  <c r="S9" i="1"/>
  <c r="A10" i="1"/>
  <c r="S10" i="1"/>
  <c r="A11" i="1"/>
  <c r="S11" i="1"/>
  <c r="A12" i="1"/>
  <c r="S12" i="1"/>
  <c r="A13" i="1"/>
  <c r="S13" i="1"/>
  <c r="M8" i="1"/>
  <c r="F15" i="72"/>
  <c r="F17" i="72"/>
  <c r="F18" i="72"/>
  <c r="F20" i="72"/>
  <c r="H1" i="65"/>
  <c r="B22" i="1"/>
  <c r="C2" i="65"/>
  <c r="I6" i="65"/>
  <c r="I1" i="65"/>
  <c r="F23" i="72"/>
  <c r="D23" i="72"/>
  <c r="F21" i="72"/>
  <c r="C42" i="1"/>
  <c r="G19" i="4"/>
  <c r="F8" i="1"/>
  <c r="M47" i="72"/>
  <c r="J50" i="72"/>
  <c r="J51" i="72"/>
  <c r="G1" i="15"/>
  <c r="E19" i="4"/>
  <c r="F7" i="1"/>
  <c r="M47" i="15"/>
  <c r="J50" i="15"/>
  <c r="J51" i="15"/>
  <c r="D8" i="1"/>
  <c r="K59" i="72"/>
  <c r="P75" i="72"/>
  <c r="Q73" i="72"/>
  <c r="D60" i="72"/>
  <c r="F60" i="72"/>
  <c r="P62" i="72"/>
  <c r="Q60" i="72"/>
  <c r="Q59" i="72"/>
  <c r="F58" i="72"/>
  <c r="Q52" i="72"/>
  <c r="L46" i="72"/>
  <c r="F31" i="72"/>
  <c r="AG8" i="1"/>
  <c r="M20" i="72"/>
  <c r="D24" i="72"/>
  <c r="D22" i="72"/>
  <c r="M19" i="72"/>
  <c r="M17" i="72"/>
  <c r="F33" i="15"/>
  <c r="L20" i="6"/>
  <c r="F34" i="15"/>
  <c r="F15" i="15"/>
  <c r="F17" i="15"/>
  <c r="F18" i="15"/>
  <c r="F20" i="15"/>
  <c r="F23" i="15"/>
  <c r="F21" i="15"/>
  <c r="L3" i="59"/>
  <c r="K3" i="59"/>
  <c r="J3" i="59"/>
  <c r="I3" i="59"/>
  <c r="AH5" i="59"/>
  <c r="AG5" i="59"/>
  <c r="AE5" i="59"/>
  <c r="AF5" i="59"/>
  <c r="AD5" i="59"/>
  <c r="Q5" i="59"/>
  <c r="Q6" i="59"/>
  <c r="Q7" i="59"/>
  <c r="Q8" i="59"/>
  <c r="Q9" i="59"/>
  <c r="Q10" i="59"/>
  <c r="Q11" i="59"/>
  <c r="Q12" i="59"/>
  <c r="Q13" i="59"/>
  <c r="Q14" i="59"/>
  <c r="Q15" i="59"/>
  <c r="Q16" i="59"/>
  <c r="Q17" i="59"/>
  <c r="Q18" i="59"/>
  <c r="Q19" i="59"/>
  <c r="Q20" i="59"/>
  <c r="Q21" i="59"/>
  <c r="Q22" i="59"/>
  <c r="Q23" i="59"/>
  <c r="AB5" i="59"/>
  <c r="P5" i="59"/>
  <c r="P6" i="59"/>
  <c r="AA6" i="59"/>
  <c r="P7" i="59"/>
  <c r="P8" i="59"/>
  <c r="P9" i="59"/>
  <c r="P10" i="59"/>
  <c r="P11" i="59"/>
  <c r="P12" i="59"/>
  <c r="E12" i="59"/>
  <c r="P13" i="59"/>
  <c r="P14" i="59"/>
  <c r="P15" i="59"/>
  <c r="P16" i="59"/>
  <c r="P17" i="59"/>
  <c r="P18" i="59"/>
  <c r="P19" i="59"/>
  <c r="P20" i="59"/>
  <c r="P21" i="59"/>
  <c r="P22" i="59"/>
  <c r="P23" i="59"/>
  <c r="AA5" i="59"/>
  <c r="O5" i="59"/>
  <c r="O6" i="59"/>
  <c r="O7" i="59"/>
  <c r="O8" i="59"/>
  <c r="O9" i="59"/>
  <c r="O10" i="59"/>
  <c r="O11" i="59"/>
  <c r="O12" i="59"/>
  <c r="C12" i="59"/>
  <c r="O13" i="59"/>
  <c r="O14" i="59"/>
  <c r="O15" i="59"/>
  <c r="O16" i="59"/>
  <c r="O17" i="59"/>
  <c r="O18" i="59"/>
  <c r="O19" i="59"/>
  <c r="O20" i="59"/>
  <c r="O21" i="59"/>
  <c r="O22" i="59"/>
  <c r="O23" i="59"/>
  <c r="Y5" i="59"/>
  <c r="Z5" i="59"/>
  <c r="N5" i="59"/>
  <c r="X5" i="59"/>
  <c r="N6" i="59"/>
  <c r="N7" i="59"/>
  <c r="N8" i="59"/>
  <c r="N9" i="59"/>
  <c r="N10" i="59"/>
  <c r="N11" i="59"/>
  <c r="N12" i="59"/>
  <c r="N13" i="59"/>
  <c r="N14" i="59"/>
  <c r="N15" i="59"/>
  <c r="N16" i="59"/>
  <c r="N17" i="59"/>
  <c r="N18" i="59"/>
  <c r="N19" i="59"/>
  <c r="N20" i="59"/>
  <c r="N21" i="59"/>
  <c r="N22" i="59"/>
  <c r="N23" i="59"/>
  <c r="F8" i="59"/>
  <c r="F7" i="59"/>
  <c r="F6" i="59"/>
  <c r="F5" i="59"/>
  <c r="E8" i="59"/>
  <c r="E7" i="59"/>
  <c r="E6" i="59"/>
  <c r="E5" i="59"/>
  <c r="C8" i="59"/>
  <c r="C7" i="59"/>
  <c r="B8" i="59"/>
  <c r="B7" i="59"/>
  <c r="B6" i="59"/>
  <c r="B5" i="59"/>
  <c r="AH6" i="59"/>
  <c r="AG6" i="59"/>
  <c r="AE6" i="59"/>
  <c r="AF6" i="59"/>
  <c r="AD6" i="59"/>
  <c r="AB6" i="59"/>
  <c r="Y6" i="59"/>
  <c r="Z6" i="59"/>
  <c r="X6" i="59"/>
  <c r="G19" i="46"/>
  <c r="D8" i="59"/>
  <c r="D9" i="59"/>
  <c r="B12" i="59"/>
  <c r="B11" i="59"/>
  <c r="B10" i="59"/>
  <c r="F12" i="59"/>
  <c r="F11" i="59"/>
  <c r="F10" i="59"/>
  <c r="D13" i="59"/>
  <c r="B14" i="59"/>
  <c r="B15" i="59"/>
  <c r="B16" i="59"/>
  <c r="S16" i="59"/>
  <c r="C14" i="59"/>
  <c r="D14" i="59"/>
  <c r="E14" i="59"/>
  <c r="F14" i="59"/>
  <c r="F15" i="59"/>
  <c r="F16" i="59"/>
  <c r="V16" i="59"/>
  <c r="C15" i="59"/>
  <c r="D15" i="59"/>
  <c r="E15" i="59"/>
  <c r="E16" i="59"/>
  <c r="U16" i="59"/>
  <c r="D17" i="59"/>
  <c r="B18" i="59"/>
  <c r="B19" i="59"/>
  <c r="B20" i="59"/>
  <c r="S20" i="59"/>
  <c r="C18" i="59"/>
  <c r="D18" i="59"/>
  <c r="E18" i="59"/>
  <c r="F18" i="59"/>
  <c r="F19" i="59"/>
  <c r="F20" i="59"/>
  <c r="V20" i="59"/>
  <c r="C19" i="59"/>
  <c r="D19" i="59"/>
  <c r="E19" i="59"/>
  <c r="E20" i="59"/>
  <c r="U20" i="59"/>
  <c r="D21" i="59"/>
  <c r="B22" i="59"/>
  <c r="B23" i="59"/>
  <c r="B24" i="59"/>
  <c r="S24" i="59"/>
  <c r="C22" i="59"/>
  <c r="D22" i="59"/>
  <c r="E22" i="59"/>
  <c r="F22" i="59"/>
  <c r="F23" i="59"/>
  <c r="F24" i="59"/>
  <c r="V24" i="59"/>
  <c r="C23" i="59"/>
  <c r="D23" i="59"/>
  <c r="E23" i="59"/>
  <c r="E24" i="59"/>
  <c r="U24" i="59"/>
  <c r="M19" i="46"/>
  <c r="G2" i="46"/>
  <c r="C6" i="46"/>
  <c r="G17" i="46"/>
  <c r="I17" i="46"/>
  <c r="C17" i="46"/>
  <c r="G20" i="46"/>
  <c r="J20" i="46"/>
  <c r="I20" i="46"/>
  <c r="C20" i="46"/>
  <c r="C24" i="46"/>
  <c r="F39" i="46"/>
  <c r="F37" i="46"/>
  <c r="D5" i="46"/>
  <c r="F36" i="46"/>
  <c r="F34" i="46"/>
  <c r="D19" i="4"/>
  <c r="F6" i="1"/>
  <c r="G1" i="44"/>
  <c r="M48" i="44"/>
  <c r="J51" i="44"/>
  <c r="J52" i="44"/>
  <c r="C18" i="46"/>
  <c r="AD5" i="3"/>
  <c r="AH5" i="3"/>
  <c r="AL5" i="3"/>
  <c r="AP5" i="3"/>
  <c r="I5" i="3"/>
  <c r="K5" i="3"/>
  <c r="I4" i="6"/>
  <c r="G3" i="46"/>
  <c r="F33" i="46"/>
  <c r="C10" i="46"/>
  <c r="C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E80" i="46"/>
  <c r="D82" i="46"/>
  <c r="D83" i="46"/>
  <c r="D84" i="46"/>
  <c r="D85" i="46"/>
  <c r="D86" i="46"/>
  <c r="D87" i="46"/>
  <c r="E99" i="46"/>
  <c r="E100" i="46"/>
  <c r="F15" i="46"/>
  <c r="F47" i="46"/>
  <c r="F58" i="46"/>
  <c r="F69" i="46"/>
  <c r="F80" i="46"/>
  <c r="F99" i="46"/>
  <c r="F100" i="46"/>
  <c r="F113" i="46"/>
  <c r="H33" i="46"/>
  <c r="D1" i="46"/>
  <c r="C9" i="46"/>
  <c r="C15" i="46"/>
  <c r="D15" i="46"/>
  <c r="C12" i="46"/>
  <c r="C99" i="46"/>
  <c r="C100" i="46"/>
  <c r="C108" i="46"/>
  <c r="D99" i="46"/>
  <c r="D100" i="46"/>
  <c r="D108" i="46"/>
  <c r="H113" i="46"/>
  <c r="AH7" i="59"/>
  <c r="AG7" i="59"/>
  <c r="AE7" i="59"/>
  <c r="AF7" i="59"/>
  <c r="AD7" i="59"/>
  <c r="AE8" i="59"/>
  <c r="AF8" i="59"/>
  <c r="AG8" i="59"/>
  <c r="AH8" i="59"/>
  <c r="AD8" i="59"/>
  <c r="AB7" i="59"/>
  <c r="AA7" i="59"/>
  <c r="Y7" i="59"/>
  <c r="Z7" i="59"/>
  <c r="X7" i="59"/>
  <c r="L4" i="9"/>
  <c r="M4" i="9"/>
  <c r="A30" i="64"/>
  <c r="A30" i="51"/>
  <c r="K59" i="15"/>
  <c r="P62" i="15"/>
  <c r="P75" i="15"/>
  <c r="Q74" i="44"/>
  <c r="Q61" i="44"/>
  <c r="Q60" i="44"/>
  <c r="Q53" i="44"/>
  <c r="A16" i="55"/>
  <c r="A15" i="55"/>
  <c r="C43" i="9"/>
  <c r="K47" i="9"/>
  <c r="A14" i="55"/>
  <c r="L26" i="4"/>
  <c r="L24" i="4"/>
  <c r="L25" i="4"/>
  <c r="A11" i="55"/>
  <c r="A10" i="55"/>
  <c r="A9" i="55"/>
  <c r="B60" i="63"/>
  <c r="A8" i="55"/>
  <c r="A6" i="54"/>
  <c r="B49" i="63"/>
  <c r="A8" i="54"/>
  <c r="A7" i="54"/>
  <c r="C57" i="10"/>
  <c r="A28" i="51"/>
  <c r="B21" i="63"/>
  <c r="A27" i="51"/>
  <c r="AB8" i="59"/>
  <c r="Y8" i="59"/>
  <c r="Z8" i="59"/>
  <c r="X8" i="59"/>
  <c r="AA8" i="59"/>
  <c r="K75" i="9"/>
  <c r="K6" i="4"/>
  <c r="O76" i="9"/>
  <c r="L76" i="9"/>
  <c r="B22" i="31"/>
  <c r="E15" i="66"/>
  <c r="F15" i="66"/>
  <c r="E16" i="66"/>
  <c r="F16" i="66"/>
  <c r="E17" i="66"/>
  <c r="F17" i="66"/>
  <c r="E18" i="66"/>
  <c r="F18" i="66"/>
  <c r="E19" i="66"/>
  <c r="F19" i="66"/>
  <c r="E20" i="66"/>
  <c r="F20" i="66"/>
  <c r="E21" i="66"/>
  <c r="F21" i="66"/>
  <c r="E22" i="66"/>
  <c r="F22" i="66"/>
  <c r="E23" i="66"/>
  <c r="F23" i="66"/>
  <c r="B3" i="66"/>
  <c r="V12" i="59"/>
  <c r="S12" i="59"/>
  <c r="V8" i="59"/>
  <c r="U8" i="59"/>
  <c r="S8"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Z22" i="59"/>
  <c r="X22" i="59"/>
  <c r="S2" i="31"/>
  <c r="M2" i="31"/>
  <c r="N2" i="31"/>
  <c r="O2" i="31"/>
  <c r="P2" i="31"/>
  <c r="Q2" i="31"/>
  <c r="R2" i="31"/>
  <c r="C3" i="65"/>
  <c r="T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K40" i="9"/>
  <c r="A44" i="9"/>
  <c r="C56" i="10"/>
  <c r="C55" i="10"/>
  <c r="C54" i="10"/>
  <c r="A26" i="51"/>
  <c r="B19" i="63"/>
  <c r="B44" i="63"/>
  <c r="B40" i="63"/>
  <c r="B30" i="63"/>
  <c r="B27" i="63"/>
  <c r="B25" i="63"/>
  <c r="A11" i="51"/>
  <c r="A26" i="64"/>
  <c r="K39" i="9"/>
  <c r="B58" i="63"/>
  <c r="B53" i="63"/>
  <c r="B51" i="63"/>
  <c r="A46" i="9"/>
  <c r="K41" i="9"/>
  <c r="B8" i="63"/>
  <c r="A21" i="55"/>
  <c r="B71" i="63"/>
  <c r="A20" i="55"/>
  <c r="B69" i="63"/>
  <c r="B26" i="63"/>
  <c r="B28" i="63"/>
  <c r="B29" i="63"/>
  <c r="B31" i="63"/>
  <c r="B33" i="63"/>
  <c r="B35" i="63"/>
  <c r="B36" i="63"/>
  <c r="B37" i="63"/>
  <c r="B63" i="63"/>
  <c r="B64" i="63"/>
  <c r="B68" i="63"/>
  <c r="D51" i="10"/>
  <c r="B61" i="63"/>
  <c r="B59" i="63"/>
  <c r="B10" i="63"/>
  <c r="B51" i="10"/>
  <c r="B20" i="63"/>
  <c r="B17" i="63"/>
  <c r="A15" i="51"/>
  <c r="B12" i="63"/>
  <c r="A14" i="51"/>
  <c r="B11" i="63"/>
  <c r="B66" i="63"/>
  <c r="A4" i="55"/>
  <c r="B57" i="63"/>
  <c r="B41" i="63"/>
  <c r="G5" i="54"/>
  <c r="B34" i="63"/>
  <c r="E5" i="54"/>
  <c r="B32" i="63"/>
  <c r="R2" i="54"/>
  <c r="B24" i="63"/>
  <c r="B49" i="50"/>
  <c r="B5" i="63"/>
  <c r="B40" i="50"/>
  <c r="B3" i="63"/>
  <c r="N4" i="63"/>
  <c r="B67" i="63"/>
  <c r="I19" i="46"/>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C52" i="59"/>
  <c r="B52" i="59"/>
  <c r="N52" i="59"/>
  <c r="F51" i="59"/>
  <c r="F50" i="59"/>
  <c r="D49" i="59"/>
  <c r="Q48" i="59"/>
  <c r="P48" i="59"/>
  <c r="O48" i="59"/>
  <c r="N48" i="59"/>
  <c r="Q47" i="59"/>
  <c r="P47" i="59"/>
  <c r="O47" i="59"/>
  <c r="N47" i="59"/>
  <c r="Q46" i="59"/>
  <c r="P46" i="59"/>
  <c r="O46" i="59"/>
  <c r="N46" i="59"/>
  <c r="Q45" i="59"/>
  <c r="F46" i="59"/>
  <c r="F47" i="59"/>
  <c r="F48" i="59"/>
  <c r="V48" i="59"/>
  <c r="P45" i="59"/>
  <c r="E46" i="59"/>
  <c r="E47" i="59"/>
  <c r="E48" i="59"/>
  <c r="U48" i="59"/>
  <c r="O45" i="59"/>
  <c r="C46" i="59"/>
  <c r="D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E39" i="59"/>
  <c r="E40" i="59"/>
  <c r="U40" i="59"/>
  <c r="O37" i="59"/>
  <c r="C38" i="59"/>
  <c r="D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E35" i="59"/>
  <c r="E36" i="59"/>
  <c r="U36" i="59"/>
  <c r="O33" i="59"/>
  <c r="C34" i="59"/>
  <c r="N33" i="59"/>
  <c r="B34" i="59"/>
  <c r="B35" i="59"/>
  <c r="B36" i="59"/>
  <c r="S36" i="59"/>
  <c r="D33" i="59"/>
  <c r="T32" i="59"/>
  <c r="Q32" i="59"/>
  <c r="P32" i="59"/>
  <c r="O32" i="59"/>
  <c r="N32" i="59"/>
  <c r="D32" i="59"/>
  <c r="Q31" i="59"/>
  <c r="P31" i="59"/>
  <c r="O31" i="59"/>
  <c r="N31" i="59"/>
  <c r="Q30" i="59"/>
  <c r="P30" i="59"/>
  <c r="O30" i="59"/>
  <c r="N30" i="59"/>
  <c r="Q29" i="59"/>
  <c r="F30" i="59"/>
  <c r="F31" i="59"/>
  <c r="F32" i="59"/>
  <c r="V32"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F27" i="59"/>
  <c r="F28" i="59"/>
  <c r="V28" i="59"/>
  <c r="P25" i="59"/>
  <c r="E26" i="59"/>
  <c r="E27" i="59"/>
  <c r="E28" i="59"/>
  <c r="U28" i="59"/>
  <c r="O25" i="59"/>
  <c r="C26" i="59"/>
  <c r="C27" i="59"/>
  <c r="N25" i="59"/>
  <c r="B26" i="59"/>
  <c r="B27" i="59"/>
  <c r="B28" i="59"/>
  <c r="S28" i="59"/>
  <c r="D25" i="59"/>
  <c r="Q24" i="59"/>
  <c r="P24" i="59"/>
  <c r="O24" i="59"/>
  <c r="N24" i="59"/>
  <c r="AB23" i="59"/>
  <c r="Y23" i="59"/>
  <c r="Z23" i="59"/>
  <c r="X2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S52" i="59"/>
  <c r="AA23" i="59"/>
  <c r="D26" i="59"/>
  <c r="C39" i="59"/>
  <c r="C40" i="59"/>
  <c r="C47" i="59"/>
  <c r="C48" i="59"/>
  <c r="T52" i="59"/>
  <c r="O52" i="59"/>
  <c r="D52" i="59"/>
  <c r="C51" i="59"/>
  <c r="P52" i="59"/>
  <c r="Q52" i="59"/>
  <c r="C55" i="59"/>
  <c r="E55" i="59"/>
  <c r="E54" i="59"/>
  <c r="D56" i="59"/>
  <c r="E59" i="59"/>
  <c r="E58" i="59"/>
  <c r="D60" i="59"/>
  <c r="C63" i="59"/>
  <c r="E63" i="59"/>
  <c r="E62" i="59"/>
  <c r="D64" i="59"/>
  <c r="C67" i="59"/>
  <c r="C71" i="59"/>
  <c r="D71" i="59"/>
  <c r="U16" i="4"/>
  <c r="S16" i="4"/>
  <c r="Q16" i="4"/>
  <c r="O16" i="4"/>
  <c r="N16" i="4"/>
  <c r="M16" i="4"/>
  <c r="K16" i="4"/>
  <c r="C70" i="59"/>
  <c r="D70" i="59"/>
  <c r="D63" i="59"/>
  <c r="C62" i="59"/>
  <c r="D62" i="59"/>
  <c r="D55" i="59"/>
  <c r="C54" i="59"/>
  <c r="D54" i="59"/>
  <c r="C50" i="59"/>
  <c r="D50" i="59"/>
  <c r="O51" i="59"/>
  <c r="D51" i="59"/>
  <c r="D67" i="59"/>
  <c r="C66" i="59"/>
  <c r="D66" i="59"/>
  <c r="D47" i="59"/>
  <c r="D39" i="59"/>
  <c r="L16" i="4"/>
  <c r="O50" i="59"/>
  <c r="O49" i="59"/>
  <c r="O27" i="6"/>
  <c r="N27" i="6"/>
  <c r="P26" i="6"/>
  <c r="L26" i="6"/>
  <c r="P25" i="6"/>
  <c r="L25" i="6"/>
  <c r="P24" i="6"/>
  <c r="L24" i="6"/>
  <c r="P23" i="6"/>
  <c r="L23" i="6"/>
  <c r="P22" i="6"/>
  <c r="L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E84" i="34"/>
  <c r="F21" i="34"/>
  <c r="AA21" i="34"/>
  <c r="Q21" i="33"/>
  <c r="Z21" i="33"/>
  <c r="C21" i="33"/>
  <c r="D83" i="33"/>
  <c r="E83" i="33"/>
  <c r="F83" i="33"/>
  <c r="G83" i="33"/>
  <c r="Q21" i="21"/>
  <c r="Z21" i="21"/>
  <c r="D83" i="21"/>
  <c r="E83" i="21"/>
  <c r="F83" i="21"/>
  <c r="C21" i="21"/>
  <c r="Q27" i="40"/>
  <c r="Z27" i="40"/>
  <c r="D96" i="40"/>
  <c r="E96" i="40"/>
  <c r="F96" i="40"/>
  <c r="F27" i="40"/>
  <c r="AA27" i="40"/>
  <c r="Q31" i="39"/>
  <c r="Z31" i="39"/>
  <c r="D105" i="39"/>
  <c r="E105" i="39"/>
  <c r="F105" i="39"/>
  <c r="F31" i="39"/>
  <c r="AA31" i="39"/>
  <c r="G20" i="20"/>
  <c r="B85" i="46"/>
  <c r="C22" i="20"/>
  <c r="B65" i="46"/>
  <c r="S18" i="36"/>
  <c r="S18" i="35"/>
  <c r="S21" i="34"/>
  <c r="S27" i="40"/>
  <c r="S31" i="39"/>
  <c r="C27" i="40"/>
  <c r="C31" i="39"/>
  <c r="B54" i="46"/>
  <c r="B74" i="46"/>
  <c r="E66" i="36"/>
  <c r="H18" i="35"/>
  <c r="J18" i="35"/>
  <c r="H21" i="37"/>
  <c r="J21" i="37"/>
  <c r="F84" i="34"/>
  <c r="G84" i="34"/>
  <c r="J21" i="34"/>
  <c r="H21" i="34"/>
  <c r="F21" i="33"/>
  <c r="H21" i="33"/>
  <c r="J21" i="33"/>
  <c r="G83" i="21"/>
  <c r="H27" i="40"/>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J51" i="46"/>
  <c r="M50" i="46"/>
  <c r="N50" i="46"/>
  <c r="M49" i="46"/>
  <c r="N49" i="46"/>
  <c r="K49" i="46"/>
  <c r="J49" i="46"/>
  <c r="M48" i="46"/>
  <c r="N48" i="46"/>
  <c r="K48" i="46"/>
  <c r="J48" i="46"/>
  <c r="M47" i="46"/>
  <c r="N47" i="46"/>
  <c r="K47" i="46"/>
  <c r="J47" i="46"/>
  <c r="J55" i="46"/>
  <c r="N86" i="46"/>
  <c r="N73" i="46"/>
  <c r="J66" i="46"/>
  <c r="J50" i="46"/>
  <c r="J54" i="46"/>
  <c r="Q73" i="15"/>
  <c r="Q60" i="15"/>
  <c r="Q59" i="15"/>
  <c r="Q52" i="15"/>
  <c r="AE9" i="1"/>
  <c r="AE10" i="1"/>
  <c r="AE11" i="1"/>
  <c r="AE12" i="1"/>
  <c r="AE13" i="1"/>
  <c r="AG7"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9" i="1"/>
  <c r="F10" i="1"/>
  <c r="AP10" i="1"/>
  <c r="D10" i="1"/>
  <c r="R12" i="1"/>
  <c r="B13" i="1"/>
  <c r="E13" i="1"/>
  <c r="R10" i="1"/>
  <c r="K12" i="1"/>
  <c r="M12" i="1"/>
  <c r="P12" i="1"/>
  <c r="K13" i="1"/>
  <c r="M13" i="1"/>
  <c r="P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O7" i="1"/>
  <c r="P7" i="1"/>
  <c r="K6" i="1"/>
  <c r="M6" i="1"/>
  <c r="O6" i="1"/>
  <c r="O8" i="1"/>
  <c r="P8" i="1"/>
  <c r="K9" i="1"/>
  <c r="M9" i="1"/>
  <c r="K10" i="1"/>
  <c r="M10" i="1"/>
  <c r="K11" i="1"/>
  <c r="M11" i="1"/>
  <c r="O12" i="1"/>
  <c r="O13" i="1"/>
  <c r="F14" i="12"/>
  <c r="F15" i="12"/>
  <c r="E16" i="12"/>
  <c r="F17" i="12"/>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F9" i="1"/>
  <c r="F19" i="4"/>
  <c r="B2" i="52"/>
  <c r="E22" i="52"/>
  <c r="I2" i="46"/>
  <c r="N12" i="46"/>
  <c r="A7" i="46"/>
  <c r="F41" i="4"/>
  <c r="J52" i="40"/>
  <c r="H61" i="49"/>
  <c r="H39" i="46"/>
  <c r="H38" i="46"/>
  <c r="H37" i="46"/>
  <c r="H36" i="46"/>
  <c r="H35" i="46"/>
  <c r="H34" i="46"/>
  <c r="E32" i="6"/>
  <c r="D38" i="4"/>
  <c r="C39" i="4"/>
  <c r="C35" i="4"/>
  <c r="E19" i="12"/>
  <c r="E21" i="12"/>
  <c r="E22" i="12"/>
  <c r="F23" i="12"/>
  <c r="F24"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E101" i="37"/>
  <c r="F34" i="37"/>
  <c r="D99" i="37"/>
  <c r="E99" i="37"/>
  <c r="H42" i="34"/>
  <c r="AB42" i="34"/>
  <c r="J42" i="34"/>
  <c r="F42" i="34"/>
  <c r="S42" i="34"/>
  <c r="J38" i="34"/>
  <c r="D114" i="34"/>
  <c r="E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F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H40"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F28"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H13"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J35" i="35"/>
  <c r="B97" i="35"/>
  <c r="B77" i="35"/>
  <c r="J25" i="35"/>
  <c r="B75" i="35"/>
  <c r="J24" i="35"/>
  <c r="AC24" i="35"/>
  <c r="B73" i="35"/>
  <c r="J23" i="35"/>
  <c r="B57" i="35"/>
  <c r="B61" i="35"/>
  <c r="F13" i="35"/>
  <c r="B59" i="35"/>
  <c r="H12" i="35"/>
  <c r="B131" i="34"/>
  <c r="B129" i="34"/>
  <c r="B127" i="34"/>
  <c r="B99" i="34"/>
  <c r="B97" i="34"/>
  <c r="B95" i="34"/>
  <c r="B93" i="34"/>
  <c r="B75" i="34"/>
  <c r="B73" i="34"/>
  <c r="B71" i="34"/>
  <c r="B130" i="33"/>
  <c r="B128" i="33"/>
  <c r="H45" i="33"/>
  <c r="B126" i="33"/>
  <c r="B98" i="33"/>
  <c r="F31"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W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E58" i="33"/>
  <c r="F58" i="33"/>
  <c r="G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C17" i="20"/>
  <c r="B58" i="46"/>
  <c r="C16" i="20"/>
  <c r="B47" i="46"/>
  <c r="C15" i="20"/>
  <c r="B69" i="46"/>
  <c r="E54" i="21"/>
  <c r="F54" i="21"/>
  <c r="I54" i="21"/>
  <c r="J54" i="21"/>
  <c r="G54" i="21"/>
  <c r="H54" i="21"/>
  <c r="D125" i="21"/>
  <c r="E125" i="21"/>
  <c r="G123" i="21"/>
  <c r="H123" i="21"/>
  <c r="I123" i="21"/>
  <c r="J123" i="21"/>
  <c r="K123" i="21"/>
  <c r="L123" i="21"/>
  <c r="M123" i="21"/>
  <c r="D119"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F66" i="21"/>
  <c r="G66" i="21"/>
  <c r="H66" i="21"/>
  <c r="I66" i="21"/>
  <c r="D111" i="21"/>
  <c r="E111" i="21"/>
  <c r="F111" i="21"/>
  <c r="C111" i="21"/>
  <c r="E79" i="21"/>
  <c r="F79" i="21"/>
  <c r="G79" i="21"/>
  <c r="E81" i="21"/>
  <c r="F19"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Q40" i="21"/>
  <c r="Z40" i="21"/>
  <c r="Q41" i="21"/>
  <c r="Z41" i="21"/>
  <c r="Q42" i="21"/>
  <c r="Z42" i="21"/>
  <c r="Q43" i="21"/>
  <c r="Z43" i="21"/>
  <c r="Q44" i="21"/>
  <c r="Z44" i="21"/>
  <c r="Q45" i="21"/>
  <c r="Z45" i="21"/>
  <c r="Q46" i="21"/>
  <c r="Z46" i="21"/>
  <c r="P47" i="21"/>
  <c r="P48" i="21"/>
  <c r="P49" i="21"/>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U34" i="21"/>
  <c r="S43" i="21"/>
  <c r="S36" i="21"/>
  <c r="W40" i="21"/>
  <c r="U10" i="21"/>
  <c r="W34" i="21"/>
  <c r="U36" i="21"/>
  <c r="W33" i="21"/>
  <c r="U33" i="21"/>
  <c r="U12" i="21"/>
  <c r="W26" i="21"/>
  <c r="S41" i="21"/>
  <c r="W41" i="21"/>
  <c r="S10" i="39"/>
  <c r="E103" i="37"/>
  <c r="F103" i="37"/>
  <c r="F39" i="37"/>
  <c r="S39" i="37"/>
  <c r="W39" i="37"/>
  <c r="F29" i="36"/>
  <c r="AA29" i="36"/>
  <c r="F16" i="36"/>
  <c r="AA16" i="36"/>
  <c r="U22" i="36"/>
  <c r="W23" i="36"/>
  <c r="W22" i="36"/>
  <c r="U26" i="36"/>
  <c r="J33" i="36"/>
  <c r="AC27" i="35"/>
  <c r="S34" i="35"/>
  <c r="W24" i="35"/>
  <c r="S31" i="35"/>
  <c r="W31" i="35"/>
  <c r="F36" i="34"/>
  <c r="S36" i="34"/>
  <c r="W9" i="34"/>
  <c r="S34" i="34"/>
  <c r="W39" i="34"/>
  <c r="H39" i="33"/>
  <c r="AB39" i="33"/>
  <c r="U33" i="33"/>
  <c r="W38" i="33"/>
  <c r="S40" i="33"/>
  <c r="S33" i="33"/>
  <c r="W33" i="33"/>
  <c r="U38" i="33"/>
  <c r="S8" i="21"/>
  <c r="W8" i="21"/>
  <c r="H39" i="37"/>
  <c r="AB39" i="37"/>
  <c r="AB27" i="35"/>
  <c r="S10" i="40"/>
  <c r="W10" i="40"/>
  <c r="S11" i="40"/>
  <c r="U11" i="40"/>
  <c r="S36" i="40"/>
  <c r="U36" i="40"/>
  <c r="S40" i="39"/>
  <c r="S36" i="39"/>
  <c r="U36" i="39"/>
  <c r="S42" i="39"/>
  <c r="H32" i="33"/>
  <c r="AB32" i="33"/>
  <c r="F100" i="40"/>
  <c r="AA12" i="33"/>
  <c r="U9" i="21"/>
  <c r="J27" i="36"/>
  <c r="W27" i="36"/>
  <c r="J34" i="36"/>
  <c r="W34" i="36"/>
  <c r="J30" i="35"/>
  <c r="W30" i="35"/>
  <c r="F22" i="35"/>
  <c r="H10" i="35"/>
  <c r="U10" i="35"/>
  <c r="AC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F101" i="37"/>
  <c r="G101" i="37"/>
  <c r="H101" i="37"/>
  <c r="I101" i="37"/>
  <c r="J101" i="37"/>
  <c r="K101" i="37"/>
  <c r="L101" i="37"/>
  <c r="M101" i="37"/>
  <c r="J34" i="37"/>
  <c r="W34" i="37"/>
  <c r="H43" i="34"/>
  <c r="U42" i="34"/>
  <c r="H36" i="34"/>
  <c r="U36" i="34"/>
  <c r="F37" i="34"/>
  <c r="F33" i="34"/>
  <c r="S33" i="34"/>
  <c r="AA28" i="34"/>
  <c r="F19" i="34"/>
  <c r="AA19" i="34"/>
  <c r="J10" i="34"/>
  <c r="AC10" i="34"/>
  <c r="W8" i="34"/>
  <c r="S38" i="33"/>
  <c r="E113" i="33"/>
  <c r="F36" i="33"/>
  <c r="S36" i="33"/>
  <c r="F19" i="33"/>
  <c r="S19" i="33"/>
  <c r="J19" i="33"/>
  <c r="W40" i="33"/>
  <c r="F125" i="21"/>
  <c r="G125" i="21"/>
  <c r="G86" i="40"/>
  <c r="AB30" i="36"/>
  <c r="AC34" i="36"/>
  <c r="H29" i="35"/>
  <c r="S34" i="37"/>
  <c r="AA34" i="37"/>
  <c r="AC43" i="34"/>
  <c r="AB40" i="34"/>
  <c r="W36" i="34"/>
  <c r="J19" i="34"/>
  <c r="AC19" i="34"/>
  <c r="F113" i="33"/>
  <c r="G113" i="33"/>
  <c r="H113" i="33"/>
  <c r="I113" i="33"/>
  <c r="J113" i="33"/>
  <c r="K113" i="33"/>
  <c r="L113" i="33"/>
  <c r="M113" i="33"/>
  <c r="H37" i="33"/>
  <c r="AB37" i="33"/>
  <c r="S37" i="33"/>
  <c r="AC42" i="34"/>
  <c r="W42" i="34"/>
  <c r="AA42" i="34"/>
  <c r="AC38" i="34"/>
  <c r="W38" i="34"/>
  <c r="AA38" i="34"/>
  <c r="S38" i="34"/>
  <c r="J37" i="33"/>
  <c r="J44" i="34"/>
  <c r="AC44" i="34"/>
  <c r="F44" i="34"/>
  <c r="S44" i="34"/>
  <c r="J10" i="35"/>
  <c r="W10" i="35"/>
  <c r="U14" i="21"/>
  <c r="U30" i="21"/>
  <c r="S30" i="21"/>
  <c r="W46" i="21"/>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S13" i="33"/>
  <c r="W29" i="33"/>
  <c r="J45" i="33"/>
  <c r="F45" i="33"/>
  <c r="F11" i="35"/>
  <c r="S11" i="35"/>
  <c r="H28" i="36"/>
  <c r="U28" i="36"/>
  <c r="H32" i="36"/>
  <c r="AB32" i="36"/>
  <c r="J32" i="36"/>
  <c r="J11" i="36"/>
  <c r="W11" i="36"/>
  <c r="AB13" i="36"/>
  <c r="E89" i="37"/>
  <c r="F89" i="37"/>
  <c r="G89" i="37"/>
  <c r="H89" i="37"/>
  <c r="I89" i="37"/>
  <c r="J89" i="37"/>
  <c r="K89" i="37"/>
  <c r="L89" i="37"/>
  <c r="M89" i="37"/>
  <c r="J29" i="37"/>
  <c r="F29" i="37"/>
  <c r="AA29" i="37"/>
  <c r="F105" i="37"/>
  <c r="G105" i="37"/>
  <c r="AB36" i="37"/>
  <c r="F107" i="37"/>
  <c r="J37" i="37"/>
  <c r="AC37" i="37"/>
  <c r="H37" i="37"/>
  <c r="U37" i="37"/>
  <c r="U40" i="37"/>
  <c r="F40" i="37"/>
  <c r="AA40" i="37"/>
  <c r="H14" i="33"/>
  <c r="U14" i="33"/>
  <c r="F14" i="33"/>
  <c r="AA14" i="33"/>
  <c r="J14" i="33"/>
  <c r="AC14" i="33"/>
  <c r="H30" i="33"/>
  <c r="F30" i="33"/>
  <c r="J30" i="33"/>
  <c r="AC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AC25" i="35"/>
  <c r="AC35" i="35"/>
  <c r="J25" i="36"/>
  <c r="W25" i="36"/>
  <c r="F25" i="36"/>
  <c r="AA25" i="36"/>
  <c r="H25" i="36"/>
  <c r="AB25" i="36"/>
  <c r="H13" i="37"/>
  <c r="AB13" i="37"/>
  <c r="F13" i="37"/>
  <c r="S13" i="37"/>
  <c r="J13" i="37"/>
  <c r="AC13" i="37"/>
  <c r="AA28" i="37"/>
  <c r="H38" i="37"/>
  <c r="AB38" i="37"/>
  <c r="J38" i="37"/>
  <c r="AC38" i="37"/>
  <c r="F38" i="37"/>
  <c r="S38" i="37"/>
  <c r="F27" i="37"/>
  <c r="AA27" i="37"/>
  <c r="J27" i="37"/>
  <c r="W27" i="37"/>
  <c r="AA38" i="37"/>
  <c r="W35" i="35"/>
  <c r="W46" i="33"/>
  <c r="AB40" i="37"/>
  <c r="J36" i="37"/>
  <c r="AC36" i="37"/>
  <c r="AB28" i="36"/>
  <c r="S46" i="21"/>
  <c r="W30" i="21"/>
  <c r="S28" i="21"/>
  <c r="W14" i="21"/>
  <c r="W31" i="34"/>
  <c r="S46" i="33"/>
  <c r="U36" i="37"/>
  <c r="AA27" i="33"/>
  <c r="AB27" i="33"/>
  <c r="S45" i="21"/>
  <c r="AC28" i="33"/>
  <c r="U28" i="21"/>
  <c r="S505" i="31"/>
  <c r="S503" i="31"/>
  <c r="S501" i="31"/>
  <c r="S499" i="31"/>
  <c r="O27" i="31"/>
  <c r="O28" i="31"/>
  <c r="O26" i="31"/>
  <c r="M27" i="31"/>
  <c r="M28" i="31"/>
  <c r="M26" i="31"/>
  <c r="I26" i="31"/>
  <c r="I25" i="31"/>
  <c r="S25" i="31"/>
  <c r="Q26" i="31"/>
  <c r="K26" i="31"/>
  <c r="I27" i="31"/>
  <c r="Q27" i="31"/>
  <c r="K27" i="31"/>
  <c r="I28" i="31"/>
  <c r="Q28" i="31"/>
  <c r="K28" i="31"/>
  <c r="S12" i="21"/>
  <c r="U25" i="21"/>
  <c r="S25" i="21"/>
  <c r="F125" i="33"/>
  <c r="G125" i="33"/>
  <c r="H43" i="33"/>
  <c r="U43" i="33"/>
  <c r="H17" i="37"/>
  <c r="F23" i="37"/>
  <c r="F79" i="37"/>
  <c r="G79" i="37"/>
  <c r="F39" i="33"/>
  <c r="AA39" i="33"/>
  <c r="E123" i="33"/>
  <c r="F123" i="33"/>
  <c r="F42" i="33"/>
  <c r="AA42" i="33"/>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G123" i="33"/>
  <c r="H123" i="33"/>
  <c r="I123" i="33"/>
  <c r="J123" i="33"/>
  <c r="K123" i="33"/>
  <c r="L123" i="33"/>
  <c r="M123" i="33"/>
  <c r="H42" i="33"/>
  <c r="U42" i="33"/>
  <c r="J43" i="33"/>
  <c r="AC43" i="33"/>
  <c r="J23" i="37"/>
  <c r="W23" i="37"/>
  <c r="F17" i="37"/>
  <c r="AA17" i="37"/>
  <c r="AB43" i="33"/>
  <c r="AC12" i="35"/>
  <c r="AC23" i="37"/>
  <c r="S27" i="37"/>
  <c r="U39" i="37"/>
  <c r="S25" i="37"/>
  <c r="AC36" i="34"/>
  <c r="AB8" i="34"/>
  <c r="AA13" i="33"/>
  <c r="S39" i="33"/>
  <c r="F43" i="33"/>
  <c r="AA43" i="33"/>
  <c r="S10" i="35"/>
  <c r="AB44" i="33"/>
  <c r="G107" i="37"/>
  <c r="H107" i="37"/>
  <c r="I107" i="37"/>
  <c r="J107" i="37"/>
  <c r="K107" i="37"/>
  <c r="L107" i="37"/>
  <c r="M107" i="37"/>
  <c r="S37" i="21"/>
  <c r="W37" i="21"/>
  <c r="H19" i="34"/>
  <c r="AB19" i="34"/>
  <c r="J10" i="37"/>
  <c r="W10" i="37"/>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G90" i="40"/>
  <c r="J21" i="40"/>
  <c r="AC21" i="40"/>
  <c r="S27" i="31"/>
  <c r="J57" i="39"/>
  <c r="H13" i="40"/>
  <c r="U13" i="40"/>
  <c r="H12" i="48"/>
  <c r="I4" i="4"/>
  <c r="K141" i="21"/>
  <c r="K143" i="21"/>
  <c r="K144" i="21"/>
  <c r="I59" i="40"/>
  <c r="C59" i="40"/>
  <c r="I60" i="40"/>
  <c r="C60" i="40"/>
  <c r="H7" i="48"/>
  <c r="H16" i="48"/>
  <c r="H9" i="48"/>
  <c r="H8" i="48"/>
  <c r="AB16" i="35"/>
  <c r="AB15" i="37"/>
  <c r="U43" i="21"/>
  <c r="AA13" i="40"/>
  <c r="E78" i="40"/>
  <c r="F78" i="40"/>
  <c r="G78" i="40"/>
  <c r="H78" i="40"/>
  <c r="I78" i="40"/>
  <c r="J78" i="40"/>
  <c r="K78" i="40"/>
  <c r="L78" i="40"/>
  <c r="M78" i="40"/>
  <c r="R16" i="4"/>
  <c r="P16" i="4"/>
  <c r="D3" i="35"/>
  <c r="G4" i="4"/>
  <c r="J16" i="35"/>
  <c r="W16" i="35"/>
  <c r="AC26" i="36"/>
  <c r="W25" i="35"/>
  <c r="H11" i="37"/>
  <c r="AB11" i="37"/>
  <c r="W37" i="37"/>
  <c r="AA36" i="37"/>
  <c r="S42" i="33"/>
  <c r="U32" i="33"/>
  <c r="AC29" i="33"/>
  <c r="AC11" i="36"/>
  <c r="AC10" i="36"/>
  <c r="AB45" i="34"/>
  <c r="W44" i="33"/>
  <c r="W30" i="33"/>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AC5" i="3"/>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S45" i="34"/>
  <c r="U31" i="34"/>
  <c r="W27" i="33"/>
  <c r="S28" i="33"/>
  <c r="S14" i="21"/>
  <c r="AA44" i="34"/>
  <c r="AB29" i="35"/>
  <c r="U29" i="35"/>
  <c r="AC19" i="33"/>
  <c r="W19" i="33"/>
  <c r="U43" i="34"/>
  <c r="AB43" i="34"/>
  <c r="AC34" i="37"/>
  <c r="S35" i="37"/>
  <c r="AA35" i="37"/>
  <c r="AB10" i="35"/>
  <c r="S3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15" i="40"/>
  <c r="AA15" i="40"/>
  <c r="J15" i="40"/>
  <c r="H15" i="40"/>
  <c r="AB15" i="40"/>
  <c r="E92" i="40"/>
  <c r="F92" i="40"/>
  <c r="H23" i="40"/>
  <c r="U23" i="40"/>
  <c r="H41" i="40"/>
  <c r="AB41" i="40"/>
  <c r="F41" i="40"/>
  <c r="AA41" i="40"/>
  <c r="J41" i="40"/>
  <c r="H36" i="33"/>
  <c r="AB36" i="33"/>
  <c r="H37" i="34"/>
  <c r="U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S33" i="40"/>
  <c r="AC47" i="39"/>
  <c r="S47" i="39"/>
  <c r="AB25" i="39"/>
  <c r="AB37" i="34"/>
  <c r="AC41" i="40"/>
  <c r="W41" i="40"/>
  <c r="U41" i="40"/>
  <c r="J23" i="40"/>
  <c r="AC23" i="40"/>
  <c r="G92" i="40"/>
  <c r="F23" i="40"/>
  <c r="S23" i="40"/>
  <c r="AC15" i="40"/>
  <c r="W15" i="40"/>
  <c r="AB16" i="39"/>
  <c r="W14" i="39"/>
  <c r="U23" i="35"/>
  <c r="AB23" i="35"/>
  <c r="H20" i="35"/>
  <c r="F20" i="35"/>
  <c r="S20" i="35"/>
  <c r="H15" i="34"/>
  <c r="AB15" i="34"/>
  <c r="F78" i="34"/>
  <c r="G78" i="34"/>
  <c r="J15" i="34"/>
  <c r="W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AC33"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AC16" i="35"/>
  <c r="AC13" i="40"/>
  <c r="J11" i="34"/>
  <c r="W11" i="34"/>
  <c r="AC36" i="33"/>
  <c r="F25" i="40"/>
  <c r="AA25" i="40"/>
  <c r="J11" i="33"/>
  <c r="W11" i="33"/>
  <c r="H33" i="37"/>
  <c r="AB33" i="37"/>
  <c r="AC15" i="34"/>
  <c r="U20" i="35"/>
  <c r="AB20" i="35"/>
  <c r="W23" i="40"/>
  <c r="G6" i="1"/>
  <c r="G16" i="1"/>
  <c r="G7" i="1"/>
  <c r="G8" i="1"/>
  <c r="G9" i="1"/>
  <c r="G11" i="1"/>
  <c r="C72" i="39"/>
  <c r="D70" i="39"/>
  <c r="D72" i="39"/>
  <c r="E70" i="39"/>
  <c r="E72" i="39"/>
  <c r="F70" i="39"/>
  <c r="F72" i="39"/>
  <c r="G70" i="39"/>
  <c r="G72" i="39"/>
  <c r="H70" i="39"/>
  <c r="H72" i="39"/>
  <c r="I70" i="39"/>
  <c r="I72" i="39"/>
  <c r="J70" i="39"/>
  <c r="J72" i="39"/>
  <c r="K70" i="39"/>
  <c r="K72" i="39"/>
  <c r="L70" i="39"/>
  <c r="L72" i="39"/>
  <c r="M70" i="39"/>
  <c r="M72" i="39"/>
  <c r="N70" i="39"/>
  <c r="N72" i="39"/>
  <c r="P25" i="46"/>
  <c r="B73" i="39"/>
  <c r="AA21" i="39"/>
  <c r="AA44" i="39"/>
  <c r="AA46" i="39"/>
  <c r="AB15" i="39"/>
  <c r="AB31" i="39"/>
  <c r="AB33" i="39"/>
  <c r="AB38" i="39"/>
  <c r="AB43" i="39"/>
  <c r="AB45" i="39"/>
  <c r="AC21" i="39"/>
  <c r="J31" i="39"/>
  <c r="AC31" i="39"/>
  <c r="AC37" i="39"/>
  <c r="AC38" i="39"/>
  <c r="AC44" i="39"/>
  <c r="AC46" i="39"/>
  <c r="E58" i="39"/>
  <c r="E11" i="6"/>
  <c r="E63" i="39"/>
  <c r="E12" i="6"/>
  <c r="E64" i="39"/>
  <c r="E13" i="6"/>
  <c r="E65" i="39"/>
  <c r="E14" i="6"/>
  <c r="E66" i="39"/>
  <c r="E15" i="6"/>
  <c r="E67" i="39"/>
  <c r="E5" i="6"/>
  <c r="D21" i="12"/>
  <c r="C21" i="12"/>
  <c r="F29" i="12"/>
  <c r="Q16" i="1"/>
  <c r="F33" i="12"/>
  <c r="C34" i="12"/>
  <c r="D33" i="12"/>
  <c r="C25" i="12"/>
  <c r="D18" i="9"/>
  <c r="M44" i="9"/>
  <c r="C24" i="9"/>
  <c r="AP11" i="1"/>
  <c r="B11" i="1"/>
  <c r="E11" i="1"/>
  <c r="B9" i="1"/>
  <c r="E9" i="1"/>
  <c r="B7" i="1"/>
  <c r="E7" i="1"/>
  <c r="C20" i="43"/>
  <c r="AP6" i="1"/>
  <c r="M22" i="44"/>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W43" i="21"/>
  <c r="W28" i="21"/>
  <c r="F77" i="21"/>
  <c r="G77" i="21"/>
  <c r="W13" i="21"/>
  <c r="W44"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W29" i="39"/>
  <c r="S29" i="39"/>
  <c r="S14" i="39"/>
  <c r="U11" i="39"/>
  <c r="U41" i="39"/>
  <c r="U31" i="39"/>
  <c r="S25" i="39"/>
  <c r="S38" i="39"/>
  <c r="S22" i="31"/>
  <c r="M43" i="9"/>
  <c r="B22" i="63"/>
  <c r="M20" i="15"/>
  <c r="D96" i="9"/>
  <c r="M18" i="15"/>
  <c r="A18" i="64"/>
  <c r="B74" i="63"/>
  <c r="C53" i="10"/>
  <c r="A25" i="64"/>
  <c r="A18" i="51"/>
  <c r="B14" i="63"/>
  <c r="F3" i="35"/>
  <c r="K1" i="43"/>
  <c r="K1" i="12"/>
  <c r="E413" i="3"/>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A4" i="64"/>
  <c r="A4" i="51"/>
  <c r="C51" i="10"/>
  <c r="H58" i="46"/>
  <c r="H61" i="46"/>
  <c r="H62" i="46"/>
  <c r="H71" i="46"/>
  <c r="H75" i="46"/>
  <c r="H76" i="46"/>
  <c r="I100" i="46"/>
  <c r="B56" i="46"/>
  <c r="N100" i="46"/>
  <c r="H100" i="46"/>
  <c r="H80" i="46"/>
  <c r="B45" i="46"/>
  <c r="AB11" i="46"/>
  <c r="AB13" i="46"/>
  <c r="G100" i="46"/>
  <c r="H84" i="46"/>
  <c r="H65" i="46"/>
  <c r="H66" i="46"/>
  <c r="J100" i="46"/>
  <c r="M100" i="46"/>
  <c r="AA12" i="36"/>
  <c r="U12" i="35"/>
  <c r="AB12" i="35"/>
  <c r="W11" i="35"/>
  <c r="AA11" i="35"/>
  <c r="U13" i="37"/>
  <c r="S13" i="21"/>
  <c r="C25" i="9"/>
  <c r="AP7" i="1"/>
  <c r="AP9" i="1"/>
  <c r="AP8" i="1"/>
  <c r="B6" i="63"/>
  <c r="L5" i="54"/>
  <c r="B39" i="63"/>
  <c r="K5" i="54"/>
  <c r="B38" i="63"/>
  <c r="T41" i="4"/>
  <c r="A17" i="64"/>
  <c r="B46" i="50"/>
  <c r="B4" i="63"/>
  <c r="C46" i="36"/>
  <c r="D46" i="36"/>
  <c r="C59" i="34"/>
  <c r="D59" i="34"/>
  <c r="C48" i="35"/>
  <c r="D48" i="35"/>
  <c r="C52" i="37"/>
  <c r="D52" i="37"/>
  <c r="C67" i="40"/>
  <c r="D65" i="40"/>
  <c r="P24" i="46"/>
  <c r="B68" i="40"/>
  <c r="P23" i="46"/>
  <c r="P21" i="46"/>
  <c r="P22" i="46"/>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AB18" i="36"/>
  <c r="U16" i="36"/>
  <c r="S25" i="36"/>
  <c r="AA34" i="36"/>
  <c r="U23" i="36"/>
  <c r="AC27" i="36"/>
  <c r="W28" i="36"/>
  <c r="AA32" i="36"/>
  <c r="U13" i="36"/>
  <c r="AA22" i="36"/>
  <c r="U10" i="36"/>
  <c r="W29" i="36"/>
  <c r="W9" i="36"/>
  <c r="W8" i="36"/>
  <c r="AC30" i="35"/>
  <c r="U24" i="35"/>
  <c r="W32" i="35"/>
  <c r="S24" i="35"/>
  <c r="AA33" i="35"/>
  <c r="U32" i="35"/>
  <c r="W22" i="35"/>
  <c r="W34" i="35"/>
  <c r="S32" i="35"/>
  <c r="W35" i="37"/>
  <c r="AC33" i="37"/>
  <c r="U33" i="37"/>
  <c r="AC15" i="37"/>
  <c r="AA13" i="37"/>
  <c r="S12" i="37"/>
  <c r="W38" i="37"/>
  <c r="W36" i="37"/>
  <c r="U26" i="37"/>
  <c r="S28" i="37"/>
  <c r="W13" i="37"/>
  <c r="U38" i="37"/>
  <c r="S26" i="37"/>
  <c r="AA31" i="34"/>
  <c r="AB35" i="34"/>
  <c r="W47" i="34"/>
  <c r="AB29" i="34"/>
  <c r="AB47" i="34"/>
  <c r="AB13" i="34"/>
  <c r="AC13" i="34"/>
  <c r="S47" i="34"/>
  <c r="AA29" i="34"/>
  <c r="S19" i="34"/>
  <c r="S8" i="34"/>
  <c r="AA19" i="33"/>
  <c r="AC25" i="33"/>
  <c r="S43" i="33"/>
  <c r="AB42" i="33"/>
  <c r="AB14" i="33"/>
  <c r="AB12" i="33"/>
  <c r="S15" i="33"/>
  <c r="S39" i="21"/>
  <c r="W25" i="21"/>
  <c r="U27" i="21"/>
  <c r="W31" i="21"/>
  <c r="S27" i="21"/>
  <c r="W29" i="21"/>
  <c r="G96" i="40"/>
  <c r="J27" i="40"/>
  <c r="AC27" i="40"/>
  <c r="W37" i="40"/>
  <c r="S17" i="40"/>
  <c r="W30" i="40"/>
  <c r="S34" i="40"/>
  <c r="U17" i="40"/>
  <c r="U38" i="40"/>
  <c r="S40" i="40"/>
  <c r="S42" i="40"/>
  <c r="G105" i="39"/>
  <c r="S45" i="39"/>
  <c r="W41" i="39"/>
  <c r="W42" i="39"/>
  <c r="W36" i="39"/>
  <c r="W23" i="39"/>
  <c r="U14" i="39"/>
  <c r="W16" i="39"/>
  <c r="S15" i="39"/>
  <c r="W25" i="39"/>
  <c r="W45" i="39"/>
  <c r="S41" i="39"/>
  <c r="W10" i="39"/>
  <c r="W11" i="39"/>
  <c r="U42" i="39"/>
  <c r="W40" i="39"/>
  <c r="S32" i="40"/>
  <c r="C27" i="39"/>
  <c r="C17" i="40"/>
  <c r="C19" i="40"/>
  <c r="C17" i="39"/>
  <c r="C19" i="39"/>
  <c r="C21" i="39"/>
  <c r="C23" i="40"/>
  <c r="B48" i="46"/>
  <c r="B51" i="46"/>
  <c r="B55" i="46"/>
  <c r="B59" i="46"/>
  <c r="B62" i="46"/>
  <c r="B66" i="46"/>
  <c r="B53" i="46"/>
  <c r="B64" i="46"/>
  <c r="E11" i="52"/>
  <c r="B7" i="52"/>
  <c r="B10" i="52"/>
  <c r="B9" i="52"/>
  <c r="B4" i="52"/>
  <c r="B8" i="52"/>
  <c r="E9" i="52"/>
  <c r="E10" i="52"/>
  <c r="B23" i="52"/>
  <c r="B16" i="52"/>
  <c r="B6" i="52"/>
  <c r="E5" i="52"/>
  <c r="D24" i="15"/>
  <c r="AG6" i="1"/>
  <c r="E86" i="3"/>
  <c r="AE11" i="46"/>
  <c r="AE13" i="46"/>
  <c r="AJ11" i="46"/>
  <c r="AJ13" i="46"/>
  <c r="S6" i="46"/>
  <c r="S5" i="46"/>
  <c r="AF11" i="46"/>
  <c r="AF13" i="46"/>
  <c r="S2" i="46"/>
  <c r="AI11" i="46"/>
  <c r="AI13" i="46"/>
  <c r="AA11" i="46"/>
  <c r="AA13" i="46"/>
  <c r="E297" i="3"/>
  <c r="AO6" i="3"/>
  <c r="E561" i="3"/>
  <c r="E476" i="3"/>
  <c r="S3" i="46"/>
  <c r="S7" i="46"/>
  <c r="AH11" i="46"/>
  <c r="AD11" i="46"/>
  <c r="Z11" i="46"/>
  <c r="Z13" i="46"/>
  <c r="S4" i="46"/>
  <c r="Y11" i="46"/>
  <c r="Y13" i="46"/>
  <c r="AG11" i="46"/>
  <c r="AG13" i="46"/>
  <c r="AC11" i="46"/>
  <c r="AC13" i="46"/>
  <c r="N101" i="46"/>
  <c r="N109" i="46"/>
  <c r="K101" i="46"/>
  <c r="K109" i="46"/>
  <c r="Z7" i="46"/>
  <c r="H101" i="46"/>
  <c r="H102" i="46"/>
  <c r="M101" i="46"/>
  <c r="L101" i="46"/>
  <c r="L102" i="46"/>
  <c r="I101" i="46"/>
  <c r="N104" i="45"/>
  <c r="J101" i="46"/>
  <c r="J104" i="46"/>
  <c r="G101" i="46"/>
  <c r="G104" i="4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J103" i="46"/>
  <c r="J107" i="46"/>
  <c r="J105" i="46"/>
  <c r="J109"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AC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E10" i="6"/>
  <c r="E16" i="6"/>
  <c r="H16" i="1"/>
  <c r="J12" i="40"/>
  <c r="W12" i="40"/>
  <c r="H70" i="46"/>
  <c r="H72" i="46"/>
  <c r="A9" i="64"/>
  <c r="A9" i="51"/>
  <c r="B9" i="63"/>
  <c r="A25" i="51"/>
  <c r="B18" i="63"/>
  <c r="A3" i="55"/>
  <c r="B56" i="63"/>
  <c r="E52" i="37"/>
  <c r="F52" i="37"/>
  <c r="E48" i="35"/>
  <c r="E46" i="36"/>
  <c r="F46" i="36"/>
  <c r="G46" i="36"/>
  <c r="D67" i="40"/>
  <c r="E65" i="40"/>
  <c r="F18" i="11"/>
  <c r="C18" i="11"/>
  <c r="AP16" i="1"/>
  <c r="F22" i="11"/>
  <c r="E4" i="4"/>
  <c r="C4" i="4"/>
  <c r="B20" i="55"/>
  <c r="B70" i="63"/>
  <c r="G66" i="36"/>
  <c r="J18" i="36"/>
  <c r="W18" i="36"/>
  <c r="AE6" i="1"/>
  <c r="F33" i="44"/>
  <c r="F31" i="15"/>
  <c r="F58" i="15"/>
  <c r="M17" i="15"/>
  <c r="M19" i="44"/>
  <c r="K102" i="46"/>
  <c r="K103" i="46"/>
  <c r="K106" i="46"/>
  <c r="J102" i="46"/>
  <c r="J106" i="46"/>
  <c r="N105" i="46"/>
  <c r="N103" i="46"/>
  <c r="N102" i="46"/>
  <c r="N104" i="46"/>
  <c r="N107" i="46"/>
  <c r="N106" i="46"/>
  <c r="G102" i="46"/>
  <c r="G107" i="46"/>
  <c r="G103" i="46"/>
  <c r="L106" i="46"/>
  <c r="L107" i="46"/>
  <c r="L109" i="46"/>
  <c r="L103" i="46"/>
  <c r="G109" i="46"/>
  <c r="G106" i="46"/>
  <c r="G105" i="46"/>
  <c r="I105" i="46"/>
  <c r="I102" i="46"/>
  <c r="I104" i="46"/>
  <c r="I109" i="46"/>
  <c r="I103" i="46"/>
  <c r="I107" i="46"/>
  <c r="I106" i="46"/>
  <c r="M107" i="46"/>
  <c r="M104" i="46"/>
  <c r="M102" i="46"/>
  <c r="M103" i="46"/>
  <c r="M109" i="46"/>
  <c r="M105" i="46"/>
  <c r="M106" i="46"/>
  <c r="H104" i="46"/>
  <c r="H105" i="46"/>
  <c r="H106" i="46"/>
  <c r="H109" i="46"/>
  <c r="AC18" i="36"/>
  <c r="H12" i="40"/>
  <c r="AB12" i="40"/>
  <c r="F12" i="40"/>
  <c r="AA12" i="40"/>
  <c r="D12" i="11"/>
  <c r="C12" i="11"/>
  <c r="E59" i="40"/>
  <c r="E58" i="40"/>
  <c r="F24" i="43"/>
  <c r="C26" i="43"/>
  <c r="D24" i="43"/>
  <c r="E60" i="40"/>
  <c r="E62" i="40"/>
  <c r="E61" i="40"/>
  <c r="B21" i="55"/>
  <c r="B72" i="63"/>
  <c r="E67" i="40"/>
  <c r="F65" i="40"/>
  <c r="AC12" i="40"/>
  <c r="S12" i="40"/>
  <c r="J22" i="46"/>
  <c r="U12" i="40"/>
  <c r="F67" i="40"/>
  <c r="G65" i="40"/>
  <c r="H65" i="40"/>
  <c r="G67" i="40"/>
  <c r="E68" i="39"/>
  <c r="R9" i="1"/>
  <c r="L46" i="15"/>
  <c r="C45" i="9"/>
  <c r="H14" i="66"/>
  <c r="B7" i="66"/>
  <c r="O40" i="9"/>
  <c r="D77" i="9"/>
  <c r="N75" i="9"/>
  <c r="K31" i="9"/>
  <c r="K32" i="9"/>
  <c r="R7" i="54"/>
  <c r="B52" i="63"/>
  <c r="N76" i="9"/>
  <c r="C46" i="9"/>
  <c r="K33" i="9"/>
  <c r="K34" i="9"/>
  <c r="O41" i="9"/>
  <c r="I14" i="66"/>
  <c r="B8" i="66"/>
  <c r="R8" i="54"/>
  <c r="B54" i="63"/>
  <c r="F9" i="15"/>
  <c r="F37" i="15"/>
  <c r="M6" i="15"/>
  <c r="C14" i="72"/>
  <c r="F37" i="72"/>
  <c r="M6" i="72"/>
  <c r="M22" i="72"/>
  <c r="I4" i="65"/>
  <c r="E8" i="67"/>
  <c r="B13" i="67"/>
  <c r="J6" i="65"/>
  <c r="F11" i="44"/>
  <c r="F39" i="44"/>
  <c r="M26" i="44"/>
  <c r="F45" i="44"/>
  <c r="F6" i="15"/>
  <c r="F26" i="15"/>
  <c r="F8" i="72"/>
  <c r="F26" i="72"/>
  <c r="M9" i="72"/>
  <c r="M26" i="72"/>
  <c r="F12" i="67"/>
  <c r="B14" i="67"/>
  <c r="N7" i="65"/>
  <c r="N6" i="65"/>
  <c r="M27" i="15"/>
  <c r="F15" i="44"/>
  <c r="F28" i="44"/>
  <c r="M30" i="44"/>
  <c r="C19" i="44"/>
  <c r="M29" i="44"/>
  <c r="M9" i="15"/>
  <c r="M8" i="72"/>
  <c r="F10" i="67"/>
  <c r="B10" i="67"/>
  <c r="J3" i="65"/>
  <c r="M8" i="44"/>
  <c r="F43" i="44"/>
  <c r="F8" i="15"/>
  <c r="I5" i="65"/>
  <c r="F38" i="15"/>
  <c r="F6" i="72"/>
  <c r="F38" i="72"/>
  <c r="M28" i="72"/>
  <c r="J15" i="72"/>
  <c r="F9" i="67"/>
  <c r="E10" i="67"/>
  <c r="B9" i="67"/>
  <c r="I7" i="65"/>
  <c r="F10" i="44"/>
  <c r="J17" i="44"/>
  <c r="M28" i="44"/>
  <c r="M29" i="15"/>
  <c r="M23" i="44"/>
  <c r="E2" i="65"/>
  <c r="F7" i="72"/>
  <c r="L47" i="72"/>
  <c r="F14" i="67"/>
  <c r="B8" i="67"/>
  <c r="F9" i="44"/>
  <c r="L48" i="44"/>
  <c r="F46" i="44"/>
  <c r="E11" i="67"/>
  <c r="F8" i="44"/>
  <c r="M24" i="15"/>
  <c r="L47" i="15"/>
  <c r="F16" i="15"/>
  <c r="E13" i="67"/>
  <c r="M31" i="44"/>
  <c r="N4" i="65"/>
  <c r="L48" i="15"/>
  <c r="F13" i="72"/>
  <c r="M21" i="72"/>
  <c r="F13" i="67"/>
  <c r="B11" i="67"/>
  <c r="M11" i="44"/>
  <c r="M23" i="15"/>
  <c r="F7" i="15"/>
  <c r="F40" i="72"/>
  <c r="E9" i="67"/>
  <c r="M22" i="15"/>
  <c r="F36" i="15"/>
  <c r="F42" i="15"/>
  <c r="F9" i="72"/>
  <c r="F36" i="72"/>
  <c r="F42" i="72"/>
  <c r="M27" i="72"/>
  <c r="M23" i="72"/>
  <c r="F11" i="67"/>
  <c r="E12" i="67"/>
  <c r="I3" i="65"/>
  <c r="J4" i="65"/>
  <c r="M28" i="15"/>
  <c r="M10" i="44"/>
  <c r="F40" i="44"/>
  <c r="M24" i="44"/>
  <c r="F43" i="15"/>
  <c r="M8" i="15"/>
  <c r="F16" i="72"/>
  <c r="F41" i="72"/>
  <c r="J36" i="72"/>
  <c r="F8" i="67"/>
  <c r="B12" i="67"/>
  <c r="N5" i="65"/>
  <c r="J36" i="15"/>
  <c r="F38" i="44"/>
  <c r="F37" i="44"/>
  <c r="F43" i="72"/>
  <c r="M29" i="72"/>
  <c r="J7" i="65"/>
  <c r="F18" i="44"/>
  <c r="C16" i="44"/>
  <c r="F13" i="15"/>
  <c r="F35" i="72"/>
  <c r="L48" i="72"/>
  <c r="M24" i="72"/>
  <c r="E14" i="67"/>
  <c r="J5" i="65"/>
  <c r="M26" i="15"/>
  <c r="J15" i="15"/>
  <c r="F40" i="15"/>
  <c r="L49" i="44"/>
  <c r="N3" i="65"/>
  <c r="M25" i="44"/>
  <c r="E4" i="52"/>
  <c r="E16" i="52"/>
  <c r="B11" i="52"/>
  <c r="E8" i="52"/>
  <c r="B5" i="52"/>
  <c r="B13" i="52"/>
  <c r="B22" i="52"/>
  <c r="E21" i="52"/>
  <c r="B14" i="52"/>
  <c r="E6" i="52"/>
  <c r="E7" i="52"/>
  <c r="H67" i="40"/>
  <c r="I65" i="40"/>
  <c r="H46" i="36"/>
  <c r="I46" i="36"/>
  <c r="J46" i="36"/>
  <c r="K46" i="36"/>
  <c r="L46" i="36"/>
  <c r="M46" i="36"/>
  <c r="N46" i="36"/>
  <c r="O46" i="36"/>
  <c r="H7" i="36"/>
  <c r="H6" i="3"/>
  <c r="E6" i="3"/>
  <c r="F7" i="36"/>
  <c r="J7" i="36"/>
  <c r="F48" i="35"/>
  <c r="G52" i="37"/>
  <c r="E59" i="34"/>
  <c r="F9" i="39"/>
  <c r="H9" i="39"/>
  <c r="J9" i="39"/>
  <c r="F12" i="39"/>
  <c r="J12" i="39"/>
  <c r="AC12" i="39"/>
  <c r="H12" i="39"/>
  <c r="H58" i="33"/>
  <c r="I58" i="33"/>
  <c r="J58" i="33"/>
  <c r="K58" i="33"/>
  <c r="L58" i="33"/>
  <c r="M58" i="33"/>
  <c r="N58" i="33"/>
  <c r="O58" i="33"/>
  <c r="J7" i="33"/>
  <c r="H7" i="33"/>
  <c r="F7" i="33"/>
  <c r="H103" i="46"/>
  <c r="H107" i="46"/>
  <c r="L104" i="46"/>
  <c r="L105" i="46"/>
  <c r="S17" i="34"/>
  <c r="AB32" i="40"/>
  <c r="W35" i="40"/>
  <c r="S23" i="37"/>
  <c r="AA23" i="37"/>
  <c r="S30" i="33"/>
  <c r="AA30" i="33"/>
  <c r="S45" i="33"/>
  <c r="AA45" i="33"/>
  <c r="W37" i="33"/>
  <c r="AC37" i="33"/>
  <c r="AA37" i="34"/>
  <c r="S37" i="34"/>
  <c r="AA39" i="37"/>
  <c r="C29" i="39"/>
  <c r="J26" i="33"/>
  <c r="F26" i="33"/>
  <c r="H26" i="33"/>
  <c r="AB9" i="34"/>
  <c r="U9" i="34"/>
  <c r="O11" i="1"/>
  <c r="P11" i="1"/>
  <c r="O9" i="1"/>
  <c r="P9" i="1"/>
  <c r="U17" i="37"/>
  <c r="AB17" i="37"/>
  <c r="AB30" i="33"/>
  <c r="U30" i="33"/>
  <c r="W29" i="37"/>
  <c r="AC29" i="37"/>
  <c r="W45" i="33"/>
  <c r="AC45" i="33"/>
  <c r="AA22" i="35"/>
  <c r="S22" i="35"/>
  <c r="W33" i="36"/>
  <c r="AC33" i="36"/>
  <c r="B70" i="46"/>
  <c r="C23" i="39"/>
  <c r="J9" i="33"/>
  <c r="H9" i="33"/>
  <c r="F9" i="33"/>
  <c r="S31" i="33"/>
  <c r="AA31" i="33"/>
  <c r="AB45" i="33"/>
  <c r="U45" i="33"/>
  <c r="W23" i="35"/>
  <c r="AC23" i="35"/>
  <c r="O10" i="1"/>
  <c r="P10" i="1"/>
  <c r="D48" i="59"/>
  <c r="T48" i="59"/>
  <c r="D27" i="59"/>
  <c r="C28" i="59"/>
  <c r="C31" i="59"/>
  <c r="D31" i="59"/>
  <c r="D30" i="59"/>
  <c r="C43" i="59"/>
  <c r="D42" i="59"/>
  <c r="P51" i="59"/>
  <c r="E50" i="59"/>
  <c r="E29" i="6"/>
  <c r="F30" i="6"/>
  <c r="F31" i="6"/>
  <c r="F36" i="35"/>
  <c r="AC8" i="37"/>
  <c r="H28" i="34"/>
  <c r="AB27" i="37"/>
  <c r="J14" i="37"/>
  <c r="F14" i="37"/>
  <c r="H28" i="37"/>
  <c r="J28" i="37"/>
  <c r="H35" i="35"/>
  <c r="F35" i="35"/>
  <c r="H25" i="35"/>
  <c r="F25" i="35"/>
  <c r="H13" i="35"/>
  <c r="J13" i="35"/>
  <c r="J40" i="37"/>
  <c r="F13" i="36"/>
  <c r="J13" i="36"/>
  <c r="H31" i="33"/>
  <c r="J31" i="33"/>
  <c r="U34" i="37"/>
  <c r="J28" i="34"/>
  <c r="U29" i="36"/>
  <c r="U34" i="35"/>
  <c r="W36" i="35"/>
  <c r="U31" i="35"/>
  <c r="AC31" i="36"/>
  <c r="U30" i="37"/>
  <c r="J15" i="21"/>
  <c r="J17" i="21"/>
  <c r="H17" i="21"/>
  <c r="F35" i="21"/>
  <c r="H35" i="21"/>
  <c r="J35" i="21"/>
  <c r="F38" i="21"/>
  <c r="J38" i="21"/>
  <c r="H38" i="21"/>
  <c r="F9" i="36"/>
  <c r="H9" i="36"/>
  <c r="H24" i="36"/>
  <c r="E26" i="57"/>
  <c r="D40" i="59"/>
  <c r="T40" i="59"/>
  <c r="C35" i="59"/>
  <c r="D34" i="59"/>
  <c r="Q50" i="59"/>
  <c r="Q49" i="59"/>
  <c r="E8" i="46"/>
  <c r="E10" i="46"/>
  <c r="E9" i="46"/>
  <c r="E11" i="46"/>
  <c r="E22" i="46"/>
  <c r="E101" i="46"/>
  <c r="F101" i="46"/>
  <c r="G22" i="46"/>
  <c r="C23" i="46"/>
  <c r="C21" i="46"/>
  <c r="B113" i="46"/>
  <c r="F22" i="46"/>
  <c r="C101" i="46"/>
  <c r="H22" i="46"/>
  <c r="D101" i="46"/>
  <c r="C6" i="59"/>
  <c r="D7" i="59"/>
  <c r="C11" i="59"/>
  <c r="D12" i="59"/>
  <c r="T12" i="59"/>
  <c r="U12" i="59"/>
  <c r="E11" i="59"/>
  <c r="E10" i="59"/>
  <c r="F28" i="15"/>
  <c r="C28" i="15"/>
  <c r="F32" i="72"/>
  <c r="F59" i="72"/>
  <c r="F28" i="72"/>
  <c r="C28" i="72"/>
  <c r="M18" i="72"/>
  <c r="F32" i="15"/>
  <c r="F59" i="15"/>
  <c r="K14" i="1"/>
  <c r="S21" i="37"/>
  <c r="C59" i="59"/>
  <c r="U52" i="59"/>
  <c r="Q51" i="59"/>
  <c r="B51" i="59"/>
  <c r="AD12" i="46"/>
  <c r="AD13" i="46"/>
  <c r="AH12" i="46"/>
  <c r="AH13" i="46"/>
  <c r="K76" i="9"/>
  <c r="K77" i="9"/>
  <c r="K79" i="9"/>
  <c r="K81" i="9"/>
  <c r="F108" i="46"/>
  <c r="F109" i="46"/>
  <c r="E108" i="46"/>
  <c r="E109" i="46"/>
  <c r="F17" i="21"/>
  <c r="J21" i="21"/>
  <c r="F21" i="21"/>
  <c r="F35" i="46"/>
  <c r="F38" i="46"/>
  <c r="J17" i="46"/>
  <c r="C16" i="46"/>
  <c r="C5" i="46"/>
  <c r="H17" i="46"/>
  <c r="C24" i="59"/>
  <c r="C20" i="59"/>
  <c r="C16" i="59"/>
  <c r="H46" i="21"/>
  <c r="H44" i="21"/>
  <c r="H21" i="21"/>
  <c r="J10" i="21"/>
  <c r="F10" i="21"/>
  <c r="I7" i="21"/>
  <c r="E7" i="21"/>
  <c r="G7" i="21"/>
  <c r="C58" i="21"/>
  <c r="D58" i="21"/>
  <c r="E58" i="21"/>
  <c r="F58" i="21"/>
  <c r="G58" i="21"/>
  <c r="H58" i="21"/>
  <c r="I58" i="21"/>
  <c r="J58" i="21"/>
  <c r="K58" i="21"/>
  <c r="L58" i="21"/>
  <c r="M58" i="21"/>
  <c r="N58" i="21"/>
  <c r="O58" i="21"/>
  <c r="F11" i="21"/>
  <c r="H11" i="21"/>
  <c r="J11" i="21"/>
  <c r="BA298" i="3"/>
  <c r="AZ298" i="3"/>
  <c r="BL295" i="3"/>
  <c r="AZ295" i="3"/>
  <c r="BA294" i="3"/>
  <c r="AZ294" i="3"/>
  <c r="AZ71" i="3"/>
  <c r="BL297" i="3"/>
  <c r="AZ297" i="3"/>
  <c r="BA296" i="3"/>
  <c r="AZ296" i="3"/>
  <c r="BL293" i="3"/>
  <c r="AZ293" i="3"/>
  <c r="BA292" i="3"/>
  <c r="AZ292" i="3"/>
  <c r="BA78" i="3"/>
  <c r="AZ78" i="3"/>
  <c r="BL75" i="3"/>
  <c r="AZ75" i="3"/>
  <c r="BA74" i="3"/>
  <c r="AZ74" i="3"/>
  <c r="BL71" i="3"/>
  <c r="BA70" i="3"/>
  <c r="AZ70" i="3"/>
  <c r="BL67" i="3"/>
  <c r="AZ67" i="3"/>
  <c r="BA66" i="3"/>
  <c r="AZ66" i="3"/>
  <c r="BL63" i="3"/>
  <c r="AZ63" i="3"/>
  <c r="BL77" i="3"/>
  <c r="AZ77" i="3"/>
  <c r="BA76" i="3"/>
  <c r="AZ76" i="3"/>
  <c r="BL73" i="3"/>
  <c r="AZ73" i="3"/>
  <c r="BA72" i="3"/>
  <c r="AZ72" i="3"/>
  <c r="BL69" i="3"/>
  <c r="AZ69" i="3"/>
  <c r="BA68" i="3"/>
  <c r="AZ68" i="3"/>
  <c r="BL65" i="3"/>
  <c r="AZ65" i="3"/>
  <c r="BA64" i="3"/>
  <c r="AZ64" i="3"/>
  <c r="BL29" i="3"/>
  <c r="AZ29" i="3"/>
  <c r="BA28" i="3"/>
  <c r="AZ28" i="3"/>
  <c r="BL25" i="3"/>
  <c r="AZ25" i="3"/>
  <c r="BA24" i="3"/>
  <c r="AZ24" i="3"/>
  <c r="BL21" i="3"/>
  <c r="AZ21" i="3"/>
  <c r="BA20" i="3"/>
  <c r="AZ20" i="3"/>
  <c r="BL17" i="3"/>
  <c r="AZ17" i="3"/>
  <c r="BA16" i="3"/>
  <c r="AZ16" i="3"/>
  <c r="BL13" i="3"/>
  <c r="BA30" i="3"/>
  <c r="AZ30" i="3"/>
  <c r="BL27" i="3"/>
  <c r="AZ27" i="3"/>
  <c r="BA26" i="3"/>
  <c r="AZ26" i="3"/>
  <c r="BL23" i="3"/>
  <c r="AZ23" i="3"/>
  <c r="BA22" i="3"/>
  <c r="AZ22" i="3"/>
  <c r="BL19" i="3"/>
  <c r="AZ19" i="3"/>
  <c r="BA18" i="3"/>
  <c r="AZ18" i="3"/>
  <c r="BL15" i="3"/>
  <c r="AZ15" i="3"/>
  <c r="BA14" i="3"/>
  <c r="H42" i="21"/>
  <c r="J42" i="21"/>
  <c r="F42" i="21"/>
  <c r="W12" i="39"/>
  <c r="C15" i="43"/>
  <c r="P6" i="1"/>
  <c r="F23" i="21"/>
  <c r="H23" i="21"/>
  <c r="J23" i="21"/>
  <c r="F85" i="21"/>
  <c r="G85" i="21"/>
  <c r="S19" i="21"/>
  <c r="AA19" i="21"/>
  <c r="J19" i="21"/>
  <c r="F81" i="21"/>
  <c r="G81" i="21"/>
  <c r="H19" i="21"/>
  <c r="W15" i="21"/>
  <c r="AC15" i="21"/>
  <c r="H15" i="21"/>
  <c r="F15" i="21"/>
  <c r="S23" i="39"/>
  <c r="U23" i="39"/>
  <c r="F93" i="39"/>
  <c r="G93" i="39"/>
  <c r="J19" i="39"/>
  <c r="F19" i="39"/>
  <c r="H19" i="39"/>
  <c r="F34" i="39"/>
  <c r="F109" i="39"/>
  <c r="G109" i="39"/>
  <c r="H109" i="39"/>
  <c r="I109" i="39"/>
  <c r="J109" i="39"/>
  <c r="K109" i="39"/>
  <c r="L109" i="39"/>
  <c r="M109" i="39"/>
  <c r="W34" i="39"/>
  <c r="U34" i="39"/>
  <c r="AB29" i="39"/>
  <c r="F101" i="39"/>
  <c r="G101" i="39"/>
  <c r="F27" i="39"/>
  <c r="H27" i="39"/>
  <c r="J27" i="39"/>
  <c r="F17" i="39"/>
  <c r="J17" i="39"/>
  <c r="F91" i="39"/>
  <c r="G91" i="39"/>
  <c r="F83" i="39"/>
  <c r="H13" i="39"/>
  <c r="F13" i="39"/>
  <c r="C36" i="44"/>
  <c r="C20" i="44"/>
  <c r="C17" i="44"/>
  <c r="C21" i="44"/>
  <c r="Q73" i="44"/>
  <c r="L58" i="15"/>
  <c r="L59" i="15"/>
  <c r="C29" i="44"/>
  <c r="Q72" i="15"/>
  <c r="L60" i="44"/>
  <c r="L59" i="44"/>
  <c r="M9" i="44"/>
  <c r="J8" i="44"/>
  <c r="C8" i="44"/>
  <c r="J1" i="65"/>
  <c r="I55" i="44"/>
  <c r="J60" i="44"/>
  <c r="L57" i="44"/>
  <c r="L58" i="44"/>
  <c r="L47" i="44"/>
  <c r="J54" i="44"/>
  <c r="J58" i="44"/>
  <c r="J56" i="44"/>
  <c r="J59" i="44"/>
  <c r="Q52" i="44"/>
  <c r="J61" i="44"/>
  <c r="Q50" i="44"/>
  <c r="L61" i="44"/>
  <c r="Q72" i="72"/>
  <c r="L59" i="72"/>
  <c r="L58" i="72"/>
  <c r="F68" i="72"/>
  <c r="F67" i="72"/>
  <c r="C27" i="72"/>
  <c r="F70" i="72"/>
  <c r="M7" i="72"/>
  <c r="J6" i="72"/>
  <c r="F49" i="72"/>
  <c r="F50" i="72"/>
  <c r="F67" i="15"/>
  <c r="C27" i="15"/>
  <c r="B40" i="1"/>
  <c r="F70" i="15"/>
  <c r="M7" i="15"/>
  <c r="J6" i="15"/>
  <c r="F49" i="15"/>
  <c r="C6" i="15"/>
  <c r="J22" i="44"/>
  <c r="E20" i="46"/>
  <c r="J20" i="72"/>
  <c r="J53" i="72"/>
  <c r="J60" i="72"/>
  <c r="Q49" i="72"/>
  <c r="J59" i="72"/>
  <c r="L56" i="72"/>
  <c r="I54" i="72"/>
  <c r="L60" i="72"/>
  <c r="J57" i="72"/>
  <c r="J55" i="72"/>
  <c r="J58" i="72"/>
  <c r="Q51" i="72"/>
  <c r="L57" i="72"/>
  <c r="F65" i="72"/>
  <c r="F64" i="72"/>
  <c r="F63" i="72"/>
  <c r="C15" i="72"/>
  <c r="C19" i="72"/>
  <c r="C18" i="72"/>
  <c r="C34" i="72"/>
  <c r="F62" i="72"/>
  <c r="C61" i="72"/>
  <c r="C6" i="72"/>
  <c r="J57" i="15"/>
  <c r="J55" i="15"/>
  <c r="J58" i="15"/>
  <c r="Q51" i="15"/>
  <c r="J59" i="15"/>
  <c r="L60" i="15"/>
  <c r="J53" i="15"/>
  <c r="I54" i="15"/>
  <c r="L56" i="15"/>
  <c r="J60" i="15"/>
  <c r="Q49" i="15"/>
  <c r="L57" i="15"/>
  <c r="F65" i="15"/>
  <c r="F64" i="15"/>
  <c r="F63" i="15"/>
  <c r="C4" i="65"/>
  <c r="B39" i="1"/>
  <c r="F50" i="15"/>
  <c r="C17" i="72"/>
  <c r="C18" i="44"/>
  <c r="C16" i="15"/>
  <c r="C16" i="72"/>
  <c r="E3" i="65"/>
  <c r="H17" i="39"/>
  <c r="AC42" i="21"/>
  <c r="W42" i="21"/>
  <c r="AZ14" i="3"/>
  <c r="BA5" i="3"/>
  <c r="E27" i="6"/>
  <c r="AC11" i="21"/>
  <c r="W11" i="21"/>
  <c r="AA11" i="21"/>
  <c r="S11" i="21"/>
  <c r="H7" i="21"/>
  <c r="J7" i="21"/>
  <c r="AC10" i="21"/>
  <c r="W10" i="21"/>
  <c r="AB44" i="21"/>
  <c r="U44" i="21"/>
  <c r="D20" i="59"/>
  <c r="T20" i="59"/>
  <c r="AA21" i="21"/>
  <c r="S21" i="21"/>
  <c r="D59" i="59"/>
  <c r="C58" i="59"/>
  <c r="D58" i="59"/>
  <c r="M14" i="1"/>
  <c r="D102" i="46"/>
  <c r="D104" i="46"/>
  <c r="D106" i="46"/>
  <c r="D103" i="46"/>
  <c r="D105" i="46"/>
  <c r="D107" i="46"/>
  <c r="C102" i="46"/>
  <c r="C104" i="46"/>
  <c r="C106" i="46"/>
  <c r="C103" i="46"/>
  <c r="C105" i="46"/>
  <c r="C107" i="46"/>
  <c r="D115" i="46"/>
  <c r="E115" i="46"/>
  <c r="F115" i="46"/>
  <c r="G115" i="46"/>
  <c r="H115" i="46"/>
  <c r="D116" i="46"/>
  <c r="E116" i="46"/>
  <c r="F116" i="46"/>
  <c r="G116" i="46"/>
  <c r="H116" i="46"/>
  <c r="D117" i="46"/>
  <c r="E117" i="46"/>
  <c r="F117" i="46"/>
  <c r="G117" i="46"/>
  <c r="H117" i="46"/>
  <c r="D118" i="46"/>
  <c r="E118" i="46"/>
  <c r="F118" i="46"/>
  <c r="B115" i="46"/>
  <c r="B116" i="46"/>
  <c r="C116" i="46"/>
  <c r="B117" i="46"/>
  <c r="C117" i="46"/>
  <c r="B118" i="46"/>
  <c r="C118" i="46"/>
  <c r="I116" i="46"/>
  <c r="J116" i="46"/>
  <c r="K116" i="46"/>
  <c r="L116" i="46"/>
  <c r="M116" i="46"/>
  <c r="G118" i="46"/>
  <c r="H118" i="46"/>
  <c r="I118" i="46"/>
  <c r="J118" i="46"/>
  <c r="K118" i="46"/>
  <c r="L118" i="46"/>
  <c r="M118" i="46"/>
  <c r="I115" i="46"/>
  <c r="J115" i="46"/>
  <c r="K115" i="46"/>
  <c r="L115" i="46"/>
  <c r="M115" i="46"/>
  <c r="I117" i="46"/>
  <c r="J117" i="46"/>
  <c r="K117" i="46"/>
  <c r="L117" i="46"/>
  <c r="M117" i="46"/>
  <c r="E103" i="46"/>
  <c r="E105" i="46"/>
  <c r="E107" i="46"/>
  <c r="E102" i="46"/>
  <c r="E104" i="46"/>
  <c r="E106" i="46"/>
  <c r="D109" i="46"/>
  <c r="D35" i="59"/>
  <c r="C36" i="59"/>
  <c r="AB24" i="36"/>
  <c r="U24" i="36"/>
  <c r="AA9" i="36"/>
  <c r="S9" i="36"/>
  <c r="AC38" i="21"/>
  <c r="W38" i="21"/>
  <c r="AC35" i="21"/>
  <c r="W35" i="21"/>
  <c r="AA35" i="21"/>
  <c r="S35" i="21"/>
  <c r="AC17" i="21"/>
  <c r="W17" i="21"/>
  <c r="AC28" i="34"/>
  <c r="W28" i="34"/>
  <c r="AC31" i="33"/>
  <c r="W31" i="33"/>
  <c r="W13" i="36"/>
  <c r="AC13" i="36"/>
  <c r="AC40" i="37"/>
  <c r="W40" i="37"/>
  <c r="AB13" i="35"/>
  <c r="U13" i="35"/>
  <c r="AB25" i="35"/>
  <c r="U25" i="35"/>
  <c r="AB35" i="35"/>
  <c r="U35" i="35"/>
  <c r="U28" i="37"/>
  <c r="AB28" i="37"/>
  <c r="AC14" i="37"/>
  <c r="W14" i="37"/>
  <c r="AB28" i="34"/>
  <c r="U28" i="34"/>
  <c r="AA36" i="35"/>
  <c r="S36" i="35"/>
  <c r="E30" i="6"/>
  <c r="L19" i="6"/>
  <c r="L27" i="6"/>
  <c r="K15" i="1"/>
  <c r="K16" i="1"/>
  <c r="C44" i="59"/>
  <c r="D43" i="59"/>
  <c r="U9" i="33"/>
  <c r="AB9" i="33"/>
  <c r="AB26" i="33"/>
  <c r="U26" i="33"/>
  <c r="AC26" i="33"/>
  <c r="W26" i="33"/>
  <c r="AA7" i="33"/>
  <c r="R48" i="33"/>
  <c r="S7" i="33"/>
  <c r="AC7" i="33"/>
  <c r="V48" i="33"/>
  <c r="I48" i="33"/>
  <c r="W7" i="33"/>
  <c r="AB12" i="39"/>
  <c r="U12" i="39"/>
  <c r="AA12" i="39"/>
  <c r="S12" i="39"/>
  <c r="AB9" i="39"/>
  <c r="U9" i="39"/>
  <c r="W7" i="36"/>
  <c r="AC7" i="36"/>
  <c r="V36" i="36"/>
  <c r="I36" i="36"/>
  <c r="AA7" i="36"/>
  <c r="R36" i="36"/>
  <c r="S7" i="36"/>
  <c r="AB7" i="36"/>
  <c r="T36" i="36"/>
  <c r="G36" i="36"/>
  <c r="U7" i="36"/>
  <c r="AA42" i="21"/>
  <c r="S42" i="21"/>
  <c r="AB42" i="21"/>
  <c r="U42" i="21"/>
  <c r="AZ13" i="3"/>
  <c r="AZ5" i="3"/>
  <c r="BL5" i="3"/>
  <c r="AB11" i="21"/>
  <c r="U11" i="21"/>
  <c r="F7" i="21"/>
  <c r="AA10" i="21"/>
  <c r="S10" i="21"/>
  <c r="AB21" i="21"/>
  <c r="U21" i="21"/>
  <c r="AB46" i="21"/>
  <c r="U46" i="21"/>
  <c r="D16" i="59"/>
  <c r="T16" i="59"/>
  <c r="T24" i="59"/>
  <c r="D24" i="59"/>
  <c r="AC21" i="21"/>
  <c r="W21" i="21"/>
  <c r="AA17" i="21"/>
  <c r="S17" i="21"/>
  <c r="B50" i="59"/>
  <c r="N51" i="59"/>
  <c r="C10" i="59"/>
  <c r="D10" i="59"/>
  <c r="D11" i="59"/>
  <c r="C5" i="59"/>
  <c r="D6" i="59"/>
  <c r="F103" i="46"/>
  <c r="F105" i="46"/>
  <c r="F107" i="46"/>
  <c r="F102" i="46"/>
  <c r="F104" i="46"/>
  <c r="F106" i="46"/>
  <c r="D22" i="46"/>
  <c r="C7" i="46"/>
  <c r="AB9" i="36"/>
  <c r="U9" i="36"/>
  <c r="AB38" i="21"/>
  <c r="U38" i="21"/>
  <c r="AA38" i="21"/>
  <c r="S38" i="21"/>
  <c r="AB35" i="21"/>
  <c r="U35" i="21"/>
  <c r="AB17" i="21"/>
  <c r="U17" i="21"/>
  <c r="AB31" i="33"/>
  <c r="U31" i="33"/>
  <c r="S13" i="36"/>
  <c r="AA13" i="36"/>
  <c r="AC13" i="35"/>
  <c r="W13" i="35"/>
  <c r="S25" i="35"/>
  <c r="AA25" i="35"/>
  <c r="S35" i="35"/>
  <c r="AA35" i="35"/>
  <c r="W28" i="37"/>
  <c r="AC28" i="37"/>
  <c r="S14" i="37"/>
  <c r="AA14" i="37"/>
  <c r="C109" i="46"/>
  <c r="P50" i="59"/>
  <c r="P49" i="59"/>
  <c r="D28" i="59"/>
  <c r="T28" i="59"/>
  <c r="S9" i="33"/>
  <c r="AA9" i="33"/>
  <c r="W9" i="33"/>
  <c r="AC9" i="33"/>
  <c r="AA26" i="33"/>
  <c r="S26" i="33"/>
  <c r="AB7" i="33"/>
  <c r="T48" i="33"/>
  <c r="G48" i="33"/>
  <c r="U7" i="33"/>
  <c r="AC9" i="39"/>
  <c r="W9" i="39"/>
  <c r="AA9" i="39"/>
  <c r="S9" i="39"/>
  <c r="F59" i="34"/>
  <c r="H52" i="37"/>
  <c r="G48" i="35"/>
  <c r="I67" i="40"/>
  <c r="J65" i="40"/>
  <c r="C15" i="12"/>
  <c r="AC23" i="21"/>
  <c r="W23" i="21"/>
  <c r="S23" i="21"/>
  <c r="AA23" i="21"/>
  <c r="AB23" i="21"/>
  <c r="U23" i="21"/>
  <c r="AB19" i="21"/>
  <c r="U19" i="21"/>
  <c r="AC19" i="21"/>
  <c r="W19" i="21"/>
  <c r="AB15" i="21"/>
  <c r="U15" i="21"/>
  <c r="AA15" i="21"/>
  <c r="S15" i="21"/>
  <c r="S19" i="39"/>
  <c r="AA19" i="39"/>
  <c r="U19" i="39"/>
  <c r="AB19" i="39"/>
  <c r="AC19" i="39"/>
  <c r="W19" i="39"/>
  <c r="AA34" i="39"/>
  <c r="S34" i="39"/>
  <c r="AB27" i="39"/>
  <c r="U27" i="39"/>
  <c r="AC27" i="39"/>
  <c r="W27" i="39"/>
  <c r="S27" i="39"/>
  <c r="AA27" i="39"/>
  <c r="AC17" i="39"/>
  <c r="W17" i="39"/>
  <c r="S17" i="39"/>
  <c r="AA17" i="39"/>
  <c r="AB17" i="39"/>
  <c r="U17" i="39"/>
  <c r="C48" i="15"/>
  <c r="S13" i="39"/>
  <c r="AA13" i="39"/>
  <c r="G83" i="39"/>
  <c r="H83" i="39"/>
  <c r="I83" i="39"/>
  <c r="J83" i="39"/>
  <c r="K83" i="39"/>
  <c r="L83" i="39"/>
  <c r="M83" i="39"/>
  <c r="J13" i="39"/>
  <c r="AB13" i="39"/>
  <c r="T49" i="39"/>
  <c r="G49" i="39"/>
  <c r="U13" i="39"/>
  <c r="C48" i="72"/>
  <c r="F17" i="11"/>
  <c r="C17" i="11"/>
  <c r="C19" i="11"/>
  <c r="Q58" i="15"/>
  <c r="Q67" i="15"/>
  <c r="F1" i="72"/>
  <c r="Q53" i="72"/>
  <c r="F11" i="72"/>
  <c r="F13" i="44"/>
  <c r="C12" i="44"/>
  <c r="C7" i="44"/>
  <c r="M13" i="44"/>
  <c r="J12" i="44"/>
  <c r="J7" i="44"/>
  <c r="F11" i="15"/>
  <c r="C52" i="15"/>
  <c r="C47" i="15"/>
  <c r="M11" i="15"/>
  <c r="J10" i="15"/>
  <c r="J5" i="15"/>
  <c r="M11" i="72"/>
  <c r="J10" i="72"/>
  <c r="J5" i="72"/>
  <c r="F1" i="15"/>
  <c r="Q53" i="15"/>
  <c r="C20" i="72"/>
  <c r="C26" i="72"/>
  <c r="Q67" i="72"/>
  <c r="Q58" i="72"/>
  <c r="O17" i="46"/>
  <c r="M17" i="46"/>
  <c r="P17" i="46"/>
  <c r="N17" i="46"/>
  <c r="F24" i="72"/>
  <c r="C24" i="72"/>
  <c r="F26" i="12"/>
  <c r="C27" i="12"/>
  <c r="D26" i="12"/>
  <c r="C32" i="12"/>
  <c r="D30" i="12"/>
  <c r="F24" i="15"/>
  <c r="C24" i="15"/>
  <c r="F26" i="44"/>
  <c r="C26" i="44"/>
  <c r="F21" i="43"/>
  <c r="C23" i="43"/>
  <c r="D21" i="43"/>
  <c r="Q61" i="72"/>
  <c r="Q74" i="72"/>
  <c r="F1" i="44"/>
  <c r="Q54" i="44"/>
  <c r="Q75" i="44"/>
  <c r="Q62" i="44"/>
  <c r="Q74" i="15"/>
  <c r="Q61" i="15"/>
  <c r="C22" i="44"/>
  <c r="C28" i="44"/>
  <c r="Q62" i="72"/>
  <c r="Q75" i="72"/>
  <c r="Q68" i="44"/>
  <c r="Q59" i="44"/>
  <c r="Q63" i="44"/>
  <c r="Q76" i="44"/>
  <c r="Q75" i="15"/>
  <c r="Q62" i="15"/>
  <c r="AE7" i="1"/>
  <c r="AE8" i="1"/>
  <c r="J67" i="40"/>
  <c r="K65" i="40"/>
  <c r="H48" i="35"/>
  <c r="I52" i="37"/>
  <c r="G52" i="33"/>
  <c r="H52" i="33"/>
  <c r="G53" i="33"/>
  <c r="H53" i="33"/>
  <c r="AA7" i="21"/>
  <c r="R48" i="21"/>
  <c r="S7" i="21"/>
  <c r="AY6" i="3"/>
  <c r="E3" i="6"/>
  <c r="I40" i="36"/>
  <c r="J40" i="36"/>
  <c r="C115" i="46"/>
  <c r="D113" i="46"/>
  <c r="M16" i="1"/>
  <c r="O14" i="1"/>
  <c r="AB7" i="21"/>
  <c r="T48" i="21"/>
  <c r="G48" i="21"/>
  <c r="U7" i="21"/>
  <c r="G59" i="34"/>
  <c r="D5" i="59"/>
  <c r="M20" i="46"/>
  <c r="C19" i="46"/>
  <c r="N50" i="59"/>
  <c r="N49" i="59"/>
  <c r="G41" i="36"/>
  <c r="H41" i="36"/>
  <c r="G40" i="36"/>
  <c r="H40" i="36"/>
  <c r="E36" i="36"/>
  <c r="R37" i="36"/>
  <c r="I53" i="33"/>
  <c r="J53" i="33"/>
  <c r="I52" i="33"/>
  <c r="J52" i="33"/>
  <c r="R49" i="33"/>
  <c r="E48" i="33"/>
  <c r="D44" i="59"/>
  <c r="T44" i="59"/>
  <c r="D36" i="59"/>
  <c r="T36" i="59"/>
  <c r="AC7" i="21"/>
  <c r="V48" i="21"/>
  <c r="I48" i="21"/>
  <c r="I52" i="21"/>
  <c r="J52" i="21"/>
  <c r="W7" i="21"/>
  <c r="K23" i="6"/>
  <c r="M23" i="6"/>
  <c r="I23" i="6"/>
  <c r="S23" i="6"/>
  <c r="K25" i="6"/>
  <c r="M25" i="6"/>
  <c r="I25" i="6"/>
  <c r="S25" i="6"/>
  <c r="E31" i="6"/>
  <c r="K26" i="6"/>
  <c r="M26" i="6"/>
  <c r="I26" i="6"/>
  <c r="S26" i="6"/>
  <c r="K24" i="6"/>
  <c r="M24" i="6"/>
  <c r="I24" i="6"/>
  <c r="S24" i="6"/>
  <c r="K22" i="6"/>
  <c r="M22" i="6"/>
  <c r="I22" i="6"/>
  <c r="S22" i="6"/>
  <c r="K21" i="6"/>
  <c r="M21" i="6"/>
  <c r="I21" i="6"/>
  <c r="S21" i="6"/>
  <c r="K19" i="6"/>
  <c r="K20" i="6"/>
  <c r="R49" i="39"/>
  <c r="E49" i="39"/>
  <c r="W13" i="39"/>
  <c r="AC13" i="39"/>
  <c r="V49" i="39"/>
  <c r="I49" i="39"/>
  <c r="G54" i="39"/>
  <c r="H54" i="39"/>
  <c r="G53" i="39"/>
  <c r="H53" i="39"/>
  <c r="C23" i="72"/>
  <c r="C29" i="72"/>
  <c r="C25" i="44"/>
  <c r="C31" i="44"/>
  <c r="J26" i="72"/>
  <c r="J29" i="72"/>
  <c r="J18" i="72"/>
  <c r="J24" i="72"/>
  <c r="C65" i="15"/>
  <c r="C60" i="15"/>
  <c r="C59" i="15"/>
  <c r="C35" i="44"/>
  <c r="C40" i="44"/>
  <c r="C34" i="44"/>
  <c r="J20" i="44"/>
  <c r="J28" i="44"/>
  <c r="J31" i="44"/>
  <c r="J26" i="44"/>
  <c r="J26" i="15"/>
  <c r="J18" i="15"/>
  <c r="J24" i="15"/>
  <c r="C10" i="72"/>
  <c r="C5" i="72"/>
  <c r="C52" i="72"/>
  <c r="C47" i="72"/>
  <c r="C20" i="11"/>
  <c r="C21" i="11"/>
  <c r="C22" i="11"/>
  <c r="C23" i="11"/>
  <c r="B2" i="11"/>
  <c r="C10" i="15"/>
  <c r="C5" i="15"/>
  <c r="F41" i="15"/>
  <c r="L52" i="44"/>
  <c r="F68" i="15"/>
  <c r="G53" i="21"/>
  <c r="H53" i="21"/>
  <c r="G52" i="21"/>
  <c r="H52" i="21"/>
  <c r="R49" i="21"/>
  <c r="E48" i="21"/>
  <c r="C49" i="33"/>
  <c r="B3" i="33"/>
  <c r="B2" i="33"/>
  <c r="C48" i="33"/>
  <c r="E41" i="36"/>
  <c r="F41" i="36"/>
  <c r="E40" i="36"/>
  <c r="F40" i="36"/>
  <c r="J29" i="15"/>
  <c r="S6" i="1"/>
  <c r="M19" i="6"/>
  <c r="K27" i="6"/>
  <c r="E53" i="33"/>
  <c r="F53" i="33"/>
  <c r="E52" i="33"/>
  <c r="F52" i="33"/>
  <c r="C37" i="36"/>
  <c r="B3" i="36"/>
  <c r="B2" i="36"/>
  <c r="C36" i="36"/>
  <c r="H59" i="34"/>
  <c r="P14" i="1"/>
  <c r="P16" i="1"/>
  <c r="C13" i="12"/>
  <c r="O16" i="1"/>
  <c r="I41" i="36"/>
  <c r="J41" i="36"/>
  <c r="L38" i="9"/>
  <c r="B14" i="66"/>
  <c r="B1" i="66"/>
  <c r="D16" i="12"/>
  <c r="E6" i="6"/>
  <c r="C21" i="4"/>
  <c r="O5" i="54"/>
  <c r="B45" i="63"/>
  <c r="D16" i="43"/>
  <c r="C16" i="43"/>
  <c r="D10" i="11"/>
  <c r="D45" i="9"/>
  <c r="D46" i="9"/>
  <c r="I48" i="35"/>
  <c r="M20" i="6"/>
  <c r="I20" i="6"/>
  <c r="S20" i="6"/>
  <c r="S7" i="1"/>
  <c r="C36" i="46"/>
  <c r="C34" i="46"/>
  <c r="C33" i="46"/>
  <c r="C35" i="46"/>
  <c r="C39" i="46"/>
  <c r="C38" i="46"/>
  <c r="T2" i="46"/>
  <c r="V2" i="46"/>
  <c r="T3" i="46"/>
  <c r="V3" i="46"/>
  <c r="T8" i="46"/>
  <c r="V8" i="46"/>
  <c r="T16" i="46"/>
  <c r="V16" i="46"/>
  <c r="T13" i="46"/>
  <c r="V13" i="46"/>
  <c r="T10" i="46"/>
  <c r="V10" i="46"/>
  <c r="T5" i="46"/>
  <c r="V5" i="46"/>
  <c r="T15" i="46"/>
  <c r="V15" i="46"/>
  <c r="C37" i="46"/>
  <c r="C29" i="46"/>
  <c r="T7" i="46"/>
  <c r="V7" i="46"/>
  <c r="T4" i="46"/>
  <c r="V4" i="46"/>
  <c r="T12" i="46"/>
  <c r="V12" i="46"/>
  <c r="T9" i="46"/>
  <c r="V9" i="46"/>
  <c r="T6" i="46"/>
  <c r="V6" i="46"/>
  <c r="T14" i="46"/>
  <c r="V14" i="46"/>
  <c r="T11" i="46"/>
  <c r="V11" i="46"/>
  <c r="N16" i="1"/>
  <c r="C29" i="43"/>
  <c r="C13" i="43"/>
  <c r="L16" i="1"/>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231" i="3"/>
  <c r="AY18" i="3"/>
  <c r="AY507" i="3"/>
  <c r="AY564" i="3"/>
  <c r="AY300" i="3"/>
  <c r="AY74" i="3"/>
  <c r="AY144" i="3"/>
  <c r="AY98" i="3"/>
  <c r="AY57" i="3"/>
  <c r="AY106" i="3"/>
  <c r="AY217" i="3"/>
  <c r="AY291" i="3"/>
  <c r="AY232" i="3"/>
  <c r="AY349" i="3"/>
  <c r="AY361" i="3"/>
  <c r="AY448" i="3"/>
  <c r="AY397" i="3"/>
  <c r="AY422" i="3"/>
  <c r="AY170" i="3"/>
  <c r="AY149" i="3"/>
  <c r="AY381" i="3"/>
  <c r="AY379" i="3"/>
  <c r="AY324" i="3"/>
  <c r="AY476" i="3"/>
  <c r="AY39" i="3"/>
  <c r="AY178" i="3"/>
  <c r="AY135" i="3"/>
  <c r="AY294" i="3"/>
  <c r="AY372" i="3"/>
  <c r="AY550" i="3"/>
  <c r="AY548" i="3"/>
  <c r="AY168" i="3"/>
  <c r="AY256" i="3"/>
  <c r="AY376" i="3"/>
  <c r="AY389" i="3"/>
  <c r="AY155" i="3"/>
  <c r="AY302" i="3"/>
  <c r="AY342" i="3"/>
  <c r="AY194" i="3"/>
  <c r="AY122" i="3"/>
  <c r="AY307" i="3"/>
  <c r="AY457" i="3"/>
  <c r="AY412" i="3"/>
  <c r="AY278" i="3"/>
  <c r="AY336" i="3"/>
  <c r="AY201" i="3"/>
  <c r="AY253" i="3"/>
  <c r="AY352" i="3"/>
  <c r="AY35" i="3"/>
  <c r="AY124" i="3"/>
  <c r="AY449" i="3"/>
  <c r="AY273" i="3"/>
  <c r="AY494" i="3"/>
  <c r="AY566" i="3"/>
  <c r="AY212" i="3"/>
  <c r="AY19" i="3"/>
  <c r="AY215" i="3"/>
  <c r="AY513" i="3"/>
  <c r="AY61" i="3"/>
  <c r="AY251" i="3"/>
  <c r="AY451" i="3"/>
  <c r="AY296" i="3"/>
  <c r="AY345" i="3"/>
  <c r="AY237" i="3"/>
  <c r="AY470" i="3"/>
  <c r="AY460" i="3"/>
  <c r="AY338" i="3"/>
  <c r="AY119" i="3"/>
  <c r="AY59" i="3"/>
  <c r="AY533" i="3"/>
  <c r="AY522" i="3"/>
  <c r="AY89" i="3"/>
  <c r="AY134" i="3"/>
  <c r="AY419" i="3"/>
  <c r="AY102" i="3"/>
  <c r="AY33" i="3"/>
  <c r="BG6" i="3"/>
  <c r="AY196" i="3"/>
  <c r="AY165" i="3"/>
  <c r="AY570" i="3"/>
  <c r="AY255" i="3"/>
  <c r="AY496" i="3"/>
  <c r="AY474" i="3"/>
  <c r="AY482" i="3"/>
  <c r="BE6" i="3"/>
  <c r="AY121" i="3"/>
  <c r="AY491" i="3"/>
  <c r="AY508" i="3"/>
  <c r="AY504" i="3"/>
  <c r="AY537" i="3"/>
  <c r="AY100" i="3"/>
  <c r="AY53" i="3"/>
  <c r="AY83" i="3"/>
  <c r="AY73" i="3"/>
  <c r="AY47" i="3"/>
  <c r="AY182" i="3"/>
  <c r="AY126" i="3"/>
  <c r="AY45" i="3"/>
  <c r="AY136" i="3"/>
  <c r="AY262" i="3"/>
  <c r="AY383" i="3"/>
  <c r="AY427" i="3"/>
  <c r="AY49" i="3"/>
  <c r="AY146" i="3"/>
  <c r="AY214" i="3"/>
  <c r="AY326" i="3"/>
  <c r="AY463" i="3"/>
  <c r="AY116" i="3"/>
  <c r="AY258" i="3"/>
  <c r="AY366" i="3"/>
  <c r="AY315" i="3"/>
  <c r="AY62" i="3"/>
  <c r="AY269" i="3"/>
  <c r="AY464" i="3"/>
  <c r="AY81" i="3"/>
  <c r="AY295" i="3"/>
  <c r="AY450" i="3"/>
  <c r="AY279" i="3"/>
  <c r="AY16" i="3"/>
  <c r="AY438" i="3"/>
  <c r="BC6" i="3"/>
  <c r="AY543" i="3"/>
  <c r="AY330" i="3"/>
  <c r="AY91" i="3"/>
  <c r="AY525" i="3"/>
  <c r="AY428" i="3"/>
  <c r="AY526" i="3"/>
  <c r="AY48" i="3"/>
  <c r="AY488" i="3"/>
  <c r="BB6" i="3"/>
  <c r="AY568" i="3"/>
  <c r="AY347" i="3"/>
  <c r="AY23" i="3"/>
  <c r="AY54" i="3"/>
  <c r="AY353" i="3"/>
  <c r="AY173" i="3"/>
  <c r="AY312" i="3"/>
  <c r="AY284" i="3"/>
  <c r="AY444" i="3"/>
  <c r="AY79" i="3"/>
  <c r="AY306" i="3"/>
  <c r="AY261" i="3"/>
  <c r="AY243" i="3"/>
  <c r="AY426" i="3"/>
  <c r="AY373" i="3"/>
  <c r="AY301" i="3"/>
  <c r="AY466" i="3"/>
  <c r="AY521" i="3"/>
  <c r="AY354" i="3"/>
  <c r="AY441" i="3"/>
  <c r="AY452" i="3"/>
  <c r="AY523" i="3"/>
  <c r="J52" i="37"/>
  <c r="K67" i="40"/>
  <c r="L65" i="40"/>
  <c r="C49" i="21"/>
  <c r="B3" i="21"/>
  <c r="C48" i="21"/>
  <c r="E53" i="21"/>
  <c r="F53" i="21"/>
  <c r="E52" i="21"/>
  <c r="F52" i="21"/>
  <c r="I53" i="21"/>
  <c r="J53" i="21"/>
  <c r="J19" i="72"/>
  <c r="J17" i="72"/>
  <c r="Q50" i="72"/>
  <c r="C36" i="72"/>
  <c r="J14" i="72"/>
  <c r="J13" i="72"/>
  <c r="J23" i="72"/>
  <c r="C56" i="72"/>
  <c r="C63" i="72"/>
  <c r="C13" i="72"/>
  <c r="Q71" i="72"/>
  <c r="C33" i="44"/>
  <c r="R50" i="39"/>
  <c r="E54" i="39"/>
  <c r="F54" i="39"/>
  <c r="E53" i="39"/>
  <c r="F53" i="39"/>
  <c r="I53" i="39"/>
  <c r="J53" i="39"/>
  <c r="I54" i="39"/>
  <c r="J54" i="39"/>
  <c r="Q69" i="44"/>
  <c r="B3" i="11"/>
  <c r="B4" i="11"/>
  <c r="B5" i="11"/>
  <c r="C59" i="72"/>
  <c r="C60" i="72"/>
  <c r="C65" i="72"/>
  <c r="C32" i="15"/>
  <c r="C33" i="15"/>
  <c r="C38" i="15"/>
  <c r="Q67" i="44"/>
  <c r="Q77" i="44"/>
  <c r="Q49" i="44"/>
  <c r="Q55" i="44"/>
  <c r="Q58" i="44"/>
  <c r="Q64" i="44"/>
  <c r="C15" i="44"/>
  <c r="J16" i="44"/>
  <c r="J21" i="44"/>
  <c r="Q51" i="44"/>
  <c r="C38" i="44"/>
  <c r="C32" i="72"/>
  <c r="C33" i="72"/>
  <c r="C38" i="72"/>
  <c r="J19" i="44"/>
  <c r="C17" i="15"/>
  <c r="J22" i="72"/>
  <c r="J16" i="72"/>
  <c r="J25" i="72"/>
  <c r="K52" i="37"/>
  <c r="E29" i="46"/>
  <c r="C30" i="46"/>
  <c r="E30" i="46"/>
  <c r="G38" i="46"/>
  <c r="I38" i="46"/>
  <c r="E38" i="46"/>
  <c r="G35" i="46"/>
  <c r="I35" i="46"/>
  <c r="E35" i="46"/>
  <c r="E34" i="46"/>
  <c r="G34" i="46"/>
  <c r="I34" i="46"/>
  <c r="J48" i="35"/>
  <c r="D19" i="12"/>
  <c r="C19" i="12"/>
  <c r="C16" i="12"/>
  <c r="C14" i="12"/>
  <c r="C17" i="12"/>
  <c r="S16" i="1"/>
  <c r="T6" i="1"/>
  <c r="L67" i="40"/>
  <c r="M65" i="40"/>
  <c r="D28" i="6"/>
  <c r="D29" i="6"/>
  <c r="H20" i="6"/>
  <c r="D19" i="6"/>
  <c r="D20" i="6"/>
  <c r="R20" i="6"/>
  <c r="R7" i="1"/>
  <c r="D21" i="6"/>
  <c r="D22" i="6"/>
  <c r="D23" i="6"/>
  <c r="D24" i="6"/>
  <c r="D25" i="6"/>
  <c r="D26" i="6"/>
  <c r="H21" i="6"/>
  <c r="K38" i="9"/>
  <c r="C14" i="66"/>
  <c r="B2" i="66"/>
  <c r="D10" i="6"/>
  <c r="D13" i="6"/>
  <c r="H24" i="6"/>
  <c r="D6" i="6"/>
  <c r="D5" i="6"/>
  <c r="H22" i="6"/>
  <c r="D8" i="6"/>
  <c r="H23" i="6"/>
  <c r="E45" i="9"/>
  <c r="F45" i="9"/>
  <c r="F46" i="9"/>
  <c r="E46" i="9"/>
  <c r="E63" i="40"/>
  <c r="C22" i="4"/>
  <c r="D11" i="6"/>
  <c r="D12" i="6"/>
  <c r="H25" i="6"/>
  <c r="D14" i="6"/>
  <c r="D15" i="6"/>
  <c r="H26" i="6"/>
  <c r="D9" i="6"/>
  <c r="C14" i="43"/>
  <c r="C17" i="43"/>
  <c r="G37" i="46"/>
  <c r="I37" i="46"/>
  <c r="E37" i="46"/>
  <c r="G39" i="46"/>
  <c r="I39" i="46"/>
  <c r="E39" i="46"/>
  <c r="G33" i="46"/>
  <c r="I33" i="46"/>
  <c r="E33" i="46"/>
  <c r="E36" i="46"/>
  <c r="G36" i="46"/>
  <c r="I36" i="46"/>
  <c r="T7" i="1"/>
  <c r="D22" i="12"/>
  <c r="C22" i="12"/>
  <c r="C20" i="12"/>
  <c r="D13" i="11"/>
  <c r="C13" i="11"/>
  <c r="C8" i="66"/>
  <c r="C7" i="66"/>
  <c r="I59" i="34"/>
  <c r="I19" i="6"/>
  <c r="M27" i="6"/>
  <c r="B2" i="21"/>
  <c r="C8" i="12"/>
  <c r="C55" i="72"/>
  <c r="C64" i="72"/>
  <c r="C37" i="72"/>
  <c r="J35" i="72"/>
  <c r="C50" i="39"/>
  <c r="C49" i="39"/>
  <c r="C31" i="72"/>
  <c r="J15" i="44"/>
  <c r="J25" i="44"/>
  <c r="J24" i="44"/>
  <c r="C43" i="44"/>
  <c r="C39" i="44"/>
  <c r="C32" i="44"/>
  <c r="C42" i="44"/>
  <c r="Q72" i="44"/>
  <c r="C58" i="72"/>
  <c r="C57" i="72"/>
  <c r="C66" i="72"/>
  <c r="C67" i="72"/>
  <c r="F7" i="67"/>
  <c r="F35" i="15"/>
  <c r="M21" i="15"/>
  <c r="C14" i="15"/>
  <c r="C15" i="15"/>
  <c r="C18" i="15"/>
  <c r="C19" i="15"/>
  <c r="F62" i="15"/>
  <c r="C61" i="15"/>
  <c r="C58" i="15"/>
  <c r="C34" i="15"/>
  <c r="C31" i="15"/>
  <c r="J20" i="15"/>
  <c r="E4" i="67"/>
  <c r="C18" i="43"/>
  <c r="A6" i="51"/>
  <c r="B7" i="63"/>
  <c r="A20" i="64"/>
  <c r="A20" i="51"/>
  <c r="B15" i="63"/>
  <c r="N5" i="54"/>
  <c r="B43" i="63"/>
  <c r="A6" i="64"/>
  <c r="D16" i="6"/>
  <c r="D8" i="66"/>
  <c r="D7" i="66"/>
  <c r="R26" i="6"/>
  <c r="R24" i="6"/>
  <c r="R22" i="6"/>
  <c r="D30" i="6"/>
  <c r="K48" i="35"/>
  <c r="C26" i="46"/>
  <c r="L52" i="37"/>
  <c r="S19" i="6"/>
  <c r="S27" i="6"/>
  <c r="I27" i="6"/>
  <c r="J59" i="34"/>
  <c r="H19" i="6"/>
  <c r="H27" i="6"/>
  <c r="R25" i="6"/>
  <c r="R23" i="6"/>
  <c r="R21" i="6"/>
  <c r="D27" i="6"/>
  <c r="D31" i="6"/>
  <c r="N65" i="40"/>
  <c r="N67" i="40"/>
  <c r="H9" i="40"/>
  <c r="M67" i="40"/>
  <c r="T13" i="1"/>
  <c r="T9" i="1"/>
  <c r="T8" i="1"/>
  <c r="T16" i="1"/>
  <c r="T10" i="1"/>
  <c r="T12" i="1"/>
  <c r="T11" i="1"/>
  <c r="C18" i="12"/>
  <c r="C23" i="12"/>
  <c r="C27" i="46"/>
  <c r="F9" i="40"/>
  <c r="C30" i="72"/>
  <c r="C39" i="72"/>
  <c r="Q70" i="72"/>
  <c r="Q69" i="72"/>
  <c r="B59" i="39"/>
  <c r="F59" i="39"/>
  <c r="B60" i="39"/>
  <c r="F60" i="39"/>
  <c r="B61" i="39"/>
  <c r="F61" i="39"/>
  <c r="B62" i="39"/>
  <c r="F62" i="39"/>
  <c r="B63" i="39"/>
  <c r="F63" i="39"/>
  <c r="B64" i="39"/>
  <c r="F64" i="39"/>
  <c r="B65" i="39"/>
  <c r="F65" i="39"/>
  <c r="B66" i="39"/>
  <c r="F66" i="39"/>
  <c r="B67" i="39"/>
  <c r="F67" i="39"/>
  <c r="B58" i="39"/>
  <c r="F58" i="39"/>
  <c r="J18" i="44"/>
  <c r="J27" i="44"/>
  <c r="Q71" i="44"/>
  <c r="Q70" i="44"/>
  <c r="C44" i="44"/>
  <c r="C45" i="44"/>
  <c r="B2" i="44"/>
  <c r="C70" i="72"/>
  <c r="E7" i="67"/>
  <c r="C40" i="72"/>
  <c r="C43" i="72"/>
  <c r="E3" i="67"/>
  <c r="U9" i="40"/>
  <c r="AB9" i="40"/>
  <c r="T44" i="40"/>
  <c r="G44" i="40"/>
  <c r="AA9" i="40"/>
  <c r="R44" i="40"/>
  <c r="S9" i="40"/>
  <c r="I6" i="6"/>
  <c r="I5" i="6"/>
  <c r="J9" i="40"/>
  <c r="M52" i="37"/>
  <c r="N52" i="37"/>
  <c r="O52" i="37"/>
  <c r="J7" i="37"/>
  <c r="F7" i="37"/>
  <c r="R19" i="6"/>
  <c r="K59" i="34"/>
  <c r="H7" i="37"/>
  <c r="B2" i="46"/>
  <c r="L48" i="35"/>
  <c r="C19" i="43"/>
  <c r="C22" i="43"/>
  <c r="C21" i="43"/>
  <c r="C20" i="15"/>
  <c r="C23" i="15"/>
  <c r="J39" i="72"/>
  <c r="J40" i="72"/>
  <c r="F68" i="39"/>
  <c r="B2" i="39"/>
  <c r="B4" i="39"/>
  <c r="B4" i="44"/>
  <c r="B3" i="44"/>
  <c r="B5" i="44"/>
  <c r="L51" i="72"/>
  <c r="B7" i="67"/>
  <c r="C21" i="9"/>
  <c r="C19" i="9"/>
  <c r="C46" i="72"/>
  <c r="Q57" i="72"/>
  <c r="Q63" i="72"/>
  <c r="B2" i="72"/>
  <c r="B3" i="72"/>
  <c r="Q66" i="72"/>
  <c r="Q76" i="72"/>
  <c r="J42" i="72"/>
  <c r="J43" i="72"/>
  <c r="Q48" i="72"/>
  <c r="Q54" i="72"/>
  <c r="C25" i="43"/>
  <c r="C24" i="43"/>
  <c r="C28" i="43"/>
  <c r="C30" i="43"/>
  <c r="C32" i="43"/>
  <c r="B2" i="43"/>
  <c r="B5" i="43"/>
  <c r="B2" i="67"/>
  <c r="Q68" i="72"/>
  <c r="C26" i="15"/>
  <c r="C29" i="15"/>
  <c r="D4" i="46"/>
  <c r="B4" i="46"/>
  <c r="B3" i="46"/>
  <c r="R6" i="1"/>
  <c r="R16" i="1"/>
  <c r="R27" i="6"/>
  <c r="AA7" i="37"/>
  <c r="R42" i="37"/>
  <c r="S7" i="37"/>
  <c r="W9" i="40"/>
  <c r="AC9" i="40"/>
  <c r="V44" i="40"/>
  <c r="I44" i="40"/>
  <c r="E44" i="40"/>
  <c r="R45" i="40"/>
  <c r="M48" i="35"/>
  <c r="AB7" i="37"/>
  <c r="T42" i="37"/>
  <c r="G42" i="37"/>
  <c r="U7" i="37"/>
  <c r="L59" i="34"/>
  <c r="W7" i="37"/>
  <c r="AC7" i="37"/>
  <c r="V42" i="37"/>
  <c r="I42" i="37"/>
  <c r="G48" i="40"/>
  <c r="H48" i="40"/>
  <c r="G49" i="40"/>
  <c r="H49" i="40"/>
  <c r="L43" i="9"/>
  <c r="B3" i="39"/>
  <c r="B5" i="39"/>
  <c r="C20" i="9"/>
  <c r="B3" i="43"/>
  <c r="B4" i="43"/>
  <c r="I46" i="37"/>
  <c r="J46" i="37"/>
  <c r="M59" i="34"/>
  <c r="G47" i="37"/>
  <c r="H47" i="37"/>
  <c r="G46" i="37"/>
  <c r="H46" i="37"/>
  <c r="N48" i="35"/>
  <c r="C45" i="40"/>
  <c r="C44" i="40"/>
  <c r="I49" i="40"/>
  <c r="J49" i="40"/>
  <c r="I48" i="40"/>
  <c r="J48" i="40"/>
  <c r="E48" i="40"/>
  <c r="F48" i="40"/>
  <c r="E49" i="40"/>
  <c r="F49" i="40"/>
  <c r="E42" i="37"/>
  <c r="R43" i="37"/>
  <c r="C36" i="15"/>
  <c r="J14" i="15"/>
  <c r="C13" i="15"/>
  <c r="J19" i="15"/>
  <c r="J17" i="15"/>
  <c r="Q50" i="15"/>
  <c r="C56" i="15"/>
  <c r="C63" i="15"/>
  <c r="B3" i="67"/>
  <c r="B4" i="67"/>
  <c r="J22" i="15"/>
  <c r="J13" i="15"/>
  <c r="J23" i="15"/>
  <c r="C43" i="37"/>
  <c r="B3" i="37"/>
  <c r="B2" i="37"/>
  <c r="C42" i="37"/>
  <c r="J35" i="15"/>
  <c r="C55" i="15"/>
  <c r="C64" i="15"/>
  <c r="C57" i="15"/>
  <c r="C66" i="15"/>
  <c r="C67" i="15"/>
  <c r="C37" i="15"/>
  <c r="C30" i="15"/>
  <c r="C39" i="15"/>
  <c r="Q71" i="15"/>
  <c r="E47" i="37"/>
  <c r="F47" i="37"/>
  <c r="E46" i="37"/>
  <c r="F46" i="37"/>
  <c r="B61" i="40"/>
  <c r="F61" i="40"/>
  <c r="B54" i="40"/>
  <c r="F54" i="40"/>
  <c r="B53" i="40"/>
  <c r="F53" i="40"/>
  <c r="B56" i="40"/>
  <c r="F56" i="40"/>
  <c r="B58" i="40"/>
  <c r="F58" i="40"/>
  <c r="B55" i="40"/>
  <c r="F55" i="40"/>
  <c r="B57" i="40"/>
  <c r="F57" i="40"/>
  <c r="B60" i="40"/>
  <c r="F60" i="40"/>
  <c r="B59" i="40"/>
  <c r="F59" i="40"/>
  <c r="B62" i="40"/>
  <c r="F62" i="40"/>
  <c r="F63" i="40"/>
  <c r="B2" i="40"/>
  <c r="I47" i="37"/>
  <c r="J47" i="37"/>
  <c r="O48" i="35"/>
  <c r="H7" i="35"/>
  <c r="N59" i="34"/>
  <c r="O59" i="34"/>
  <c r="F7" i="34"/>
  <c r="H7" i="34"/>
  <c r="J7" i="34"/>
  <c r="J16" i="15"/>
  <c r="J25" i="15"/>
  <c r="AB7" i="34"/>
  <c r="T49" i="34"/>
  <c r="G49" i="34"/>
  <c r="U7" i="34"/>
  <c r="AB7" i="35"/>
  <c r="T38" i="35"/>
  <c r="G38" i="35"/>
  <c r="U7" i="35"/>
  <c r="Q70" i="15"/>
  <c r="Q69" i="15"/>
  <c r="C40" i="15"/>
  <c r="C46" i="15"/>
  <c r="J39" i="15"/>
  <c r="J40" i="15"/>
  <c r="W7" i="34"/>
  <c r="AC7" i="34"/>
  <c r="V49" i="34"/>
  <c r="I49" i="34"/>
  <c r="S7" i="34"/>
  <c r="AA7" i="34"/>
  <c r="R49" i="34"/>
  <c r="F7" i="35"/>
  <c r="J7" i="35"/>
  <c r="B3" i="40"/>
  <c r="B4" i="40"/>
  <c r="B5" i="40"/>
  <c r="C70" i="15"/>
  <c r="L51" i="15"/>
  <c r="Q68" i="15"/>
  <c r="Q66" i="15"/>
  <c r="Q76" i="15"/>
  <c r="B2" i="15"/>
  <c r="D10" i="12"/>
  <c r="C43" i="15"/>
  <c r="Q48" i="15"/>
  <c r="Q54" i="15"/>
  <c r="Q57" i="15"/>
  <c r="Q63" i="15"/>
  <c r="J42" i="15"/>
  <c r="J43" i="15"/>
  <c r="AC7" i="35"/>
  <c r="V38" i="35"/>
  <c r="I38" i="35"/>
  <c r="W7" i="35"/>
  <c r="R50" i="34"/>
  <c r="E49" i="34"/>
  <c r="I53" i="34"/>
  <c r="J53" i="34"/>
  <c r="I54" i="34"/>
  <c r="J54" i="34"/>
  <c r="AA7" i="35"/>
  <c r="R38" i="35"/>
  <c r="S7" i="35"/>
  <c r="G42" i="35"/>
  <c r="H42" i="35"/>
  <c r="G43" i="35"/>
  <c r="H43" i="35"/>
  <c r="G54" i="34"/>
  <c r="H54" i="34"/>
  <c r="G53" i="34"/>
  <c r="H53" i="34"/>
  <c r="E54" i="34"/>
  <c r="F54" i="34"/>
  <c r="E53" i="34"/>
  <c r="F53" i="34"/>
  <c r="B3" i="15"/>
  <c r="D8" i="12"/>
  <c r="C6" i="12"/>
  <c r="R39" i="35"/>
  <c r="E38" i="35"/>
  <c r="C50" i="34"/>
  <c r="B3" i="34"/>
  <c r="B2" i="34"/>
  <c r="C49" i="34"/>
  <c r="I43" i="35"/>
  <c r="J43" i="35"/>
  <c r="I42" i="35"/>
  <c r="J42" i="35"/>
  <c r="C39" i="35"/>
  <c r="B3" i="35"/>
  <c r="B2" i="35"/>
  <c r="C38" i="35"/>
  <c r="E43" i="35"/>
  <c r="F43" i="35"/>
  <c r="E42" i="35"/>
  <c r="F42" i="35"/>
  <c r="C29" i="12"/>
  <c r="C24" i="12"/>
  <c r="C28" i="12"/>
  <c r="C26" i="12"/>
  <c r="C31" i="12"/>
  <c r="C30" i="12"/>
  <c r="C35" i="12"/>
  <c r="C33" i="12"/>
  <c r="C36" i="12"/>
  <c r="B2" i="12"/>
  <c r="D19" i="9"/>
  <c r="G19" i="9"/>
  <c r="D22" i="9"/>
  <c r="L44" i="9"/>
  <c r="B4" i="12"/>
  <c r="B3" i="12"/>
  <c r="B5" i="12"/>
  <c r="D21" i="9"/>
  <c r="D20" i="9"/>
  <c r="G21" i="9"/>
  <c r="G20" i="9"/>
  <c r="C32" i="9"/>
  <c r="G22" i="9"/>
  <c r="N43" i="9"/>
  <c r="O38" i="9"/>
  <c r="O43" i="9"/>
  <c r="C33" i="9"/>
  <c r="C34" i="9"/>
  <c r="C42" i="9"/>
  <c r="C35" i="9"/>
  <c r="F42" i="9"/>
  <c r="N38" i="9"/>
  <c r="K28" i="9"/>
  <c r="D42" i="9"/>
  <c r="Q5" i="54"/>
  <c r="B47" i="63"/>
  <c r="E42" i="9"/>
  <c r="P5" i="54"/>
  <c r="B46" i="63"/>
  <c r="M38" i="9"/>
  <c r="K27" i="9"/>
  <c r="D63" i="9"/>
  <c r="R5" i="54"/>
  <c r="B48" i="63"/>
  <c r="N68" i="9"/>
  <c r="D14" i="66"/>
  <c r="C44" i="9"/>
  <c r="K26" i="9"/>
  <c r="K25" i="9"/>
  <c r="N69" i="9"/>
  <c r="O39" i="9"/>
  <c r="F44" i="9"/>
  <c r="G14" i="66"/>
  <c r="B6" i="66"/>
  <c r="E44" i="9"/>
  <c r="D44" i="9"/>
  <c r="D71" i="9"/>
  <c r="D66" i="9"/>
  <c r="N72" i="9"/>
  <c r="C82" i="9"/>
  <c r="C81" i="9"/>
  <c r="C85" i="9"/>
  <c r="C86" i="9"/>
  <c r="D72" i="9"/>
  <c r="C96" i="9"/>
  <c r="C91" i="9"/>
  <c r="C90" i="9"/>
  <c r="C111" i="9"/>
  <c r="C104" i="9"/>
  <c r="D70" i="9"/>
  <c r="D73" i="9"/>
  <c r="N73" i="9"/>
  <c r="C103" i="9"/>
  <c r="F14" i="66"/>
  <c r="B5" i="66"/>
  <c r="E14" i="66"/>
  <c r="D5" i="66"/>
  <c r="C5" i="66"/>
  <c r="C113" i="9"/>
  <c r="C97" i="9"/>
  <c r="D6" i="66"/>
  <c r="C6" i="66"/>
  <c r="K29" i="9"/>
  <c r="K30" i="9"/>
  <c r="R6" i="54"/>
  <c r="B50" i="63"/>
  <c r="M86" i="9"/>
  <c r="N86" i="9"/>
  <c r="M88" i="9"/>
  <c r="N88" i="9"/>
  <c r="M85" i="9"/>
  <c r="N85" i="9"/>
  <c r="M84" i="9"/>
  <c r="N84" i="9"/>
  <c r="M87" i="9"/>
  <c r="N87" i="9"/>
  <c r="M83" i="9"/>
  <c r="N83" i="9"/>
  <c r="N89" i="9"/>
  <c r="O89" i="9"/>
  <c r="C98" i="9"/>
  <c r="E98" i="9"/>
  <c r="E99" i="9"/>
  <c r="C99" i="9"/>
  <c r="C114" i="9"/>
  <c r="E114" i="9"/>
  <c r="E115" i="9"/>
  <c r="C115" i="9"/>
  <c r="D76" i="9"/>
  <c r="D74" i="9"/>
  <c r="N74" i="9"/>
  <c r="O77" i="9"/>
  <c r="O79" i="9"/>
  <c r="O78" i="9"/>
  <c r="Q77" i="9"/>
  <c r="O81" i="9"/>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<sst xmlns="http://schemas.openxmlformats.org/spreadsheetml/2006/main" count="7774" uniqueCount="3262">
  <si>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</si>
  <si>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</si>
  <si>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</si>
  <si>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</si>
  <si>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</si>
  <si>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</si>
  <si>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</si>
  <si>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</si>
  <si>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</si>
  <si>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</si>
  <si>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</si>
  <si>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</si>
  <si>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</si>
  <si>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</si>
  <si>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</si>
  <si>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</si>
  <si>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</si>
  <si>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</si>
  <si>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</si>
  <si>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</si>
  <si>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</si>
  <si>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</si>
  <si>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</si>
  <si>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</si>
  <si>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</si>
  <si>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</si>
  <si>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</si>
  <si>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</si>
  <si>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</si>
  <si>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</si>
  <si>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</si>
  <si>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</si>
  <si>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</si>
  <si>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</si>
  <si>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</si>
  <si>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</si>
  <si>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</si>
  <si>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</si>
  <si>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</si>
  <si>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</si>
  <si>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</si>
  <si>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</si>
  <si>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</si>
  <si>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</si>
  <si>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</si>
  <si>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</si>
  <si>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</si>
  <si>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</si>
  <si>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</si>
  <si>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</si>
  <si>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</si>
  <si>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</si>
  <si>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</si>
  <si>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</si>
  <si>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</si>
  <si>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</si>
  <si>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</si>
  <si>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</si>
  <si>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</si>
  <si>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</si>
  <si>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</si>
  <si>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</si>
  <si>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</si>
  <si>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</si>
  <si>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</si>
  <si>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</si>
  <si>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</si>
  <si>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</si>
  <si>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</si>
  <si>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</si>
  <si>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</si>
  <si>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</si>
  <si>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</si>
  <si>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</si>
  <si>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</si>
  <si>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</si>
  <si>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</si>
  <si>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</si>
  <si>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</si>
  <si>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</si>
  <si>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</si>
  <si>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</si>
  <si>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</si>
  <si>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</si>
  <si>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</si>
  <si>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</si>
  <si>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</si>
  <si>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</si>
  <si>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</si>
  <si>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</si>
  <si>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</si>
  <si>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</si>
  <si>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</si>
  <si>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</si>
  <si>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</si>
  <si>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</si>
  <si>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</si>
  <si>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</si>
  <si>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</si>
  <si>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</si>
  <si>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</si>
  <si>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</si>
  <si>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</si>
  <si>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</si>
  <si>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</si>
  <si>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</si>
  <si>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</si>
  <si>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</si>
  <si>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</si>
  <si>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</si>
  <si>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</si>
  <si>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</si>
  <si>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</si>
  <si>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</si>
  <si>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</si>
  <si>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</si>
  <si>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</si>
  <si>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</si>
  <si>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</si>
  <si>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</si>
  <si>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</si>
  <si>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</si>
  <si>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</si>
  <si>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</si>
  <si>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</si>
  <si>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</si>
  <si>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</si>
  <si>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</si>
  <si>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</si>
  <si>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</si>
  <si>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</si>
  <si>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</si>
  <si>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</si>
  <si>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</si>
  <si>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</si>
  <si>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</si>
  <si>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</si>
  <si>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</si>
  <si>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</si>
  <si>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</si>
  <si>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</si>
  <si>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</si>
  <si>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</si>
  <si>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</si>
  <si>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</si>
  <si>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</si>
  <si>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</si>
  <si>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</si>
  <si>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</si>
  <si>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</si>
  <si>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</si>
  <si>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</si>
  <si>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</si>
  <si>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</si>
  <si>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</si>
  <si>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</si>
  <si>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</si>
  <si>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</si>
  <si>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</si>
  <si>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</si>
  <si>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</si>
  <si>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</si>
  <si>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</si>
  <si>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</si>
  <si>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</si>
  <si>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</si>
  <si>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</si>
  <si>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</si>
  <si>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</si>
  <si>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</si>
  <si>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</si>
  <si>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</si>
  <si>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</si>
  <si>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</si>
  <si>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</si>
  <si>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</si>
  <si>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</si>
  <si>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</si>
  <si>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</si>
  <si>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</si>
  <si>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</si>
  <si>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</si>
  <si>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</si>
  <si>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</si>
  <si>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</si>
  <si>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</si>
  <si>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</si>
  <si>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</si>
  <si>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</si>
  <si>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</si>
  <si>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</si>
  <si>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</si>
  <si>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</si>
  <si>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</si>
  <si>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</si>
  <si>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</si>
  <si>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</si>
  <si>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</si>
  <si>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</si>
  <si>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</si>
  <si>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</si>
  <si>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</si>
  <si>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</si>
  <si>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</si>
  <si>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</si>
  <si>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</si>
  <si>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</si>
  <si>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</si>
  <si>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</si>
  <si>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</si>
  <si>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</si>
  <si>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</si>
  <si>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</si>
  <si>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</si>
  <si>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</si>
  <si>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</si>
  <si>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</si>
  <si>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</si>
  <si>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</si>
  <si>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</si>
  <si>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</si>
  <si>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</si>
  <si>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</si>
  <si>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</si>
  <si>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</si>
  <si>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</si>
  <si>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</si>
  <si>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</si>
  <si>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</si>
  <si>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</si>
  <si>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</si>
  <si>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</si>
  <si>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</si>
  <si>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</si>
  <si>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</si>
  <si>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</si>
  <si>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</si>
  <si>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</si>
  <si>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</si>
  <si>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</si>
  <si>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</si>
  <si>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</si>
  <si>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</si>
  <si>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</si>
  <si>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</si>
  <si>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</si>
  <si>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</si>
  <si>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</si>
  <si>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</si>
  <si>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</si>
  <si>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</si>
  <si>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</si>
  <si>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</si>
  <si>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</si>
  <si>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</si>
  <si>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</si>
  <si>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</si>
  <si>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</si>
  <si>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</si>
  <si>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</si>
  <si>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</si>
  <si>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</si>
  <si>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</si>
  <si>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</si>
  <si>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</si>
  <si>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</si>
  <si>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</si>
  <si>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</si>
  <si>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</si>
  <si>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</si>
  <si>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</si>
  <si>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</si>
  <si>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</si>
  <si>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</si>
  <si>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</si>
  <si>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</si>
  <si>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</si>
  <si>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</si>
  <si>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</si>
  <si>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</si>
  <si>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</si>
  <si>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</si>
  <si>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</si>
  <si>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</si>
  <si>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</si>
  <si>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</si>
  <si>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</si>
  <si>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</si>
  <si>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</si>
  <si>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</si>
  <si>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</si>
  <si>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</si>
  <si>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</si>
  <si>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</si>
  <si>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</si>
  <si>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</si>
  <si>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</si>
  <si>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</si>
  <si>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</si>
  <si>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</si>
  <si>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</si>
  <si>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</si>
  <si>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</si>
  <si>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</si>
  <si>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</si>
  <si>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</si>
  <si>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</si>
  <si>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</si>
  <si>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</si>
  <si>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</si>
  <si>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</si>
  <si>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</si>
  <si>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</si>
  <si>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</si>
  <si>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</si>
  <si>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</si>
  <si>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</si>
  <si>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</si>
  <si>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</si>
  <si>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</si>
  <si>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</si>
  <si>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</si>
  <si>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</si>
  <si>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</si>
  <si>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</si>
  <si>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</si>
  <si>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</si>
  <si>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</si>
  <si>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</si>
  <si>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</si>
  <si>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</si>
  <si>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</si>
  <si>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</si>
  <si>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</si>
  <si>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</si>
  <si>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</si>
  <si>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</si>
  <si>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</si>
  <si>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</si>
  <si>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</si>
  <si>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</si>
  <si>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</si>
  <si>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</si>
  <si>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</si>
  <si>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</si>
  <si>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</si>
  <si>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</si>
  <si>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</si>
  <si>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</si>
  <si>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</si>
  <si>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</si>
  <si>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</si>
  <si>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</si>
  <si>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</si>
  <si>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</si>
  <si>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</si>
  <si>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</si>
  <si>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</si>
  <si>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</si>
  <si>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</si>
  <si>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</si>
  <si>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</si>
  <si>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</si>
  <si>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</si>
  <si>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</si>
  <si>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</si>
  <si>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</si>
  <si>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</si>
  <si>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</si>
  <si>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</si>
  <si>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</si>
  <si>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</si>
  <si>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</si>
  <si>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</si>
  <si>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</si>
  <si>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</si>
  <si>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</si>
  <si>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</si>
  <si>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</si>
  <si>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</si>
  <si>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</si>
  <si>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</si>
  <si>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</si>
  <si>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</si>
  <si>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</si>
  <si>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</si>
  <si>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</si>
  <si>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</si>
  <si>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</si>
  <si>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</si>
  <si>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</si>
  <si>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</si>
  <si>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</si>
  <si>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</si>
  <si>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</si>
  <si>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</si>
  <si>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</si>
  <si>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</si>
  <si>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</si>
  <si>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</si>
  <si>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</si>
  <si>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</si>
  <si>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</si>
  <si>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</si>
  <si>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</si>
  <si>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</si>
  <si>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</si>
  <si>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</si>
  <si>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</si>
  <si>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</si>
  <si>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</si>
  <si>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</si>
  <si>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</si>
  <si>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</si>
  <si>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</si>
  <si>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</si>
  <si>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</si>
  <si>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</si>
  <si>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</si>
  <si>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</si>
  <si>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</si>
  <si>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</si>
  <si>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</si>
  <si>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</si>
  <si>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</si>
  <si>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</si>
  <si>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</si>
  <si>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</si>
  <si>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</si>
  <si>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</si>
  <si>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</si>
  <si>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</si>
  <si>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</si>
  <si>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</si>
  <si>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</si>
  <si>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</si>
  <si>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</si>
  <si>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</si>
  <si>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</si>
  <si>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</si>
  <si>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</si>
  <si>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</si>
  <si>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</si>
  <si>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</si>
  <si>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</si>
  <si>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</si>
  <si>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</si>
  <si>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</si>
  <si>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</si>
  <si>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</si>
  <si>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</si>
  <si>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</si>
  <si>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</si>
  <si>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</si>
  <si>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</si>
  <si>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</si>
  <si>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</si>
  <si>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</si>
  <si>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</si>
  <si>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</si>
  <si>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</si>
  <si>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</si>
  <si>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</si>
  <si>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</si>
  <si>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</si>
  <si>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</si>
  <si>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</si>
  <si>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</si>
  <si>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</si>
  <si>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</si>
  <si>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</si>
  <si>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</si>
  <si>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</si>
  <si>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</si>
  <si>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</si>
  <si>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</si>
  <si>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</si>
  <si>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</si>
  <si>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</si>
  <si>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</si>
  <si>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</si>
  <si>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</si>
  <si>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</si>
  <si>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</si>
  <si>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</si>
  <si>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</si>
  <si>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</si>
  <si>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</si>
  <si>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</si>
  <si>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</si>
  <si>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</si>
  <si>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</si>
  <si>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</si>
  <si>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</si>
  <si>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</si>
  <si>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</si>
  <si>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</si>
  <si>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</si>
  <si>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</si>
  <si>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</si>
  <si>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</si>
  <si>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</si>
  <si>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</si>
  <si>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</si>
  <si>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</si>
  <si>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</si>
  <si>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</si>
  <si>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</si>
  <si>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</si>
  <si>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</si>
  <si>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</si>
  <si>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</si>
  <si>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</si>
  <si>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</si>
  <si>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</si>
  <si>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</si>
  <si>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</si>
  <si>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</si>
  <si>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</si>
  <si>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</si>
  <si>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</si>
  <si>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</si>
  <si>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</si>
  <si>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</si>
  <si>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</si>
  <si>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</si>
  <si>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</si>
  <si>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</si>
  <si>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</si>
  <si>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</si>
  <si>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</si>
  <si>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</si>
  <si>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</si>
  <si>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</si>
  <si>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</si>
  <si>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</si>
  <si>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</si>
  <si>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</si>
  <si>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</si>
  <si>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</si>
  <si>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</si>
  <si>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</si>
  <si>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</si>
  <si>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</si>
  <si>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</si>
  <si>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</si>
  <si>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</si>
  <si>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</si>
  <si>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</si>
  <si>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</si>
  <si>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</si>
  <si>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</si>
  <si>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</si>
  <si>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</si>
  <si>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</si>
  <si>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</si>
  <si>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</si>
  <si>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</si>
  <si>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</si>
  <si>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</si>
  <si>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</si>
  <si>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</si>
  <si>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</si>
  <si>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</si>
  <si>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</si>
  <si>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</si>
  <si>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</si>
  <si>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</si>
  <si>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</si>
  <si>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</si>
  <si>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</si>
  <si>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</si>
  <si>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</si>
  <si>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</si>
  <si>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</si>
  <si>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</si>
  <si>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</si>
  <si>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</si>
  <si>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</si>
  <si>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</si>
  <si>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</si>
  <si>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</si>
  <si>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</si>
  <si>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</si>
  <si>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</si>
  <si>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</si>
  <si>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</si>
  <si>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</si>
  <si>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</si>
  <si>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</si>
  <si>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</si>
  <si>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</si>
  <si>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</si>
  <si>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</si>
  <si>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</si>
  <si>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</si>
  <si>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</si>
  <si>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</si>
  <si>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</si>
  <si>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</si>
  <si>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</si>
  <si>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</si>
  <si>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</si>
  <si>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</si>
  <si>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</si>
  <si>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</si>
  <si>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</si>
  <si>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</si>
  <si>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</si>
  <si>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</si>
  <si>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</si>
  <si>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</si>
  <si>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</si>
  <si>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</si>
  <si>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</si>
  <si>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</si>
  <si>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</si>
  <si>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</si>
  <si>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</si>
  <si>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</si>
  <si>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</si>
  <si>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</si>
  <si>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</si>
  <si>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</si>
  <si>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</si>
  <si>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</si>
  <si>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</si>
  <si>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</si>
  <si>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</si>
  <si>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</si>
  <si>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</si>
  <si>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</si>
  <si>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</si>
  <si>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</si>
  <si>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</si>
  <si>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</si>
  <si>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</si>
  <si>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</si>
  <si>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</si>
  <si>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</si>
  <si>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</si>
  <si>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</si>
  <si>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</si>
  <si>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</si>
  <si>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</si>
  <si>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</si>
  <si>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</si>
  <si>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</si>
  <si>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</si>
  <si>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</si>
  <si>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</si>
  <si>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</si>
  <si>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</si>
  <si>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</si>
  <si>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</si>
  <si>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</si>
  <si>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</si>
  <si>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</si>
  <si>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</si>
  <si>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</si>
  <si>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</si>
  <si>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</si>
  <si>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</si>
  <si>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</si>
  <si>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</si>
  <si>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</si>
  <si>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</si>
  <si>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</si>
  <si>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</si>
  <si>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</si>
  <si>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</si>
  <si>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</si>
  <si>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</si>
  <si>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</si>
  <si>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</si>
  <si>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</si>
  <si>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</si>
  <si>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</si>
  <si>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</si>
  <si>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</si>
  <si>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</si>
  <si>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</si>
  <si>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</si>
  <si>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</si>
  <si>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</si>
  <si>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</si>
  <si>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</si>
  <si>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</si>
  <si>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</si>
  <si>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</si>
  <si>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</si>
  <si>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</si>
  <si>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</si>
  <si>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</si>
  <si>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</si>
  <si>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</si>
  <si>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</si>
  <si>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</si>
  <si>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</si>
  <si>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</si>
  <si>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</si>
  <si>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</si>
  <si>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</si>
  <si>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</si>
  <si>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</si>
  <si>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</si>
  <si>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</si>
  <si>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</si>
  <si>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</si>
  <si>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</si>
  <si>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</si>
  <si>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</si>
  <si>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</si>
  <si>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</si>
  <si>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</si>
  <si>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</si>
  <si>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</si>
  <si>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</si>
  <si>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</si>
  <si>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</si>
  <si>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</si>
  <si>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</si>
  <si>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</si>
  <si>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</si>
  <si>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</si>
  <si>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</si>
  <si>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</si>
  <si>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</si>
  <si>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</si>
  <si>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</si>
  <si>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</si>
  <si>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</si>
  <si>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</si>
  <si>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</si>
  <si>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</si>
  <si>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</si>
  <si>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</si>
  <si>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</si>
  <si>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</si>
  <si>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</si>
  <si>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</si>
  <si>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</si>
  <si>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</si>
  <si>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</si>
  <si>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</si>
  <si>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</si>
  <si>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</si>
  <si>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</si>
  <si>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</si>
  <si>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</si>
  <si>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</si>
  <si>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</si>
  <si>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</si>
  <si>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</si>
  <si>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</si>
  <si>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</si>
  <si>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</si>
  <si>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</si>
  <si>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</si>
  <si>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</si>
  <si>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</si>
  <si>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</si>
  <si>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</si>
  <si>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</si>
  <si>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</si>
  <si>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</si>
  <si>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</si>
  <si>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</si>
  <si>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</si>
  <si>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</si>
  <si>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</si>
  <si>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</si>
  <si>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</si>
  <si>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</si>
  <si>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</si>
  <si>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</si>
  <si>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</si>
  <si>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</si>
  <si>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</si>
  <si>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</si>
  <si>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</si>
  <si>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</si>
  <si>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</si>
  <si>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</si>
  <si>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</si>
  <si>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</si>
  <si>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</si>
  <si>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</si>
  <si>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</si>
  <si>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</si>
  <si>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</si>
  <si>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</si>
  <si>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</si>
  <si>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</si>
  <si>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</si>
  <si>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</si>
  <si>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</si>
  <si>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</si>
  <si>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</si>
  <si>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</si>
  <si>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</si>
  <si>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</si>
  <si>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</si>
  <si>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</si>
  <si>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</si>
  <si>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</si>
  <si>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</si>
  <si>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</si>
  <si>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</si>
  <si>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</si>
  <si>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</si>
  <si>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</si>
  <si>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</si>
  <si>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</si>
  <si>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</si>
  <si>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</si>
  <si>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</si>
  <si>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</si>
  <si>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</si>
  <si>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</si>
  <si>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</si>
  <si>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</si>
  <si>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</si>
  <si>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</si>
  <si>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</si>
  <si>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</si>
  <si>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</si>
  <si>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</si>
  <si>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</si>
  <si>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</si>
  <si>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</si>
  <si>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</si>
  <si>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</si>
  <si>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</si>
  <si>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</si>
  <si>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</si>
  <si>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</si>
  <si>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</si>
  <si>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</si>
  <si>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</si>
  <si>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</si>
  <si>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</si>
  <si>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</si>
  <si>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</si>
  <si>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</si>
  <si>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</si>
  <si>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</si>
  <si>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</si>
  <si>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</si>
  <si>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</si>
  <si>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</si>
  <si>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</si>
  <si>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</si>
  <si>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</si>
  <si>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</si>
  <si>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</si>
  <si>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</si>
  <si>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</si>
  <si>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</si>
  <si>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</si>
  <si>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</si>
  <si>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</si>
  <si>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</si>
  <si>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</si>
  <si>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</si>
  <si>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</si>
  <si>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</si>
  <si>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</si>
  <si>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</si>
  <si>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</si>
  <si>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</si>
  <si>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</si>
  <si>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</si>
  <si>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</si>
  <si>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</si>
  <si>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</si>
  <si>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</si>
  <si>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</si>
  <si>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</si>
  <si>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</si>
  <si>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</si>
  <si>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</si>
  <si>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</si>
  <si>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</si>
  <si>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</si>
  <si>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</si>
  <si>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</si>
  <si>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</si>
  <si>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</si>
  <si>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</si>
  <si>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</si>
  <si>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</si>
  <si>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</si>
  <si>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</si>
  <si>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</si>
  <si>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</si>
  <si>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</si>
  <si>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</si>
  <si>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</si>
  <si>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</si>
  <si>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</si>
  <si>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</si>
  <si>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</si>
  <si>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</si>
  <si>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</si>
  <si>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</si>
  <si>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</si>
  <si>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</si>
  <si>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</si>
  <si>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</si>
  <si>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</si>
  <si>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</si>
  <si>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</si>
  <si>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</si>
  <si>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</si>
  <si>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</si>
  <si>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</si>
  <si>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</si>
  <si>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</si>
  <si>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</si>
  <si>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</si>
  <si>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</si>
  <si>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</si>
  <si>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</si>
  <si>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</si>
  <si>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</si>
  <si>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</si>
  <si>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</si>
  <si>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</si>
  <si>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</si>
  <si>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</si>
  <si>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</si>
  <si>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</si>
  <si>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</si>
  <si>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</si>
  <si>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</si>
  <si>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</si>
  <si>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</si>
  <si>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</si>
  <si>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</si>
  <si>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</si>
  <si>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</si>
  <si>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</si>
  <si>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</si>
  <si>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</si>
  <si>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</si>
  <si>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</si>
  <si>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</si>
  <si>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</si>
  <si>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</si>
  <si>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</si>
  <si>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</si>
  <si>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</si>
  <si>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</si>
  <si>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</si>
  <si>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</si>
  <si>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</si>
  <si>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</si>
  <si>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</si>
  <si>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</si>
  <si>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</si>
  <si>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</si>
  <si>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</si>
  <si>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</si>
  <si>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</si>
  <si>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</si>
  <si>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</si>
  <si>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</si>
  <si>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</si>
  <si>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</si>
  <si>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</si>
  <si>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</si>
  <si>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</si>
  <si>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</si>
  <si>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</si>
  <si>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</si>
  <si>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</si>
  <si>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</si>
  <si>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</si>
  <si>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</si>
  <si>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</si>
  <si>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</si>
  <si>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</si>
  <si>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</si>
  <si>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</si>
  <si>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</si>
  <si>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</si>
  <si>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</si>
  <si>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</si>
  <si>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</si>
  <si>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</si>
  <si>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</si>
  <si>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</si>
  <si>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</si>
  <si>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</si>
  <si>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</si>
  <si>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</si>
  <si>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</si>
  <si>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</si>
  <si>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</si>
  <si>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</si>
  <si>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</si>
  <si>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</si>
  <si>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</si>
  <si>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</si>
  <si>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</si>
  <si>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</si>
  <si>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</si>
  <si>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</si>
  <si>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</si>
  <si>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</si>
  <si>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</si>
  <si>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</si>
  <si>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</si>
  <si>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</si>
  <si>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</si>
  <si>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</si>
  <si>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</si>
  <si>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</si>
  <si>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</si>
  <si>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</si>
  <si>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</si>
  <si>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</si>
  <si>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</si>
  <si>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</si>
  <si>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</si>
  <si>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</si>
  <si>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</si>
  <si>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</si>
  <si>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</si>
  <si>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</si>
  <si>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</si>
  <si>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</si>
  <si>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</si>
  <si>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</si>
  <si>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</si>
  <si>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</si>
  <si>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</si>
  <si>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</si>
  <si>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</si>
  <si>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</si>
  <si>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</si>
  <si>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</si>
  <si>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</si>
  <si>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</si>
  <si>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</si>
  <si>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</si>
  <si>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</si>
  <si>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</si>
  <si>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</si>
  <si>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</si>
  <si>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</si>
  <si>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</si>
  <si>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</si>
  <si>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</si>
  <si>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</si>
  <si>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</si>
  <si>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</si>
  <si>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</si>
  <si>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</si>
  <si>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</si>
  <si>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</si>
  <si>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</si>
  <si>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</si>
  <si>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</si>
  <si>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</si>
  <si>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</si>
  <si>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</si>
  <si>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</si>
  <si>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</si>
  <si>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</si>
  <si>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</si>
  <si>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</si>
  <si>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</si>
  <si>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</si>
  <si>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</si>
  <si>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</si>
  <si>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</si>
  <si>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</si>
  <si>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</si>
  <si>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</si>
  <si>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</si>
  <si>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</si>
  <si>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</si>
  <si>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</si>
  <si>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</si>
  <si>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</si>
  <si>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</si>
  <si>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</si>
  <si>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</si>
  <si>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</si>
  <si>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</si>
  <si>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</si>
  <si>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</si>
  <si>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</si>
  <si>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</si>
  <si>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</si>
  <si>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</si>
  <si>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</si>
  <si>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</si>
  <si>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</si>
  <si>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</si>
  <si>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</si>
  <si>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</si>
  <si>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</si>
  <si>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</si>
  <si>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</si>
  <si>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</si>
  <si>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</si>
  <si>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</si>
  <si>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</si>
  <si>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</si>
  <si>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</si>
  <si>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</si>
  <si>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</si>
  <si>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</si>
  <si>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</si>
  <si>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</si>
  <si>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</si>
  <si>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</si>
  <si>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</si>
  <si>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</si>
  <si>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</si>
  <si>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</si>
  <si>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</si>
  <si>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</si>
  <si>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</si>
  <si>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</si>
  <si>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</si>
  <si>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</si>
  <si>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</si>
  <si>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</si>
  <si>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</si>
  <si>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</si>
  <si>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</si>
  <si>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</si>
  <si>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</si>
  <si>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</si>
  <si>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</si>
  <si>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</si>
  <si>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</si>
  <si>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</si>
  <si>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</si>
  <si>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</si>
  <si>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</si>
  <si>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</si>
  <si>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</si>
  <si>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</si>
  <si>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</si>
  <si>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</si>
  <si>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</si>
  <si>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</si>
  <si>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</si>
  <si>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</si>
  <si>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</si>
  <si>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</si>
  <si>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</si>
  <si>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</si>
  <si>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</si>
  <si>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</si>
  <si>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</si>
  <si>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</si>
  <si>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</si>
  <si>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</si>
  <si>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</si>
  <si>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</si>
  <si>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</si>
  <si>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</si>
  <si>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</si>
  <si>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</si>
  <si>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</si>
  <si>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</si>
  <si>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</si>
  <si>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</si>
  <si>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</si>
  <si>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</si>
  <si>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</si>
  <si>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</si>
  <si>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</si>
  <si>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</si>
  <si>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</si>
  <si>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</si>
  <si>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</si>
  <si>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</si>
  <si>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</si>
  <si>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</si>
  <si>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</si>
  <si>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</si>
  <si>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</si>
  <si>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</si>
  <si>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</si>
  <si>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</si>
  <si>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</si>
  <si>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</si>
  <si>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</si>
  <si>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</si>
  <si>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</si>
  <si>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</si>
  <si>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</si>
  <si>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</si>
  <si>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</si>
  <si>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</si>
  <si>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</si>
  <si>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</si>
  <si>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</si>
  <si>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</si>
  <si>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</si>
  <si>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</si>
  <si>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</si>
  <si>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</si>
  <si>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</si>
  <si>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</si>
  <si>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</si>
  <si>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</si>
  <si>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</si>
  <si>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</si>
  <si>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</si>
  <si>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</si>
  <si>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</si>
  <si>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</si>
  <si>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</si>
  <si>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</si>
  <si>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</si>
  <si>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</si>
  <si>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</si>
  <si>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</si>
  <si>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</si>
  <si>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</si>
  <si>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</si>
  <si>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</si>
  <si>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</si>
  <si>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</si>
  <si>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</si>
  <si>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</si>
  <si>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</si>
  <si>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</si>
  <si>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</si>
  <si>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</si>
  <si>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</si>
  <si>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</si>
  <si>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</si>
  <si>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</si>
  <si>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</si>
  <si>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</si>
  <si>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</si>
  <si>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</si>
  <si>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</si>
  <si>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</si>
  <si>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</si>
  <si>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</si>
  <si>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</si>
  <si>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</si>
  <si>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</si>
  <si>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</si>
  <si>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</si>
  <si>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</si>
  <si>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</si>
  <si>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</si>
  <si>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</si>
  <si>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</si>
  <si>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</si>
  <si>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</si>
  <si>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</si>
  <si>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</si>
  <si>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</si>
  <si>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</si>
  <si>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</si>
  <si>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</si>
  <si>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</si>
  <si>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</si>
  <si>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</si>
  <si>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</si>
  <si>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</si>
  <si>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</si>
  <si>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</si>
  <si>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</si>
  <si>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</si>
  <si>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</si>
  <si>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</si>
  <si>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</si>
  <si>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</si>
  <si>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</si>
  <si>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</si>
  <si>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</si>
  <si>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</si>
  <si>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</si>
  <si>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</si>
  <si>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</si>
  <si>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</si>
  <si>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</si>
  <si>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</si>
  <si>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</si>
  <si>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</si>
  <si>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</si>
  <si>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</si>
  <si>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</si>
  <si>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</si>
  <si>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</si>
  <si>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</si>
  <si>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</si>
  <si>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</si>
  <si>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</si>
  <si>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</si>
  <si>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</si>
  <si>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</si>
  <si>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</si>
  <si>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</si>
  <si>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</si>
  <si>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</si>
  <si>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</si>
  <si>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</si>
  <si>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</si>
  <si>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</si>
  <si>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</si>
  <si>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</si>
  <si>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</si>
  <si>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</si>
  <si>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</si>
  <si>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</si>
  <si>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</si>
  <si>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</si>
  <si>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</si>
  <si>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</si>
  <si>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</si>
  <si>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</si>
  <si>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</si>
  <si>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</si>
  <si>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</si>
  <si>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</si>
  <si>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</si>
  <si>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</si>
  <si>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</si>
  <si>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</si>
  <si>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</si>
  <si>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</si>
  <si>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</si>
  <si>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</si>
  <si>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</si>
  <si>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</si>
  <si>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</si>
  <si>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</si>
  <si>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</si>
  <si>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</si>
  <si>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</si>
  <si>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</si>
  <si>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</si>
  <si>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</si>
  <si>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</si>
  <si>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</si>
  <si>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</si>
  <si>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</si>
  <si>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</si>
  <si>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</si>
  <si>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</si>
  <si>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</si>
  <si>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</si>
  <si>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</si>
  <si>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</si>
  <si>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</si>
  <si>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</si>
  <si>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</si>
  <si>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</si>
  <si>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</si>
  <si>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</si>
  <si>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</si>
  <si>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</si>
  <si>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</si>
  <si>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</si>
  <si>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</si>
  <si>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</si>
  <si>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</si>
  <si>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</si>
  <si>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</si>
  <si>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</si>
  <si>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</si>
  <si>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</si>
  <si>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</si>
  <si>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</si>
  <si>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</si>
  <si>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</si>
  <si>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</si>
  <si>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</si>
  <si>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</si>
  <si>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</si>
  <si>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</si>
  <si>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</si>
  <si>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</si>
  <si>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</si>
  <si>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</si>
  <si>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</si>
  <si>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</si>
  <si>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</si>
  <si>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</si>
  <si>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</si>
  <si>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</si>
  <si>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</si>
  <si>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</si>
  <si>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</si>
  <si>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</si>
  <si>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</si>
  <si>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</si>
  <si>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</si>
  <si>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</si>
  <si>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</si>
  <si>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</si>
  <si>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</si>
  <si>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</si>
  <si>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</si>
  <si>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</si>
  <si>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</si>
  <si>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</si>
  <si>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</si>
  <si>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</si>
  <si>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</si>
  <si>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</si>
  <si>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</si>
  <si>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</si>
  <si>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</si>
  <si>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</si>
  <si>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</si>
  <si>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</si>
  <si>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</si>
  <si>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</si>
  <si>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</si>
  <si>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</si>
  <si>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</si>
  <si>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</si>
  <si>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</si>
  <si>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</si>
  <si>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</si>
  <si>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</si>
  <si>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</si>
  <si>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</si>
  <si>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</si>
  <si>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</si>
  <si>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</si>
  <si>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</si>
  <si>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</si>
  <si>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</si>
  <si>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</si>
  <si>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</si>
  <si>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</si>
  <si>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</si>
  <si>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</si>
  <si>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</si>
  <si>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</si>
  <si>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</si>
  <si>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</si>
  <si>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</si>
  <si>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</si>
  <si>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</si>
  <si>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</si>
  <si>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</si>
  <si>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</si>
  <si>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</si>
  <si>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</si>
  <si>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</si>
  <si>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</si>
  <si>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</si>
  <si>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</si>
  <si>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</si>
  <si>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</si>
  <si>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</si>
  <si>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</si>
  <si>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</si>
  <si>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</si>
  <si>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</si>
  <si>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</si>
  <si>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</si>
  <si>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</si>
  <si>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</si>
  <si>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</si>
  <si>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</si>
  <si>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</si>
  <si>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</si>
  <si>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</si>
  <si>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</si>
  <si>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</si>
  <si>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</si>
  <si>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</si>
  <si>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</si>
  <si>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</si>
  <si>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</si>
  <si>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</si>
  <si>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</si>
  <si>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</si>
  <si>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</si>
  <si>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</si>
  <si>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</si>
  <si>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</si>
  <si>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</si>
  <si>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</si>
  <si>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</si>
  <si>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</si>
  <si>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</si>
  <si>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</si>
  <si>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</si>
  <si>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</si>
  <si>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</si>
  <si>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</si>
  <si>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</si>
  <si>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</si>
  <si>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</si>
  <si>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</si>
  <si>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</si>
  <si>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</si>
  <si>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</si>
  <si>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</si>
  <si>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</si>
  <si>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</si>
  <si>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</si>
  <si>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</si>
  <si>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</si>
  <si>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</si>
  <si>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</si>
  <si>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</si>
  <si>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</si>
  <si>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</si>
  <si>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</si>
  <si>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</si>
  <si>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</si>
  <si>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</si>
  <si>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</si>
  <si>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</si>
  <si>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</si>
  <si>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</si>
  <si>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</si>
  <si>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</si>
  <si>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</si>
  <si>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</si>
  <si>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</si>
  <si>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</si>
  <si>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</si>
  <si>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</si>
  <si>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</si>
  <si>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</si>
  <si>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</si>
  <si>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</si>
  <si>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</si>
  <si>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</si>
  <si>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</si>
  <si>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</si>
  <si>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</si>
  <si>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</si>
  <si>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</si>
  <si>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</si>
  <si>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</si>
  <si>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</si>
  <si>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</si>
  <si>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</si>
  <si>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</si>
  <si>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</si>
  <si>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</si>
  <si>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</si>
  <si>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</si>
  <si>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</si>
  <si>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</si>
  <si>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</si>
  <si>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</si>
  <si>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</si>
  <si>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</si>
  <si>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</si>
  <si>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</si>
  <si>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</si>
  <si>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</si>
  <si>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</si>
  <si>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</si>
  <si>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</si>
  <si>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</si>
  <si>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</si>
  <si>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</si>
  <si>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</si>
  <si>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</si>
  <si>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</si>
  <si>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</si>
  <si>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</si>
  <si>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</si>
  <si>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</si>
  <si>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</si>
  <si>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</si>
  <si>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</si>
  <si>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</si>
  <si>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</si>
  <si>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</si>
  <si>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</si>
  <si>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</si>
  <si>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</si>
  <si>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</si>
  <si>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</si>
  <si>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</si>
  <si>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</si>
  <si>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</si>
  <si>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</si>
  <si>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</si>
  <si>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</si>
  <si>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</si>
  <si>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</si>
  <si>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</si>
  <si>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</si>
  <si>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</si>
  <si>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</si>
  <si>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</si>
  <si>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</si>
  <si>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</si>
  <si>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</si>
  <si>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</si>
  <si>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</si>
  <si>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</si>
  <si>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</si>
  <si>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</si>
  <si>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</si>
  <si>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</si>
  <si>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</si>
  <si>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</si>
  <si>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</si>
  <si>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</si>
  <si>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</si>
  <si>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</si>
  <si>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</si>
  <si>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</si>
  <si>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</si>
  <si>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</si>
  <si>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</si>
  <si>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</si>
  <si>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</si>
  <si>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</si>
  <si>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</si>
  <si>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</si>
  <si>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</si>
  <si>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</si>
  <si>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</si>
  <si>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</si>
  <si>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</si>
  <si>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</si>
  <si>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</si>
  <si>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</si>
  <si>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</si>
  <si>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</si>
  <si>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</si>
  <si>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</si>
  <si>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</si>
  <si>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</si>
  <si>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</si>
  <si>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</si>
  <si>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</si>
  <si>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</si>
  <si>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</si>
  <si>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</si>
  <si>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</si>
  <si>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</si>
  <si>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</si>
  <si>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</si>
  <si>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</si>
  <si>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</si>
  <si>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</si>
  <si>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</si>
  <si>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</si>
  <si>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</si>
  <si>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</si>
  <si>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</si>
  <si>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</si>
  <si>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</si>
  <si>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</si>
  <si>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</si>
  <si>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</si>
  <si>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</si>
  <si>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</si>
  <si>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</si>
  <si>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</si>
  <si>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</si>
  <si>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</si>
  <si>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</si>
  <si>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</si>
  <si>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</si>
  <si>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</si>
  <si>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</si>
  <si>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</si>
  <si>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</si>
  <si>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</si>
  <si>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</si>
  <si>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</si>
  <si>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</si>
  <si>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</si>
  <si>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</si>
  <si>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</si>
  <si>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</si>
  <si>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</si>
  <si>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</si>
  <si>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</si>
  <si>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</si>
  <si>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</si>
  <si>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</si>
  <si>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</si>
  <si>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</si>
  <si>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</si>
  <si>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</si>
  <si>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</si>
  <si>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</si>
  <si>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</si>
  <si>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</si>
  <si>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</si>
  <si>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</si>
  <si>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</si>
  <si>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</si>
  <si>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</si>
  <si>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</si>
  <si>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</si>
  <si>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</si>
  <si>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</si>
  <si>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</si>
  <si>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</si>
  <si>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</si>
  <si>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</si>
  <si>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</si>
  <si>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</si>
  <si>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</si>
  <si>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</si>
  <si>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</si>
  <si>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</si>
  <si>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</si>
  <si>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</si>
  <si>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</si>
  <si>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</si>
  <si>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</si>
  <si>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</si>
  <si>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</si>
  <si>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</si>
  <si>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</si>
  <si>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</si>
  <si>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</si>
  <si>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</si>
  <si>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</si>
  <si>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</si>
  <si>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</si>
  <si>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</si>
  <si>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</si>
  <si>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</si>
  <si>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</si>
  <si>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</si>
  <si>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</si>
  <si>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</si>
  <si>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</si>
  <si>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</si>
  <si>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</si>
  <si>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</si>
  <si>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</si>
  <si>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</si>
  <si>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</si>
  <si>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</si>
  <si>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</si>
  <si>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</si>
  <si>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</si>
  <si>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</si>
  <si>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</si>
  <si>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</si>
  <si>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</si>
  <si>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</si>
  <si>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</si>
  <si>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</si>
  <si>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</si>
  <si>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</si>
  <si>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</si>
  <si>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</si>
  <si>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</si>
  <si>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</si>
  <si>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</si>
  <si>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</si>
  <si>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</si>
  <si>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</si>
  <si>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</si>
  <si>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</si>
  <si>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</si>
  <si>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</si>
  <si>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</si>
  <si>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</si>
  <si>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</si>
  <si>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</si>
  <si>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</si>
  <si>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</si>
  <si>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</si>
  <si>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</si>
  <si>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</si>
  <si>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</si>
  <si>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</si>
  <si>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</si>
  <si>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</si>
  <si>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</si>
  <si>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</si>
  <si>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</si>
  <si>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</si>
  <si>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</si>
  <si>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</si>
  <si>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</si>
  <si>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</si>
  <si>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</si>
  <si>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</si>
  <si>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</si>
  <si>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</si>
  <si>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</si>
  <si>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</si>
  <si>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</si>
  <si>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</si>
  <si>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</si>
  <si>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</si>
  <si>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</si>
  <si>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</si>
  <si>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</si>
  <si>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</si>
  <si>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</si>
  <si>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</si>
  <si>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</si>
  <si>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</si>
  <si>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</si>
  <si>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</si>
  <si>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</si>
  <si>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</si>
  <si>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</si>
  <si>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</si>
  <si>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</si>
  <si>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</si>
  <si>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</si>
  <si>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</si>
  <si>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</si>
  <si>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</si>
  <si>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</si>
  <si>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</si>
  <si>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</si>
  <si>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</si>
  <si>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</si>
  <si>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</si>
  <si>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</si>
  <si>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</si>
  <si>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</si>
  <si>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</si>
  <si>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</si>
  <si>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</si>
  <si>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</si>
  <si>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</si>
  <si>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</si>
  <si>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</si>
  <si>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</si>
  <si>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</si>
  <si>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</si>
  <si>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</si>
  <si>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</si>
  <si>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</si>
  <si>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</si>
  <si>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</si>
  <si>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</si>
  <si>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</si>
  <si>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</si>
  <si>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</si>
  <si>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</si>
  <si>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</si>
  <si>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</si>
  <si>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</si>
  <si>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</si>
  <si>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</si>
  <si>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</si>
  <si>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</si>
  <si>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</si>
  <si>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</si>
  <si>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</si>
  <si>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</si>
  <si>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</si>
  <si>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</si>
  <si>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</si>
  <si>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</si>
  <si>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</si>
  <si>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</si>
  <si>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</si>
  <si>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</si>
  <si>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</si>
  <si>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</si>
  <si>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</si>
  <si>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</si>
  <si>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</si>
  <si>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</si>
  <si>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</si>
  <si>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</si>
  <si>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</si>
  <si>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</si>
  <si>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</si>
  <si>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</si>
  <si>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</si>
  <si>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</si>
  <si>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</si>
  <si>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</si>
  <si>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</si>
  <si>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</si>
  <si>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</si>
  <si>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</si>
  <si>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</si>
  <si>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</si>
  <si>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</si>
  <si>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</si>
  <si>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</si>
  <si>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</si>
  <si>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</si>
  <si>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</si>
  <si>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</si>
  <si>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</si>
  <si>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</si>
  <si>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</si>
  <si>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</si>
  <si>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</si>
  <si>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</si>
  <si>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</si>
  <si>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</si>
  <si>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</si>
  <si>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</si>
  <si>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</si>
  <si>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</si>
  <si>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</si>
  <si>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</si>
  <si>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</si>
  <si>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</si>
  <si>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</si>
  <si>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</si>
  <si>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</si>
  <si>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</si>
  <si>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</si>
  <si>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</si>
  <si>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</si>
  <si>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</si>
  <si>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</si>
  <si>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</si>
  <si>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</si>
  <si>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</si>
  <si>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</si>
  <si>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</si>
  <si>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</si>
  <si>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</si>
  <si>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</si>
  <si>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</si>
  <si>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</si>
  <si>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</si>
  <si>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</si>
  <si>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</si>
  <si>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</si>
  <si>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</si>
  <si>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</si>
  <si>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</si>
  <si>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</si>
  <si>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</si>
  <si>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</si>
  <si>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</si>
  <si>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</si>
  <si>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</si>
  <si>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</si>
  <si>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</si>
  <si>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</si>
  <si>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</si>
  <si>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</si>
  <si>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</si>
  <si>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</si>
  <si>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</si>
  <si>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</si>
  <si>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</si>
  <si>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</si>
  <si>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</si>
  <si>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</si>
  <si>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</si>
  <si>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</si>
  <si>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</si>
  <si>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</si>
  <si>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</si>
  <si>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</si>
  <si>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</si>
  <si>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</si>
  <si>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</si>
  <si>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</si>
  <si>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</si>
  <si>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</si>
  <si>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</si>
  <si>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</si>
  <si>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</si>
  <si>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</si>
  <si>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</si>
  <si>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</si>
  <si>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</si>
  <si>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</si>
  <si>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</si>
  <si>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</si>
  <si>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</si>
  <si>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</si>
  <si>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</si>
  <si>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</si>
  <si>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</si>
  <si>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</si>
  <si>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</si>
  <si>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</si>
  <si>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</si>
  <si>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</si>
  <si>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</si>
  <si>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</si>
  <si>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</si>
  <si>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</si>
  <si>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</si>
  <si>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</si>
  <si>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</si>
  <si>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</si>
  <si>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</si>
  <si>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</si>
  <si>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</si>
  <si>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</si>
  <si>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</si>
  <si>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</si>
  <si>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</si>
  <si>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</si>
  <si>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</si>
  <si>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</si>
  <si>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</si>
  <si>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</si>
  <si>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</si>
  <si>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</si>
  <si>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</si>
  <si>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</si>
  <si>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</si>
  <si>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</si>
  <si>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</si>
  <si>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</si>
  <si>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</si>
  <si>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</si>
  <si>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</si>
  <si>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</si>
  <si>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</si>
  <si>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</si>
  <si>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</si>
  <si>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</si>
  <si>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</si>
  <si>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</si>
  <si>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</si>
  <si>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</si>
  <si>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</si>
  <si>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</si>
  <si>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</si>
  <si>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</si>
  <si>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</si>
  <si>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</si>
  <si>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</si>
  <si>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</si>
  <si>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</si>
  <si>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</si>
  <si>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</si>
  <si>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</si>
  <si>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</si>
  <si>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</si>
  <si>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</si>
  <si>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</si>
  <si>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</si>
  <si>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</si>
  <si>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</si>
  <si>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</si>
  <si>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</si>
  <si>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</si>
  <si>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</si>
  <si>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</si>
  <si>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</si>
  <si>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</si>
  <si>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</si>
  <si>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</si>
  <si>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</si>
  <si>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</si>
  <si>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</si>
  <si>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</si>
  <si>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</si>
  <si>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</si>
  <si>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</si>
  <si>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</si>
  <si>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</si>
  <si>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</si>
  <si>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</si>
  <si>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</si>
  <si>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</si>
  <si>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</si>
  <si>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</si>
  <si>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</si>
  <si>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</si>
  <si>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</si>
  <si>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</si>
  <si>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</si>
  <si>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</si>
  <si>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</si>
  <si>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</si>
  <si>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</si>
  <si>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</si>
  <si>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</si>
  <si>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</si>
  <si>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</si>
  <si>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</si>
  <si>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</si>
  <si>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</si>
  <si>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</si>
  <si>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</si>
  <si>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</si>
  <si>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</si>
  <si>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</si>
  <si>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</si>
  <si>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</si>
  <si>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</si>
  <si>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</si>
  <si>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</si>
  <si>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</si>
  <si>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</si>
  <si>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</si>
  <si>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</si>
  <si>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</si>
  <si>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</si>
  <si>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</si>
  <si>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</si>
  <si>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</si>
  <si>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</si>
  <si>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</si>
  <si>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</si>
  <si>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</si>
  <si>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</si>
  <si>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</si>
  <si>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</si>
  <si>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</si>
  <si>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</si>
  <si>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</si>
  <si>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</si>
  <si>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</si>
  <si>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</si>
  <si>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</si>
  <si>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</si>
  <si>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</si>
  <si>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</si>
  <si>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</si>
  <si>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</si>
  <si>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</si>
  <si>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</si>
  <si>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</si>
  <si>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</si>
  <si>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</si>
  <si>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</si>
  <si>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</si>
  <si>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</si>
  <si>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</si>
  <si>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</si>
  <si>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</si>
  <si>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</si>
  <si>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</si>
  <si>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</si>
  <si>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</si>
  <si>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</si>
  <si>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</si>
  <si>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</si>
  <si>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</si>
  <si>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</si>
  <si>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</si>
  <si>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</si>
  <si>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</si>
  <si>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</si>
  <si>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</si>
  <si>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</si>
  <si>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</si>
  <si>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</si>
  <si>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</si>
  <si>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</si>
  <si>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</si>
  <si>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</si>
  <si>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</si>
  <si>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</si>
  <si>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</si>
  <si>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</si>
  <si>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</si>
  <si>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</si>
  <si>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</si>
  <si>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</si>
  <si>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</si>
  <si>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</si>
  <si>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</si>
  <si>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</si>
  <si>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</si>
  <si>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</si>
  <si>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</si>
  <si>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</si>
  <si>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</si>
  <si>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</si>
  <si>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</si>
  <si>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</si>
  <si>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</si>
  <si>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</si>
  <si>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</si>
  <si>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</si>
  <si>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</si>
  <si>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</si>
  <si>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</si>
  <si>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</si>
  <si>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</si>
  <si>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</si>
  <si>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</si>
  <si>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</si>
  <si>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</si>
  <si>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</si>
  <si>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</si>
  <si>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</si>
  <si>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</si>
  <si>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</si>
  <si>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</si>
  <si>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</si>
  <si>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</si>
  <si>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</si>
  <si>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</si>
  <si>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</si>
  <si>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</si>
  <si>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</si>
  <si>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</si>
  <si>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</si>
  <si>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</si>
  <si>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</si>
  <si>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</si>
  <si>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</si>
  <si>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</si>
  <si>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</si>
  <si>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</si>
  <si>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</si>
  <si>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</si>
  <si>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</si>
  <si>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</si>
  <si>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</si>
  <si>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</si>
  <si>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</si>
  <si>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</si>
  <si>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</si>
  <si>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</si>
  <si>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</si>
  <si>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</si>
  <si>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</si>
  <si>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</si>
  <si>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</si>
  <si>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</si>
  <si>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</si>
  <si>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</si>
  <si>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</si>
  <si>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</si>
  <si>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</si>
  <si>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</si>
  <si>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</si>
  <si>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</si>
  <si>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</si>
  <si>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</si>
  <si>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</si>
  <si>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</si>
  <si>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</si>
  <si>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</si>
  <si>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</si>
  <si>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</si>
  <si>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</si>
  <si>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</si>
  <si>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</si>
  <si>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</si>
  <si>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</si>
  <si>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</si>
  <si>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</si>
  <si>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</si>
  <si>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</si>
  <si>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</si>
  <si>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</si>
  <si>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</si>
  <si>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</si>
  <si>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</si>
  <si>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</si>
  <si>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</si>
  <si>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</si>
  <si>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</si>
  <si>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</si>
  <si>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</si>
  <si>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</si>
  <si>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</si>
  <si>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</si>
  <si>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</si>
  <si>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</si>
  <si>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</si>
  <si>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</si>
  <si>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</si>
  <si>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</si>
  <si>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</si>
  <si>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</si>
  <si>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</si>
  <si>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</si>
  <si>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</si>
  <si>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</si>
  <si>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</si>
  <si>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</si>
  <si>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</si>
  <si>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</si>
  <si>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</si>
  <si>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</si>
  <si>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</si>
  <si>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</si>
  <si>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</si>
  <si>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</si>
  <si>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</si>
  <si>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</si>
  <si>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</si>
  <si>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</si>
  <si>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</si>
  <si>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</si>
  <si>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</si>
  <si>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</si>
  <si>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</si>
  <si>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</si>
  <si>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</si>
  <si>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</si>
  <si>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</si>
  <si>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</si>
  <si>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</si>
  <si>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</si>
  <si>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</si>
  <si>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</si>
  <si>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</si>
  <si>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</si>
  <si>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</si>
  <si>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</si>
  <si>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</si>
  <si>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</si>
  <si>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</si>
  <si>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</si>
  <si>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</si>
  <si>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</si>
  <si>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</si>
  <si>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</si>
  <si>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</si>
  <si>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</si>
  <si>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</si>
  <si>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</si>
  <si>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</si>
  <si>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</si>
  <si>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</si>
  <si>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</si>
  <si>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</si>
  <si>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</si>
  <si>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</si>
  <si>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</si>
  <si>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</si>
  <si>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</si>
  <si>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</si>
  <si>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</si>
  <si>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</si>
  <si>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</si>
  <si>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</si>
  <si>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</si>
  <si>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</si>
  <si>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</si>
  <si>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</si>
  <si>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</si>
  <si>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</si>
  <si>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</si>
  <si>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</si>
  <si>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</si>
  <si>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</si>
  <si>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</si>
  <si>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</si>
  <si>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</si>
  <si>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</si>
  <si>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</si>
  <si>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</si>
  <si>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</si>
  <si>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</si>
  <si>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</si>
  <si>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</si>
  <si>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</si>
  <si>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</si>
  <si>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</si>
  <si>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</si>
  <si>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</si>
  <si>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</si>
  <si>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</si>
  <si>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</si>
  <si>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</si>
  <si>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</si>
  <si>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</si>
  <si>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</si>
  <si>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</si>
  <si>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</si>
  <si>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</si>
  <si>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</si>
  <si>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</si>
  <si>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</si>
  <si>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</si>
  <si>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</si>
  <si>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</si>
  <si>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</si>
  <si>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</si>
  <si>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</si>
  <si>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</si>
  <si>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</si>
  <si>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</si>
  <si>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</si>
  <si>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</si>
  <si>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</si>
  <si>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</si>
  <si>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</si>
  <si>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</si>
  <si>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</si>
  <si>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</si>
  <si>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</si>
  <si>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</si>
  <si>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</si>
  <si>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</si>
  <si>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</si>
  <si>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</si>
  <si>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</si>
  <si>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</si>
  <si>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</si>
  <si>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</si>
  <si>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</si>
  <si>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</si>
  <si>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</si>
  <si>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</si>
  <si>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</si>
  <si>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</si>
  <si>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</si>
  <si>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</si>
  <si>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</si>
  <si>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</si>
  <si>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</si>
  <si>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</si>
  <si>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</si>
  <si>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</si>
  <si>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</si>
  <si>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</si>
  <si>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</si>
  <si>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</si>
  <si>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</si>
  <si>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</si>
  <si>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</si>
  <si>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</si>
  <si>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</si>
  <si>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</si>
  <si>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</si>
  <si>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</si>
  <si>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</si>
  <si>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</si>
  <si>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</si>
  <si>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</si>
  <si>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</si>
  <si>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</si>
  <si>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</si>
  <si>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</si>
  <si>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</si>
  <si>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</si>
  <si>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</si>
  <si>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</si>
  <si>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</si>
  <si>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</si>
  <si>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</si>
  <si>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</si>
  <si>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</si>
  <si>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</si>
  <si>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</si>
  <si>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</si>
  <si>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</si>
  <si>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</si>
  <si>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</si>
  <si>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</si>
  <si>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</si>
  <si>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</si>
  <si>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</si>
  <si>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</si>
  <si>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</si>
  <si>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</si>
  <si>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</si>
  <si>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</si>
  <si>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</si>
  <si>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</si>
  <si>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</si>
  <si>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</si>
  <si>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</si>
  <si>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</si>
  <si>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</si>
  <si>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</si>
  <si>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</si>
  <si>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</si>
  <si>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</si>
  <si>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</si>
  <si>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</si>
  <si>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</si>
  <si>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</si>
  <si>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</si>
  <si>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</si>
  <si>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</si>
  <si>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</si>
  <si>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</si>
  <si>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</si>
  <si>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</si>
  <si>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</si>
  <si>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</si>
  <si>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</si>
  <si>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</si>
  <si>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</si>
  <si>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</si>
  <si>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</si>
  <si>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</si>
  <si>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</si>
  <si>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</si>
  <si>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</si>
  <si>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</si>
  <si>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</si>
  <si>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</si>
  <si>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</si>
  <si>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</si>
  <si>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</si>
  <si>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</si>
  <si>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</si>
  <si>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</si>
  <si>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</si>
  <si>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</si>
  <si>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</si>
  <si>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</si>
  <si>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</si>
  <si>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</si>
  <si>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</si>
  <si>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</si>
  <si>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</si>
  <si>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</si>
  <si>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</si>
  <si>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</si>
  <si>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</si>
  <si>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</si>
  <si>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</si>
  <si>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</si>
  <si>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</si>
  <si>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</si>
  <si>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</si>
  <si>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</si>
  <si>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</si>
  <si>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</si>
  <si>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</si>
  <si>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</si>
  <si>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</si>
  <si>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</si>
  <si>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</si>
  <si>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</si>
  <si>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</si>
  <si>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</si>
  <si>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</si>
  <si>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</si>
  <si>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</si>
  <si>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</si>
  <si>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</si>
  <si>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</si>
  <si>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</si>
  <si>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</si>
  <si>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</si>
  <si>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</si>
  <si>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</si>
  <si>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</si>
  <si>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</si>
  <si>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</si>
  <si>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</si>
  <si>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</si>
  <si>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</si>
  <si>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</si>
  <si>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</si>
  <si>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</si>
  <si>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</si>
  <si>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</si>
  <si>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</si>
  <si>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</si>
  <si>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</si>
  <si>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</si>
  <si>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</si>
  <si>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</si>
  <si>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</si>
  <si>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</si>
  <si>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</si>
  <si>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</si>
  <si>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</si>
  <si>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</si>
  <si>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</si>
  <si>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</si>
  <si>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</si>
  <si>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</si>
  <si>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</si>
  <si>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</si>
  <si>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</si>
  <si>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</si>
  <si>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</si>
  <si>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</si>
  <si>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</si>
  <si>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</si>
  <si>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</si>
  <si>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</si>
  <si>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</si>
  <si>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</si>
  <si>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</si>
  <si>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</si>
  <si>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</si>
  <si>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</si>
  <si>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</si>
  <si>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</si>
  <si>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</si>
  <si>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</si>
  <si>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</si>
  <si>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</si>
  <si>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</si>
  <si>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</si>
  <si>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</si>
  <si>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</si>
  <si>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</si>
  <si>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</si>
  <si>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</si>
  <si>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</si>
  <si>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</si>
  <si>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</si>
  <si>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</si>
  <si>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</si>
  <si>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</si>
  <si>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</si>
  <si>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</si>
  <si>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</si>
  <si>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</si>
  <si>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</si>
  <si>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</si>
  <si>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</si>
  <si>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</si>
  <si>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</si>
  <si>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</si>
  <si>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</si>
  <si>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</si>
  <si>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</si>
  <si>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</si>
  <si>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</si>
  <si>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</si>
  <si>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</si>
  <si>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</si>
  <si>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</si>
  <si>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</si>
  <si>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</si>
  <si>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</si>
  <si>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</si>
  <si>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</si>
  <si>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</si>
  <si>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</si>
  <si>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</si>
  <si>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</si>
  <si>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</si>
  <si>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</si>
  <si>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</si>
  <si>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</si>
  <si>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</si>
  <si>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</si>
  <si>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</si>
  <si>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</si>
  <si>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</si>
  <si>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</si>
  <si>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</si>
  <si>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</si>
  <si>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</si>
  <si>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</si>
  <si>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</si>
  <si>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</si>
  <si>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</si>
  <si>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</si>
  <si>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</si>
  <si>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</si>
  <si>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</si>
  <si>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</si>
  <si>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</si>
  <si>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</si>
  <si>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</si>
  <si>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</si>
  <si>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</si>
  <si>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</si>
  <si>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</si>
  <si>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</si>
  <si>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</si>
  <si>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</si>
  <si>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</si>
  <si>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</si>
  <si>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</si>
  <si>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</si>
  <si>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</si>
  <si>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</si>
  <si>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</si>
  <si>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</si>
  <si>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</si>
  <si>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</si>
  <si>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</si>
  <si>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</si>
  <si>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</si>
  <si>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</si>
  <si>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</si>
  <si>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</si>
  <si>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</si>
  <si>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</si>
  <si>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</si>
  <si>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</si>
  <si>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</si>
  <si>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</si>
  <si>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</si>
  <si>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</si>
  <si>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</si>
  <si>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</si>
  <si>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</si>
  <si>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</si>
  <si>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</si>
  <si>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</si>
  <si>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</si>
  <si>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</si>
  <si>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</si>
  <si>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</si>
  <si>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</si>
  <si>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</si>
  <si>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</si>
  <si>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</si>
  <si>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</si>
  <si>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</si>
  <si>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</si>
  <si>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</si>
  <si>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</si>
  <si>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</si>
  <si>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</si>
  <si>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</si>
  <si>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</si>
  <si>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</si>
  <si>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</si>
  <si>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</si>
  <si>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</si>
  <si>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</si>
  <si>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</si>
  <si>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</si>
  <si>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</si>
  <si>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</si>
  <si>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</si>
  <si>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</si>
  <si>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</si>
  <si>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</si>
  <si>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</si>
  <si>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</si>
  <si>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</si>
  <si>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</si>
  <si>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</si>
  <si>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</si>
  <si>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</si>
  <si>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</si>
  <si>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</si>
  <si>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</si>
  <si>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</si>
  <si>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</si>
  <si>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</si>
  <si>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</si>
  <si>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</si>
  <si>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</si>
  <si>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</si>
  <si>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</si>
  <si>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</si>
  <si>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</si>
  <si>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</si>
  <si>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</si>
  <si>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</si>
  <si>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</si>
  <si>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</si>
  <si>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</si>
  <si>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</si>
  <si>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</si>
  <si>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</si>
  <si>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</si>
  <si>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</si>
  <si>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</si>
  <si>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</si>
  <si>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</si>
  <si>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</si>
  <si>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</si>
  <si>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</si>
  <si>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</si>
  <si>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</si>
  <si>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</si>
  <si>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</si>
  <si>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</si>
  <si>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</si>
  <si>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</si>
  <si>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</si>
  <si>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</si>
  <si>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</si>
  <si>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</si>
  <si>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</si>
  <si>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</si>
  <si>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</si>
  <si>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</si>
  <si>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</si>
  <si>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</si>
  <si>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</si>
  <si>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</si>
  <si>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</si>
  <si>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</si>
  <si>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</si>
  <si>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</si>
  <si>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</si>
  <si>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</si>
  <si>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</si>
  <si>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</si>
  <si>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</si>
  <si>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</si>
  <si>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</si>
  <si>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</si>
  <si>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</si>
  <si>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</si>
  <si>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</si>
  <si>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</si>
  <si>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</si>
  <si>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</si>
  <si>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</si>
  <si>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</si>
  <si>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</si>
  <si>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</si>
  <si>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</si>
  <si>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</si>
  <si>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</si>
  <si>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</si>
  <si>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</si>
  <si>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</si>
  <si>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</si>
  <si>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</si>
  <si>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</si>
  <si>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</si>
  <si>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</si>
  <si>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</si>
  <si>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</si>
  <si>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</si>
  <si>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</si>
  <si>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</si>
  <si>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</si>
  <si>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</si>
  <si>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</si>
  <si>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</si>
  <si>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</si>
  <si>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</si>
  <si>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</si>
  <si>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</si>
  <si>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</si>
  <si>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</si>
  <si>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</si>
  <si>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</si>
  <si>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</si>
  <si>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</si>
  <si>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</si>
  <si>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</si>
  <si>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</si>
  <si>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</si>
  <si>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</si>
  <si>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</si>
  <si>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</si>
  <si>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</si>
  <si>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</si>
  <si>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</si>
  <si>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</si>
  <si>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</si>
  <si>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</si>
  <si>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</si>
  <si>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</si>
  <si>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</si>
  <si>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</si>
  <si>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</si>
  <si>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</si>
  <si>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</si>
  <si>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</si>
  <si>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</si>
  <si>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</si>
  <si>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</si>
  <si>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</si>
  <si>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</si>
  <si>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</si>
  <si>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</si>
  <si>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</si>
  <si>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</si>
  <si>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</si>
  <si>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</si>
  <si>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</si>
  <si>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</si>
  <si>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</si>
  <si>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</si>
  <si>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</si>
  <si>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</si>
  <si>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</si>
  <si>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</si>
  <si>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</si>
  <si>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</si>
  <si>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</si>
  <si>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</si>
  <si>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</si>
  <si>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</si>
  <si>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</si>
  <si>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</si>
  <si>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</si>
  <si>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</si>
  <si>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</si>
  <si>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</si>
  <si>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</si>
  <si>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</si>
  <si>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</si>
  <si>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</si>
  <si>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</si>
  <si>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</si>
  <si>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</si>
  <si>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</si>
  <si>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</si>
  <si>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</si>
  <si>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</si>
  <si>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</si>
  <si>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</si>
  <si>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</si>
  <si>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</si>
  <si>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</si>
  <si>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</si>
  <si>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</si>
  <si>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</si>
  <si>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</si>
  <si>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</si>
  <si>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</si>
  <si>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</si>
  <si>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</si>
  <si>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</si>
  <si>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</si>
  <si>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</si>
  <si>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</si>
  <si>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</si>
  <si>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</si>
  <si>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</si>
  <si>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</si>
  <si>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</si>
  <si>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</si>
  <si>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</si>
  <si>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</si>
  <si>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</si>
  <si>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</si>
  <si>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</si>
  <si>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</si>
  <si>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</si>
  <si>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</si>
  <si>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</si>
  <si>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</si>
  <si>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</si>
  <si>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</si>
  <si>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</si>
  <si>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</si>
  <si>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</si>
  <si>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</si>
  <si>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</si>
  <si>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</si>
  <si>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</si>
  <si>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</si>
  <si>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</si>
  <si>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</si>
  <si>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</si>
  <si>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</si>
  <si>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</si>
  <si>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</si>
  <si>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</si>
  <si>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</si>
  <si>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</si>
  <si>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</si>
  <si>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</si>
  <si>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</si>
  <si>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</si>
  <si>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</si>
  <si>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</si>
  <si>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</si>
  <si>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</si>
  <si>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</si>
  <si>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</si>
  <si>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</si>
  <si>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</si>
  <si>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</si>
  <si>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</si>
  <si>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</si>
  <si>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</si>
  <si>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</si>
  <si>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</si>
  <si>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</si>
  <si>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</si>
  <si>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</si>
  <si>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</si>
  <si>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</si>
  <si>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</si>
  <si>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</si>
  <si>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</si>
  <si>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</si>
  <si>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</si>
  <si>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</si>
  <si>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一致</t>
  </si>
  <si>
    <t>出让</t>
  </si>
  <si>
    <t>符合</t>
  </si>
  <si>
    <t>地块名称</t>
  </si>
  <si>
    <t>城市</t>
  </si>
  <si>
    <t>用地性质</t>
  </si>
  <si>
    <t>建设用地面积(㎡)</t>
  </si>
  <si>
    <t>规划建筑面积(㎡)</t>
  </si>
  <si>
    <t>出让方式</t>
  </si>
  <si>
    <t>截止日期</t>
  </si>
  <si>
    <t>起始价(万元)</t>
  </si>
  <si>
    <t>成交价(万元)</t>
  </si>
  <si>
    <t>成交楼面价(元/㎡)</t>
  </si>
  <si>
    <t>溢价率</t>
  </si>
  <si>
    <t>受让单位</t>
  </si>
  <si>
    <t>综合用地(含住宅)</t>
  </si>
  <si>
    <t>挂牌</t>
  </si>
  <si>
    <t>住宅用地</t>
  </si>
  <si>
    <t>2017-06-16</t>
  </si>
  <si>
    <t>＞1并且≤2.5</t>
  </si>
  <si>
    <t>＞1并且≤3</t>
  </si>
  <si>
    <t>居住项目</t>
  </si>
  <si>
    <t>无</t>
  </si>
  <si>
    <t>否</t>
  </si>
  <si>
    <t>场地平整</t>
  </si>
  <si>
    <t>平整</t>
  </si>
  <si>
    <t>通路</t>
  </si>
  <si>
    <t>通电</t>
  </si>
  <si>
    <t>通上水</t>
  </si>
  <si>
    <t>正常</t>
  </si>
  <si>
    <t>住宅</t>
    <phoneticPr fontId="26" type="noConversion"/>
  </si>
  <si>
    <t>综合（含住宅）</t>
    <phoneticPr fontId="26" type="noConversion"/>
  </si>
  <si>
    <t>主干道</t>
    <phoneticPr fontId="26" type="noConversion"/>
  </si>
  <si>
    <t>次干道</t>
    <phoneticPr fontId="26" type="noConversion"/>
  </si>
  <si>
    <t>支路</t>
    <phoneticPr fontId="26" type="noConversion"/>
  </si>
  <si>
    <t>较规则</t>
    <phoneticPr fontId="26" type="noConversion"/>
  </si>
  <si>
    <t>较不规则</t>
    <phoneticPr fontId="26" type="noConversion"/>
  </si>
  <si>
    <t>较适宜</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</si>
  <si>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</si>
  <si>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</si>
  <si>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</si>
  <si>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</si>
  <si>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</si>
  <si>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较好</t>
    <phoneticPr fontId="26" type="noConversion"/>
  </si>
  <si>
    <t>《珠海市人民政府关于征收城市基础设施配套费的通知》(珠府函〔2015〕106号)</t>
  </si>
  <si>
    <t>地上</t>
  </si>
  <si>
    <t>商业</t>
  </si>
  <si>
    <t>车库</t>
  </si>
  <si>
    <t>地下</t>
  </si>
  <si>
    <t>住宅</t>
    <phoneticPr fontId="7" type="noConversion"/>
  </si>
  <si>
    <t>会所</t>
  </si>
  <si>
    <t>押一</t>
  </si>
  <si>
    <t>按租金收入计税</t>
  </si>
  <si>
    <t>钢混</t>
  </si>
  <si>
    <t>较规则</t>
  </si>
  <si>
    <t>较适宜</t>
  </si>
  <si>
    <t>三通</t>
  </si>
  <si>
    <t>较好</t>
  </si>
  <si>
    <t>楼面地价</t>
  </si>
  <si>
    <t>项目全部</t>
  </si>
  <si>
    <t>土地</t>
  </si>
  <si>
    <t>比较法-住宅、综合</t>
  </si>
  <si>
    <t>剩余法-待开发</t>
  </si>
  <si>
    <t>售价</t>
  </si>
  <si>
    <t>收益还原法</t>
    <phoneticPr fontId="14" type="noConversion"/>
  </si>
  <si>
    <t>不动产收益法车库</t>
  </si>
  <si>
    <t>不动产收益法车库</t>
    <phoneticPr fontId="14" type="noConversion"/>
  </si>
  <si>
    <t>自定义</t>
  </si>
  <si>
    <t>住宅</t>
    <phoneticPr fontId="21" type="noConversion"/>
  </si>
  <si>
    <t>高层住宅</t>
  </si>
  <si>
    <t>高层住宅</t>
    <phoneticPr fontId="21" type="noConversion"/>
  </si>
  <si>
    <t>钢混</t>
    <phoneticPr fontId="21" type="noConversion"/>
  </si>
  <si>
    <t>高档</t>
    <phoneticPr fontId="21" type="noConversion"/>
  </si>
  <si>
    <t>普通</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</si>
  <si>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</si>
  <si>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</si>
  <si>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</si>
  <si>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</si>
  <si>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</si>
  <si>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</si>
  <si>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</si>
  <si>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七通</t>
    <phoneticPr fontId="21" type="noConversion"/>
  </si>
  <si>
    <t>六通</t>
  </si>
  <si>
    <t>六通</t>
    <phoneticPr fontId="21" type="noConversion"/>
  </si>
  <si>
    <t>估价对象所在区域基础设施水平达六通</t>
    <phoneticPr fontId="3" type="noConversion"/>
  </si>
  <si>
    <t>单面临街</t>
  </si>
  <si>
    <t>支路</t>
  </si>
  <si>
    <t>次干道</t>
  </si>
  <si>
    <t>一般</t>
  </si>
  <si>
    <t>好</t>
  </si>
  <si>
    <t>特殊修正</t>
    <phoneticPr fontId="21" type="noConversion"/>
  </si>
  <si>
    <t>海景房</t>
    <phoneticPr fontId="21" type="noConversion"/>
  </si>
  <si>
    <t>普通房产</t>
    <phoneticPr fontId="21" type="noConversion"/>
  </si>
  <si>
    <t>非个人房产</t>
  </si>
  <si>
    <t>仅含出让金</t>
  </si>
  <si>
    <t>权重</t>
    <phoneticPr fontId="21" type="noConversion"/>
  </si>
  <si>
    <t>土地（套用方法）</t>
  </si>
  <si>
    <t>企业提供(在右侧录入)</t>
  </si>
  <si>
    <t>巴南区李家沱组团V分区V14-1/03号宗地</t>
  </si>
  <si>
    <t>重庆市</t>
  </si>
  <si>
    <t>＞1并且≤2.2</t>
  </si>
  <si>
    <t>2018-10-22</t>
  </si>
  <si>
    <t>重庆巴源建设投资有限公司</t>
  </si>
  <si>
    <t>巴南区李家沱组团V分区V14-2-1/03号宗地</t>
  </si>
  <si>
    <t>拍卖</t>
  </si>
  <si>
    <t>2018-08-08</t>
  </si>
  <si>
    <t>上海大发房地产集团有限公司</t>
  </si>
  <si>
    <t>巴南区李家沱-鱼洞组团Q分区Q23-7/02、Q27-2/03、Q28-4/02、Q29-4/02、Q30-2/03、Q30-3/03、Q30-6/03号宗地</t>
  </si>
  <si>
    <t>＞1并且≤1.8</t>
  </si>
  <si>
    <t>2018-06-27</t>
  </si>
  <si>
    <t>重庆龙湖企业拓展有限公司</t>
  </si>
  <si>
    <t>巴南区界石组团N分区N07/03、N08-1/03号宗地</t>
  </si>
  <si>
    <t>2018-06-22</t>
  </si>
  <si>
    <t>卓越置业集团重庆两江有限公司、四川新希望房地产开发有限公司</t>
  </si>
  <si>
    <t>巴南区李家沱-鱼洞组团P分区P06-12-2/04号宗地</t>
  </si>
  <si>
    <t>＞1并且≤2</t>
  </si>
  <si>
    <t>2018-06-19</t>
  </si>
  <si>
    <t>重庆市利百旺房地产开发有限公司</t>
  </si>
  <si>
    <t>巴南区李家沱-鱼洞组团P分区P06-02/03号宗地</t>
  </si>
  <si>
    <t>重庆辉沛企业管理有限公司、重庆旭中房地产开发有限公司</t>
  </si>
  <si>
    <t>巴南区界石组团M分区M40/02、M41/02号宗地</t>
  </si>
  <si>
    <t>2018-06-13</t>
  </si>
  <si>
    <t>四川新希望房地产开发有限公司</t>
  </si>
  <si>
    <t>巴南区李家沱组团S分区S17/04、S18-1/03、S18-2/03号宗地</t>
  </si>
  <si>
    <t>保利(重庆)投资实业有限公司</t>
  </si>
  <si>
    <t>巴南区鱼洞组团P分区P07-8/05、P07-9-1/04、P07-14-2/04、P07-14-3/04、P07-17/03、P07-19/05、P07-21/03号宗地</t>
  </si>
  <si>
    <t>≥1并且≤1.94</t>
  </si>
  <si>
    <t>2018-04-24</t>
  </si>
  <si>
    <t>重庆辉沛企业管理有限公司、重庆金科房地产开发有限公司</t>
  </si>
  <si>
    <t>巴南区界石组团T分区T12-4/02、T12-5/03号宗地</t>
  </si>
  <si>
    <t>＞1并且＜2.2</t>
  </si>
  <si>
    <t>2018-03-27</t>
  </si>
  <si>
    <t>四川新希望房地产开发有限公司、重庆惠登房地产开发有限公司</t>
  </si>
  <si>
    <t>巴南区李家沱组团A、B分区A01-3/05、A01-4/05、A01-6/05、A01-7/05、A01-9/05、A02-2/05、A02-4/05、A02-5/05、B10-1/05、B10-3/05、B10-4/05、B10-7/05号宗地</t>
  </si>
  <si>
    <t>＞1并且≤2.96</t>
  </si>
  <si>
    <t>2018-01-31</t>
  </si>
  <si>
    <t>巴南区界石组团M分区M38-3/02、M39/02号宗地</t>
  </si>
  <si>
    <t>＞1并且≤1.72</t>
  </si>
  <si>
    <t>保亿置业集团有限公司</t>
  </si>
  <si>
    <t>巴南区南彭功能区组团B分区B10-1/01、B11-1/02</t>
  </si>
  <si>
    <t>＞1并且≤1.84</t>
  </si>
  <si>
    <t>2018-01-18</t>
  </si>
  <si>
    <t>重庆振中房地产开发有限公司</t>
  </si>
  <si>
    <t>巴南区李家沱组团S分区S42-4/04号宗地</t>
  </si>
  <si>
    <t>＞1并且≤2.8</t>
  </si>
  <si>
    <t>重庆金科房地产开发有限公司</t>
  </si>
  <si>
    <t>巴南区李家沱-鱼洞组团Q分区Q25-3/01、Q25-6/03、Q25-8-1/02、Q25-9/02、Q25-10/02、Q28-1/02号宗地</t>
  </si>
  <si>
    <t>≥1并且≤3</t>
  </si>
  <si>
    <t>2018-01-02</t>
  </si>
  <si>
    <t>中国电建地产集团有限公司、南国置业股份有限公司</t>
  </si>
  <si>
    <t>巴南区李家沱组团K分区K12-6/03、K13-12/03、K13-13/03、K14-3/03、K14-4/03、K14-6/05、K14-7-1/07号宗地</t>
  </si>
  <si>
    <t>＞1并且≤2.45</t>
  </si>
  <si>
    <t>2017-12-21</t>
  </si>
  <si>
    <t>中建三局房地产开发有限公司</t>
  </si>
  <si>
    <t>巴南区李家沱组团G分区G25-1/03、G26-1/03、G2-1/04号宗地</t>
  </si>
  <si>
    <t>2017-11-09</t>
  </si>
  <si>
    <t>北京市华远置业有限公司</t>
  </si>
  <si>
    <t>巴南区李家沱组团B分区B12-6/03号宗地</t>
  </si>
  <si>
    <t>2017-09-27</t>
  </si>
  <si>
    <t>深圳联新投资管理有限公司、中铁房地产集团西南有限公司</t>
  </si>
  <si>
    <t>巴南区李家沱-鱼洞组团Q分区Q24-1/01、Q24-2/01号宗地</t>
  </si>
  <si>
    <t>＞1并且≤3.6</t>
  </si>
  <si>
    <t>2017-08-29</t>
  </si>
  <si>
    <t>南国置业股份有限公司、中国电建地产集团有限公司、嘉兴鼎然投资合伙企业(有限合伙)</t>
  </si>
  <si>
    <t>巴南区南彭功能区组团B分区B8-1/02号宗地</t>
  </si>
  <si>
    <t>≥1并且≤2</t>
  </si>
  <si>
    <t>2017-07-31</t>
  </si>
  <si>
    <t>巴南区南彭功能区组团B分区B9-4/02号宗地</t>
  </si>
  <si>
    <t>巴南区南彭功能区组团B分区B7-6/02号宗地</t>
  </si>
  <si>
    <t>巴南区南彭功能区组团B分区B1-1/01号宗地</t>
  </si>
  <si>
    <t>巴南区李家沱-鱼洞组团O分区O24-5/04号宗地</t>
  </si>
  <si>
    <t>≥1并且≤3.6</t>
  </si>
  <si>
    <t>重庆华熙国信体育文化产业发展有限公司</t>
  </si>
  <si>
    <t>巴南区界石组团N分区N12/02号宗地</t>
  </si>
  <si>
    <t>≥1并且≤2.5</t>
  </si>
  <si>
    <t>2017-07-28</t>
  </si>
  <si>
    <t>巴南区界石组团N标准分区N15-1/02、N15-2/02号宗地</t>
  </si>
  <si>
    <t>≥1并且≤1.9</t>
  </si>
  <si>
    <t>宁波投创荣安置业有限公司</t>
  </si>
  <si>
    <t>巴南区界石组团N标准分区N16-1/02、N16-3/02、N17/02、N18/02号宗地</t>
  </si>
  <si>
    <t>≥1并且≤2.3</t>
  </si>
  <si>
    <t>四川雅居乐房地产开发有限公司</t>
  </si>
  <si>
    <t>巴南区李家沱组团G分区G27-1/03、G28-1/03、G30-1/03、G1-8/03号宗地</t>
  </si>
  <si>
    <t>≥1并且≤2.9</t>
  </si>
  <si>
    <t>华润置地(常州)有限公司</t>
  </si>
  <si>
    <t>巴南区李家沱组团V分区V1-4/03*、V1-2/02号宗地</t>
  </si>
  <si>
    <t>重庆远轩房地产开发有限公司</t>
  </si>
  <si>
    <t>巴南区李家沱组团G分区G14-2/03、G15-3/03、G16-3/03号宗地</t>
  </si>
  <si>
    <t>≤2.337</t>
  </si>
  <si>
    <t>2017-06-09</t>
  </si>
  <si>
    <t>重庆辉沛企业管理有限公司和重庆市垫江县碧桂园房地产</t>
  </si>
  <si>
    <t>巴南区李家沱组团G分区G21-1/03、G21-3/03、G22-1/03号宗地</t>
  </si>
  <si>
    <t>≤3</t>
  </si>
  <si>
    <t>巴南区李家沱-鱼洞组团O分区O20-3/02、O20-4/02号宗地</t>
  </si>
  <si>
    <t>≤2.923</t>
  </si>
  <si>
    <t>巴南区李家沱-鱼洞组团Q分区Q21-5/01、Q22-1/02、Q23-1/01号宗地</t>
  </si>
  <si>
    <t>≤2.395</t>
  </si>
  <si>
    <t>巴南区民主工贸园组团D分区D6-4-1/07号宗地</t>
  </si>
  <si>
    <t>≤1</t>
  </si>
  <si>
    <t>重庆市垫江县碧桂园房地产开发有限公司</t>
  </si>
  <si>
    <t>巴南区李家沱组团B分区B-13-1/06、B-13-2/06、B-19-5/07号宗地</t>
  </si>
  <si>
    <t>≤3.26</t>
  </si>
  <si>
    <t>重庆远澜房地产开发有限公司</t>
  </si>
  <si>
    <t>2017-05-27</t>
  </si>
  <si>
    <t>重庆麻柳沿江开发投资有限公司</t>
  </si>
  <si>
    <t>巴南区李家沱组团S分区S41-2/03号宗地</t>
  </si>
  <si>
    <t>＞1并且≤2.3</t>
  </si>
  <si>
    <t>2017-05-16</t>
  </si>
  <si>
    <t>重庆铭邦房地产开发有限公司</t>
  </si>
  <si>
    <t>巴南区李家沱-鱼洞组团Q分区Q02-2-1/03号宗地</t>
  </si>
  <si>
    <t>福州世欧房地产开发有限公司</t>
  </si>
  <si>
    <t>巴南区D分区D6-1-1/04号宗地</t>
  </si>
  <si>
    <t>2017-04-07</t>
  </si>
  <si>
    <t>重庆华宇集团有限公司</t>
  </si>
  <si>
    <t>巴南区接龙镇组团分区A2-06/02号宗地</t>
  </si>
  <si>
    <t>≤2</t>
  </si>
  <si>
    <t>2017-02-09</t>
  </si>
  <si>
    <t>重庆市景园房地产开发有限公司</t>
  </si>
  <si>
    <t>巴南区李家沱组团V分区V6-1/03、V6-4/03号宗地</t>
  </si>
  <si>
    <t>≤2.3</t>
  </si>
  <si>
    <t>2016-12-08</t>
  </si>
  <si>
    <t>恒大地产集团重庆有限公司</t>
  </si>
  <si>
    <t>巴南区李家沱组团V分区V5-1/04、V5-2/04号宗地</t>
  </si>
  <si>
    <t>巴南区龙州湾组团M分区M11-1-3/02号宗地</t>
  </si>
  <si>
    <t>≤2.5</t>
  </si>
  <si>
    <t>深圳市悦港电子商务有限公司、重庆佳兆业房地产开发有限公司</t>
  </si>
  <si>
    <t>巴南区李家沱组团L分区L1-1/04、L1-3/04、L2-1/03、L3-1/03、L4-1/03、L5-1/03、L6-1/03号宗地</t>
  </si>
  <si>
    <t>≤1.9</t>
  </si>
  <si>
    <t>2016-12-07</t>
  </si>
  <si>
    <t>荣盛房地产发展股份有限公司</t>
  </si>
  <si>
    <t>巴南区李家沱-鱼洞组团Q标准分区Q19-2/02、Q21-1/01、Q21-2/02、Q21-3/02号宗地</t>
  </si>
  <si>
    <t>≤2.2</t>
  </si>
  <si>
    <t>巴南区李家沱-鱼洞组团Q分区Q17-2/01、Q18-2/02、Q19-1/01、Q19-4/01号宗地</t>
  </si>
  <si>
    <t>≤1.92</t>
  </si>
  <si>
    <t>2016-11-28</t>
  </si>
  <si>
    <t>联发集团重庆房地产开发有限公司</t>
  </si>
  <si>
    <t>巴南区李家沱组团B分区B07-4/01、B07-3/02号宗地</t>
  </si>
  <si>
    <t>≤1.5</t>
  </si>
  <si>
    <t>2016-11-15</t>
  </si>
  <si>
    <t>中铁房地产集团西南有限公司</t>
  </si>
  <si>
    <t>巴南区李家沱组团R分区R13-3/02、R13-5/01、R13-8/01、R13-10/01号宗地</t>
  </si>
  <si>
    <t>≤2.1</t>
  </si>
  <si>
    <t>重庆云鸥产业有限公司</t>
  </si>
  <si>
    <t>巴南区李家沱-鱼洞组团B标准分区B12-3/02、B12-5/02号宗地</t>
  </si>
  <si>
    <t>≤3.18</t>
  </si>
  <si>
    <t>2016-10-24</t>
  </si>
  <si>
    <t>重庆市诚投房地产开发有限公司</t>
  </si>
  <si>
    <t>巴南区南彭功能区组团分区B7-1/01号宗地</t>
  </si>
  <si>
    <t>2016-10-08</t>
  </si>
  <si>
    <t>重庆华南城有限公司</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</si>
  <si>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</si>
  <si>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r>
      <rPr>
        <sz val="10"/>
        <color rgb="FFFF0000"/>
        <rFont val="宋体"/>
        <family val="3"/>
        <charset val="134"/>
      </rPr>
      <t>巴南区木洞组团</t>
    </r>
    <r>
      <rPr>
        <sz val="10"/>
        <color rgb="FFFF0000"/>
        <rFont val="Arial"/>
        <family val="2"/>
      </rPr>
      <t>C</t>
    </r>
    <r>
      <rPr>
        <sz val="10"/>
        <color rgb="FFFF0000"/>
        <rFont val="宋体"/>
        <family val="3"/>
        <charset val="134"/>
      </rPr>
      <t>分区</t>
    </r>
    <r>
      <rPr>
        <sz val="10"/>
        <color rgb="FFFF0000"/>
        <rFont val="Arial"/>
        <family val="2"/>
      </rPr>
      <t>C34-1/01</t>
    </r>
    <r>
      <rPr>
        <sz val="10"/>
        <color rgb="FFFF0000"/>
        <rFont val="宋体"/>
        <family val="3"/>
        <charset val="134"/>
      </rPr>
      <t>号宗地</t>
    </r>
    <phoneticPr fontId="233" type="noConversion"/>
  </si>
  <si>
    <t>住宅</t>
    <phoneticPr fontId="3" type="noConversion"/>
  </si>
  <si>
    <t>商业</t>
    <phoneticPr fontId="3" type="noConversion"/>
  </si>
  <si>
    <t>商业</t>
    <phoneticPr fontId="7" type="noConversion"/>
  </si>
  <si>
    <t>不动产收益法商业</t>
  </si>
  <si>
    <t>不动产收益法商业</t>
    <phoneticPr fontId="14" type="noConversion"/>
  </si>
  <si>
    <t>明晨大道</t>
    <phoneticPr fontId="26" type="noConversion"/>
  </si>
  <si>
    <t>高职城大道</t>
    <phoneticPr fontId="26" type="noConversion"/>
  </si>
  <si>
    <t>华南路</t>
    <phoneticPr fontId="26" type="noConversion"/>
  </si>
  <si>
    <t>麻柳大道</t>
    <phoneticPr fontId="26" type="noConversion"/>
  </si>
  <si>
    <t>华润置地澜山望</t>
    <phoneticPr fontId="3" type="noConversion"/>
  </si>
  <si>
    <t>40-50（含）</t>
  </si>
  <si>
    <t>中建瑜和城</t>
    <phoneticPr fontId="3" type="noConversion"/>
  </si>
  <si>
    <t xml:space="preserve">
重庆市巴南区花溪屏都社区</t>
    <phoneticPr fontId="21" type="noConversion"/>
  </si>
  <si>
    <t>巴南巴滨湿地公园旁</t>
    <phoneticPr fontId="21" type="noConversion"/>
  </si>
  <si>
    <t xml:space="preserve"> 巴南轻轨3号线鱼胡路站</t>
    <phoneticPr fontId="21" type="noConversion"/>
  </si>
  <si>
    <t>洺悦城</t>
    <phoneticPr fontId="3" type="noConversion"/>
  </si>
  <si>
    <t>普通</t>
  </si>
  <si>
    <t>估价对象周边商业氛围较差，人流量较小，商业繁华度一般</t>
    <phoneticPr fontId="3" type="noConversion"/>
  </si>
  <si>
    <t>估价对象周边居住用地比例较小、钱佳花园海愉半岛花园、钰海帝景等居住小区，社区发展较完善，综合评价居住社区成熟度一般</t>
    <phoneticPr fontId="3" type="noConversion"/>
  </si>
  <si>
    <t>估价对象周边道路通达状况较好、公共交通通达情况一般、停车较便捷，综合评价交通便捷度一般</t>
    <phoneticPr fontId="3" type="noConversion"/>
  </si>
  <si>
    <t>估价对象所在区域公共配套设施齐备情况一般</t>
    <phoneticPr fontId="3" type="noConversion"/>
  </si>
  <si>
    <t>区域自然环境较好；人文环境一般；综合评价环境状况一般</t>
    <phoneticPr fontId="3" type="noConversion"/>
  </si>
  <si>
    <t>次干道——麻柳大道</t>
    <phoneticPr fontId="21" type="noConversion"/>
  </si>
  <si>
    <t>双面临街</t>
  </si>
  <si>
    <t>较不一致</t>
    <phoneticPr fontId="21"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</si>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</sst>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rgb="FF666666"/>
      <name val="微软雅黑"/>
      <family val="2"/>
      <charset val="134"/>
    </font>
    <font>
      <sz val="10"/>
      <color rgb="FFFF0000"/>
      <name val="楷体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6" fillId="0" borderId="0" xfId="16"/>
    <xf numFmtId="0" fontId="86" fillId="6" borderId="0" xfId="16" applyFill="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7" fillId="0" borderId="0" xfId="0" applyFont="1">
      <alignment vertical="center"/>
    </xf>
    <xf numFmtId="176" fontId="278" fillId="0" borderId="2" xfId="0" applyNumberFormat="1" applyFont="1" applyBorder="1" applyAlignment="1" applyProtection="1">
      <alignment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9" fillId="0" borderId="46" xfId="0" applyFont="1" applyBorder="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185" fontId="71" fillId="0" borderId="9" xfId="0" applyNumberFormat="1" applyFont="1" applyFill="1" applyBorder="1" applyAlignment="1" applyProtection="1">
      <alignment horizontal="center" vertical="center" wrapText="1"/>
      <protection locked="0"/>
    </xf>
    <xf numFmtId="180" fontId="71" fillId="0" borderId="11" xfId="0" applyNumberFormat="1" applyFont="1" applyFill="1" applyBorder="1" applyAlignment="1" applyProtection="1">
      <alignment horizontal="center" vertical="center" wrapText="1"/>
      <protection locked="0"/>
    </xf>
    <xf numFmtId="0" fontId="158" fillId="0" borderId="0" xfId="16" applyFont="1"/>
    <xf numFmtId="0" fontId="86" fillId="0" borderId="0" xfId="16" applyFill="1"/>
    <xf numFmtId="0" fontId="81" fillId="0" borderId="12" xfId="0" applyNumberFormat="1" applyFont="1" applyFill="1" applyBorder="1" applyAlignment="1" applyProtection="1">
      <alignment horizontal="center" vertical="center" wrapText="1"/>
      <protection locked="0"/>
    </xf>
    <xf numFmtId="177" fontId="76" fillId="17" borderId="2" xfId="2" applyNumberFormat="1"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81" fontId="71" fillId="17" borderId="2"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5</xdr:col>
      <xdr:colOff>447156</xdr:colOff>
      <xdr:row>74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258175"/>
          <a:ext cx="5943081" cy="3762375"/>
        </a:xfrm>
        <a:prstGeom prst="rect">
          <a:avLst/>
        </a:prstGeom>
      </xdr:spPr>
    </xdr:pic>
    <xdr:clientData/>
  </xdr:twoCellAnchor>
  <xdr:twoCellAnchor editAs="oneCell">
    <xdr:from>
      <xdr:col>5</xdr:col>
      <xdr:colOff>485843</xdr:colOff>
      <xdr:row>50</xdr:row>
      <xdr:rowOff>142874</xdr:rowOff>
    </xdr:from>
    <xdr:to>
      <xdr:col>13</xdr:col>
      <xdr:colOff>979952</xdr:colOff>
      <xdr:row>74</xdr:row>
      <xdr:rowOff>161085</xdr:rowOff>
    </xdr:to>
    <xdr:pic>
      <xdr:nvPicPr>
        <xdr:cNvPr id="3" name="图片 2"/>
        <xdr:cNvPicPr>
          <a:picLocks noChangeAspect="1"/>
        </xdr:cNvPicPr>
      </xdr:nvPicPr>
      <xdr:blipFill>
        <a:blip xmlns:r="http://schemas.openxmlformats.org/officeDocument/2006/relationships" r:embed="rId2"/>
        <a:stretch>
          <a:fillRect/>
        </a:stretch>
      </xdr:blipFill>
      <xdr:spPr>
        <a:xfrm>
          <a:off x="5981768" y="8239124"/>
          <a:ext cx="5228034" cy="3904411"/>
        </a:xfrm>
        <a:prstGeom prst="rect">
          <a:avLst/>
        </a:prstGeom>
      </xdr:spPr>
    </xdr:pic>
    <xdr:clientData/>
  </xdr:twoCellAnchor>
  <xdr:twoCellAnchor editAs="oneCell">
    <xdr:from>
      <xdr:col>0</xdr:col>
      <xdr:colOff>0</xdr:colOff>
      <xdr:row>75</xdr:row>
      <xdr:rowOff>0</xdr:rowOff>
    </xdr:from>
    <xdr:to>
      <xdr:col>11</xdr:col>
      <xdr:colOff>8399</xdr:colOff>
      <xdr:row>114</xdr:row>
      <xdr:rowOff>56354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144375"/>
          <a:ext cx="9009524" cy="6371429"/>
        </a:xfrm>
        <a:prstGeom prst="rect">
          <a:avLst/>
        </a:prstGeom>
      </xdr:spPr>
    </xdr:pic>
    <xdr:clientData/>
  </xdr:twoCellAnchor>
  <xdr:twoCellAnchor editAs="oneCell">
    <xdr:from>
      <xdr:col>7</xdr:col>
      <xdr:colOff>552450</xdr:colOff>
      <xdr:row>75</xdr:row>
      <xdr:rowOff>114300</xdr:rowOff>
    </xdr:from>
    <xdr:to>
      <xdr:col>17</xdr:col>
      <xdr:colOff>179732</xdr:colOff>
      <xdr:row>116</xdr:row>
      <xdr:rowOff>132518</xdr:rowOff>
    </xdr:to>
    <xdr:pic>
      <xdr:nvPicPr>
        <xdr:cNvPr id="5" name="图片 4"/>
        <xdr:cNvPicPr>
          <a:picLocks noChangeAspect="1"/>
        </xdr:cNvPicPr>
      </xdr:nvPicPr>
      <xdr:blipFill>
        <a:blip xmlns:r="http://schemas.openxmlformats.org/officeDocument/2006/relationships" r:embed="rId4"/>
        <a:stretch>
          <a:fillRect/>
        </a:stretch>
      </xdr:blipFill>
      <xdr:spPr>
        <a:xfrm>
          <a:off x="7477125" y="12258675"/>
          <a:ext cx="9952382" cy="6657143"/>
        </a:xfrm>
        <a:prstGeom prst="rect">
          <a:avLst/>
        </a:prstGeom>
      </xdr:spPr>
    </xdr:pic>
    <xdr:clientData/>
  </xdr:twoCellAnchor>
  <xdr:twoCellAnchor editAs="oneCell">
    <xdr:from>
      <xdr:col>0</xdr:col>
      <xdr:colOff>0</xdr:colOff>
      <xdr:row>115</xdr:row>
      <xdr:rowOff>0</xdr:rowOff>
    </xdr:from>
    <xdr:to>
      <xdr:col>9</xdr:col>
      <xdr:colOff>637145</xdr:colOff>
      <xdr:row>143</xdr:row>
      <xdr:rowOff>66100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8621375"/>
          <a:ext cx="8247620" cy="4600000"/>
        </a:xfrm>
        <a:prstGeom prst="rect">
          <a:avLst/>
        </a:prstGeom>
      </xdr:spPr>
    </xdr:pic>
    <xdr:clientData/>
  </xdr:twoCellAnchor>
  <xdr:twoCellAnchor editAs="oneCell">
    <xdr:from>
      <xdr:col>0</xdr:col>
      <xdr:colOff>0</xdr:colOff>
      <xdr:row>144</xdr:row>
      <xdr:rowOff>0</xdr:rowOff>
    </xdr:from>
    <xdr:to>
      <xdr:col>6</xdr:col>
      <xdr:colOff>66675</xdr:colOff>
      <xdr:row>169</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3317200"/>
          <a:ext cx="6391275" cy="4067175"/>
        </a:xfrm>
        <a:prstGeom prst="rect">
          <a:avLst/>
        </a:prstGeom>
      </xdr:spPr>
    </xdr:pic>
    <xdr:clientData/>
  </xdr:twoCellAnchor>
  <xdr:twoCellAnchor editAs="oneCell">
    <xdr:from>
      <xdr:col>0</xdr:col>
      <xdr:colOff>0</xdr:colOff>
      <xdr:row>170</xdr:row>
      <xdr:rowOff>1</xdr:rowOff>
    </xdr:from>
    <xdr:to>
      <xdr:col>6</xdr:col>
      <xdr:colOff>47625</xdr:colOff>
      <xdr:row>198</xdr:row>
      <xdr:rowOff>36395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7527251"/>
          <a:ext cx="6372225" cy="4570294"/>
        </a:xfrm>
        <a:prstGeom prst="rect">
          <a:avLst/>
        </a:prstGeom>
      </xdr:spPr>
    </xdr:pic>
    <xdr:clientData/>
  </xdr:twoCellAnchor>
  <xdr:twoCellAnchor editAs="oneCell">
    <xdr:from>
      <xdr:col>0</xdr:col>
      <xdr:colOff>0</xdr:colOff>
      <xdr:row>199</xdr:row>
      <xdr:rowOff>114300</xdr:rowOff>
    </xdr:from>
    <xdr:to>
      <xdr:col>6</xdr:col>
      <xdr:colOff>1931</xdr:colOff>
      <xdr:row>224</xdr:row>
      <xdr:rowOff>56378</xdr:rowOff>
    </xdr:to>
    <xdr:pic>
      <xdr:nvPicPr>
        <xdr:cNvPr id="9" name="图片 8"/>
        <xdr:cNvPicPr>
          <a:picLocks noChangeAspect="1"/>
        </xdr:cNvPicPr>
      </xdr:nvPicPr>
      <xdr:blipFill>
        <a:blip xmlns:r="http://schemas.openxmlformats.org/officeDocument/2006/relationships" r:embed="rId8"/>
        <a:stretch>
          <a:fillRect/>
        </a:stretch>
      </xdr:blipFill>
      <xdr:spPr>
        <a:xfrm>
          <a:off x="0" y="32337375"/>
          <a:ext cx="6326531" cy="3990203"/>
        </a:xfrm>
        <a:prstGeom prst="rect">
          <a:avLst/>
        </a:prstGeom>
      </xdr:spPr>
    </xdr:pic>
    <xdr:clientData/>
  </xdr:twoCellAnchor>
  <xdr:twoCellAnchor editAs="oneCell">
    <xdr:from>
      <xdr:col>5</xdr:col>
      <xdr:colOff>314325</xdr:colOff>
      <xdr:row>145</xdr:row>
      <xdr:rowOff>104775</xdr:rowOff>
    </xdr:from>
    <xdr:to>
      <xdr:col>13</xdr:col>
      <xdr:colOff>1523258</xdr:colOff>
      <xdr:row>166</xdr:row>
      <xdr:rowOff>18636</xdr:rowOff>
    </xdr:to>
    <xdr:pic>
      <xdr:nvPicPr>
        <xdr:cNvPr id="10" name="图片 9"/>
        <xdr:cNvPicPr>
          <a:picLocks noChangeAspect="1"/>
        </xdr:cNvPicPr>
      </xdr:nvPicPr>
      <xdr:blipFill>
        <a:blip xmlns:r="http://schemas.openxmlformats.org/officeDocument/2006/relationships" r:embed="rId9"/>
        <a:stretch>
          <a:fillRect/>
        </a:stretch>
      </xdr:blipFill>
      <xdr:spPr>
        <a:xfrm>
          <a:off x="5810250" y="23583900"/>
          <a:ext cx="5942858" cy="3314286"/>
        </a:xfrm>
        <a:prstGeom prst="rect">
          <a:avLst/>
        </a:prstGeom>
      </xdr:spPr>
    </xdr:pic>
    <xdr:clientData/>
  </xdr:twoCellAnchor>
  <xdr:twoCellAnchor editAs="oneCell">
    <xdr:from>
      <xdr:col>4</xdr:col>
      <xdr:colOff>638175</xdr:colOff>
      <xdr:row>170</xdr:row>
      <xdr:rowOff>95250</xdr:rowOff>
    </xdr:from>
    <xdr:to>
      <xdr:col>13</xdr:col>
      <xdr:colOff>2380354</xdr:colOff>
      <xdr:row>190</xdr:row>
      <xdr:rowOff>132941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438775" y="27622500"/>
          <a:ext cx="7171429" cy="3276191"/>
        </a:xfrm>
        <a:prstGeom prst="rect">
          <a:avLst/>
        </a:prstGeom>
      </xdr:spPr>
    </xdr:pic>
    <xdr:clientData/>
  </xdr:twoCellAnchor>
  <xdr:twoCellAnchor editAs="oneCell">
    <xdr:from>
      <xdr:col>4</xdr:col>
      <xdr:colOff>304800</xdr:colOff>
      <xdr:row>199</xdr:row>
      <xdr:rowOff>57150</xdr:rowOff>
    </xdr:from>
    <xdr:to>
      <xdr:col>13</xdr:col>
      <xdr:colOff>1961265</xdr:colOff>
      <xdr:row>220</xdr:row>
      <xdr:rowOff>18630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105400" y="32280225"/>
          <a:ext cx="7085715" cy="3361905"/>
        </a:xfrm>
        <a:prstGeom prst="rect">
          <a:avLst/>
        </a:prstGeom>
      </xdr:spPr>
    </xdr:pic>
    <xdr:clientData/>
  </xdr:twoCellAnchor>
  <xdr:twoCellAnchor editAs="oneCell">
    <xdr:from>
      <xdr:col>0</xdr:col>
      <xdr:colOff>0</xdr:colOff>
      <xdr:row>225</xdr:row>
      <xdr:rowOff>0</xdr:rowOff>
    </xdr:from>
    <xdr:to>
      <xdr:col>7</xdr:col>
      <xdr:colOff>561040</xdr:colOff>
      <xdr:row>254</xdr:row>
      <xdr:rowOff>113699</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36433125"/>
          <a:ext cx="7485715" cy="4809524"/>
        </a:xfrm>
        <a:prstGeom prst="rect">
          <a:avLst/>
        </a:prstGeom>
      </xdr:spPr>
    </xdr:pic>
    <xdr:clientData/>
  </xdr:twoCellAnchor>
  <xdr:twoCellAnchor editAs="oneCell">
    <xdr:from>
      <xdr:col>8</xdr:col>
      <xdr:colOff>0</xdr:colOff>
      <xdr:row>225</xdr:row>
      <xdr:rowOff>0</xdr:rowOff>
    </xdr:from>
    <xdr:to>
      <xdr:col>16</xdr:col>
      <xdr:colOff>236977</xdr:colOff>
      <xdr:row>263</xdr:row>
      <xdr:rowOff>123041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7610475" y="36433125"/>
          <a:ext cx="9190477" cy="627619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ColWidth="9"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2654</v>
      </c>
      <c r="B1" s="2893" t="s">
        <v>2751</v>
      </c>
    </row>
    <row r="2" spans="1:55" s="2897" customFormat="1" ht="15" thickTop="1">
      <c r="A2" s="2895" t="s">
        <v>2658</v>
      </c>
      <c r="B2" s="2896" t="str">
        <f>'预评函-封皮'!B37</f>
        <v>出让国有建设用地使用权抵押价格预评估</v>
      </c>
      <c r="AX2" s="2898"/>
      <c r="AZ2" s="2898"/>
      <c r="BA2" s="2899"/>
      <c r="BC2" s="2899"/>
    </row>
    <row r="3" spans="1:55" s="2900" customFormat="1">
      <c r="A3" s="2879" t="s">
        <v>2659</v>
      </c>
      <c r="B3" s="2882">
        <f>'预评函-封皮'!B40</f>
        <v>0</v>
      </c>
    </row>
    <row r="4" spans="1:55" s="2881" customFormat="1">
      <c r="A4" s="2879" t="s">
        <v>2660</v>
      </c>
      <c r="B4" s="2880" t="str">
        <f>'预评函-封皮'!B46</f>
        <v>土地估价师、土地估价师</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2661</v>
      </c>
      <c r="B5" s="2902" t="str">
        <f>'预评函-封皮'!B49</f>
        <v>康正预评字号</v>
      </c>
    </row>
    <row r="6" spans="1:55" s="2903" customFormat="1" ht="15" thickTop="1">
      <c r="A6" s="2895" t="s">
        <v>2703</v>
      </c>
      <c r="B6" s="2896" t="str">
        <f>'预评函-1'!A4</f>
        <v>受贵公司委托，我公司对出让国有建设用地使用权抵押价格进行了预评估。</v>
      </c>
      <c r="AM6" s="2904"/>
    </row>
    <row r="7" spans="1:55" s="2878" customFormat="1">
      <c r="A7" s="2879" t="s">
        <v>2655</v>
      </c>
      <c r="B7" s="2880" t="str">
        <f>'预评函-1'!A6</f>
        <v>估价对象为使用的、位于出让国有建设用地使用权。根据《国有土地使用证》[]，估价对象（分摊）出让国有建设用地使用权面积为40290平方米。根据《建设工程规划许可证》[]、《出让合同》[]，估价对象规划建筑面积为100725平方米。</v>
      </c>
    </row>
    <row r="8" spans="1:55" s="2878" customFormat="1">
      <c r="A8" s="2879" t="s">
        <v>2656</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2706</v>
      </c>
      <c r="B9" s="288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8" customFormat="1">
      <c r="A10" s="2879" t="s">
        <v>2657</v>
      </c>
      <c r="B10" s="2880" t="str">
        <f>'预评函-1'!A11</f>
        <v>2018年12月12日（评估专业人员勘察现场之日）</v>
      </c>
    </row>
    <row r="11" spans="1:55" s="2878" customFormat="1">
      <c r="A11" s="2879" t="s">
        <v>2663</v>
      </c>
      <c r="B11" s="2880" t="str">
        <f>'预评函-1'!A14</f>
        <v>根据《国有土地使用证》[]，本次评估估价对象证载（地类）用途为。</v>
      </c>
    </row>
    <row r="12" spans="1:55" s="2878" customFormat="1">
      <c r="A12" s="2879" t="s">
        <v>2664</v>
      </c>
      <c r="B12" s="2880" t="str">
        <f>'预评函-1'!A15</f>
        <v>本次评估设定用途即为证载用途。</v>
      </c>
    </row>
    <row r="13" spans="1:55" s="2878" customFormat="1">
      <c r="A13" s="2879" t="s">
        <v>2665</v>
      </c>
      <c r="B13" s="2880" t="str">
        <f>'预评函-1'!A17</f>
        <v>根据委托估价方介绍及评估专业人员现场勘查，本次评估估价对象实际土地开发程度为红线外市政基础设施达“七通”（即通路、通电、通上水、、、、）、宗地红线内场地平整。</v>
      </c>
    </row>
    <row r="14" spans="1:55" s="2878" customFormat="1">
      <c r="A14" s="2879" t="s">
        <v>2666</v>
      </c>
      <c r="B14" s="2880" t="str">
        <f>'预评函-1'!A18</f>
        <v>本次评估设定土地开发程度为红线外市政基础设施达“七通”、宗地红线内场地平整。</v>
      </c>
    </row>
    <row r="15" spans="1:55" s="2878" customFormat="1">
      <c r="A15" s="2879" t="s">
        <v>2662</v>
      </c>
      <c r="B15" s="2880" t="str">
        <f>'预评函-1'!A20</f>
        <v>根据《国有土地使用证》[]，估价对象（分摊）出让国有建设用地使用权面积为40290平方米。根据《建设工程规划许可证》[]、《出让合同》[]，估价对象规划建筑面积为100725平方米。</v>
      </c>
    </row>
    <row r="16" spans="1:55" s="2878" customFormat="1">
      <c r="A16" s="2879" t="s">
        <v>2667</v>
      </c>
      <c r="B16" s="2880" t="str">
        <f>'预评函-1'!A22</f>
        <v>本次估价对象为出让国有建设用地使用权，《国有土地使用证》[]证载土地终止日期为住宅2067年6月29日、商业2057年6月29日地下车库2067年6月29日。截至估价期日，出让国有建设用地使用权剩余土地使用年限为。</v>
      </c>
    </row>
    <row r="17" spans="1:48" s="2878" customFormat="1">
      <c r="A17" s="2879" t="s">
        <v>2668</v>
      </c>
      <c r="B17" s="2880" t="str">
        <f>'预评函-1'!A23</f>
        <v>本次评估设定估价对象剩余土地使用年限为。</v>
      </c>
    </row>
    <row r="18" spans="1:48" s="2878" customFormat="1">
      <c r="A18" s="2879" t="s">
        <v>2669</v>
      </c>
      <c r="B18" s="2880" t="str">
        <f>'预评函-1'!A25</f>
        <v>本次估价的“出让国有建设用地使用权价格”是指在估价对象土地所有权为国家所有，使用权性质为出让，在公开市场条件下、于估价期日2018年12月12日，在规划利用条件下、设定土地开发程度为红线外“七通”、宗地内场地平整，设定用途为，剩余土地使用年限为的出让国有建设用地使用权价格。</v>
      </c>
    </row>
    <row r="19" spans="1:48" s="2878" customFormat="1">
      <c r="A19" s="2879" t="s">
        <v>2670</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2671</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2672</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2673</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2674</v>
      </c>
      <c r="B23" s="2880" t="str">
        <f>'预评函-2'!K2</f>
        <v>估价期日：2018年12月12日</v>
      </c>
    </row>
    <row r="24" spans="1:48">
      <c r="A24" s="2879" t="s">
        <v>2675</v>
      </c>
      <c r="B24" s="2880" t="str">
        <f>'预评函-2'!R2</f>
        <v>估价期日的国有建设用地使用权性质：出让</v>
      </c>
    </row>
    <row r="25" spans="1:48">
      <c r="A25" s="2879" t="s">
        <v>2731</v>
      </c>
      <c r="B25" s="2880" t="str">
        <f>'预评函-2'!A3</f>
        <v>估价期日土地使用者</v>
      </c>
    </row>
    <row r="26" spans="1:48">
      <c r="A26" s="2879" t="s">
        <v>2707</v>
      </c>
      <c r="B26" s="2880" t="str">
        <f>'预评函-2'!A5</f>
        <v>中信开发</v>
      </c>
    </row>
    <row r="27" spans="1:48">
      <c r="A27" s="2879" t="s">
        <v>2732</v>
      </c>
      <c r="B27" s="2880" t="str">
        <f>'预评函-2'!B3</f>
        <v>宗地编号/不动产单元号</v>
      </c>
    </row>
    <row r="28" spans="1:48">
      <c r="A28" s="2879" t="s">
        <v>2708</v>
      </c>
      <c r="B28" s="2880" t="str">
        <f>'预评函-2'!B5</f>
        <v>11111111111</v>
      </c>
    </row>
    <row r="29" spans="1:48">
      <c r="A29" s="2879" t="s">
        <v>2734</v>
      </c>
      <c r="B29" s="2880">
        <f>'预评函-2'!C5</f>
        <v>22</v>
      </c>
    </row>
    <row r="30" spans="1:48">
      <c r="A30" s="2879" t="s">
        <v>2735</v>
      </c>
      <c r="B30" s="2880" t="str">
        <f>'预评函-2'!D3</f>
        <v>土地使用证编号/不动产权证书编号</v>
      </c>
    </row>
    <row r="31" spans="1:48">
      <c r="A31" s="2879" t="s">
        <v>2709</v>
      </c>
      <c r="B31" s="2880" t="str">
        <f>'预评函-2'!D5</f>
        <v>京国土字第111号</v>
      </c>
    </row>
    <row r="32" spans="1:48">
      <c r="A32" s="2879" t="s">
        <v>2710</v>
      </c>
      <c r="B32" s="2880">
        <f>'预评函-2'!E5</f>
        <v>0</v>
      </c>
      <c r="AV32" s="2884"/>
    </row>
    <row r="33" spans="1:2">
      <c r="A33" s="2879" t="s">
        <v>2711</v>
      </c>
      <c r="B33" s="2880">
        <f>'预评函-2'!F5</f>
        <v>258</v>
      </c>
    </row>
    <row r="34" spans="1:2">
      <c r="A34" s="2879" t="s">
        <v>2712</v>
      </c>
      <c r="B34" s="2880">
        <f>'预评函-2'!G5</f>
        <v>0</v>
      </c>
    </row>
    <row r="35" spans="1:2">
      <c r="A35" s="2879" t="s">
        <v>2713</v>
      </c>
      <c r="B35" s="2880">
        <f>'预评函-2'!H5</f>
        <v>1.5</v>
      </c>
    </row>
    <row r="36" spans="1:2">
      <c r="A36" s="2879" t="s">
        <v>2714</v>
      </c>
      <c r="B36" s="2880">
        <f>'预评函-2'!I5</f>
        <v>1.5</v>
      </c>
    </row>
    <row r="37" spans="1:2">
      <c r="A37" s="2879" t="s">
        <v>2715</v>
      </c>
      <c r="B37" s="2880">
        <f>'预评函-2'!J5</f>
        <v>1.5</v>
      </c>
    </row>
    <row r="38" spans="1:2">
      <c r="A38" s="2879" t="s">
        <v>2716</v>
      </c>
      <c r="B38" s="2880" t="str">
        <f>'预评函-2'!K5</f>
        <v>红线外七通、宗地红线内场地平整</v>
      </c>
    </row>
    <row r="39" spans="1:2">
      <c r="A39" s="2879" t="s">
        <v>2717</v>
      </c>
      <c r="B39" s="2880" t="str">
        <f>'预评函-2'!L5</f>
        <v>红线外七通、宗地红线内场地平整</v>
      </c>
    </row>
    <row r="40" spans="1:2">
      <c r="A40" s="2879" t="s">
        <v>2736</v>
      </c>
      <c r="B40" s="2880" t="str">
        <f>'预评函-2'!M3</f>
        <v>（剩余）土地使用年限/年</v>
      </c>
    </row>
    <row r="41" spans="1:2">
      <c r="A41" s="2879" t="s">
        <v>2718</v>
      </c>
      <c r="B41" s="2880">
        <f>'预评函-2'!M5</f>
        <v>0</v>
      </c>
    </row>
    <row r="42" spans="1:2">
      <c r="A42" s="2879" t="s">
        <v>2737</v>
      </c>
      <c r="B42" s="2880" t="str">
        <f>'预评函-2'!N3</f>
        <v>（分摊）出让国有建设用地使用权面积/㎡</v>
      </c>
    </row>
    <row r="43" spans="1:2">
      <c r="A43" s="2879" t="s">
        <v>2719</v>
      </c>
      <c r="B43" s="2880">
        <f>'预评函-2'!N5</f>
        <v>40290</v>
      </c>
    </row>
    <row r="44" spans="1:2">
      <c r="A44" s="2879" t="s">
        <v>2738</v>
      </c>
      <c r="B44" s="2880" t="str">
        <f>'预评函-2'!O3</f>
        <v>规划建筑面积/㎡</v>
      </c>
    </row>
    <row r="45" spans="1:2">
      <c r="A45" s="2879" t="s">
        <v>2720</v>
      </c>
      <c r="B45" s="2880">
        <f>'预评函-2'!O5</f>
        <v>100725</v>
      </c>
    </row>
    <row r="46" spans="1:2">
      <c r="A46" s="2879" t="s">
        <v>2721</v>
      </c>
      <c r="B46" s="2880">
        <f ca="1">'预评函-2'!P5</f>
        <v>5096</v>
      </c>
    </row>
    <row r="47" spans="1:2">
      <c r="A47" s="2879" t="s">
        <v>2722</v>
      </c>
      <c r="B47" s="2880">
        <f ca="1">'预评函-2'!Q5</f>
        <v>2038</v>
      </c>
    </row>
    <row r="48" spans="1:2">
      <c r="A48" s="2879" t="s">
        <v>2723</v>
      </c>
      <c r="B48" s="2880">
        <f ca="1">'预评函-2'!R5</f>
        <v>20532</v>
      </c>
    </row>
    <row r="49" spans="1:2">
      <c r="A49" s="2879" t="s">
        <v>2739</v>
      </c>
      <c r="B49" s="2880" t="str">
        <f>'预评函-2'!A6</f>
        <v>抵押价格</v>
      </c>
    </row>
    <row r="50" spans="1:2">
      <c r="A50" s="2879" t="s">
        <v>2724</v>
      </c>
      <c r="B50" s="2880">
        <f ca="1">'预评函-2'!R6</f>
        <v>20532</v>
      </c>
    </row>
    <row r="51" spans="1:2">
      <c r="A51" s="2879" t="s">
        <v>2740</v>
      </c>
      <c r="B51" s="2880" t="str">
        <f>'预评函-2'!A7</f>
        <v>——</v>
      </c>
    </row>
    <row r="52" spans="1:2">
      <c r="A52" s="2879" t="s">
        <v>2725</v>
      </c>
      <c r="B52" s="2880" t="str">
        <f>'预评函-2'!R7</f>
        <v>——</v>
      </c>
    </row>
    <row r="53" spans="1:2">
      <c r="A53" s="2879" t="s">
        <v>2741</v>
      </c>
      <c r="B53" s="2880">
        <f>'预评函-2'!A8</f>
        <v>0</v>
      </c>
    </row>
    <row r="54" spans="1:2" s="2894" customFormat="1" ht="15" thickBot="1">
      <c r="A54" s="2901" t="s">
        <v>2726</v>
      </c>
      <c r="B54" s="2902" t="str">
        <f>'预评函-2'!R8</f>
        <v>——</v>
      </c>
    </row>
    <row r="55" spans="1:2" ht="15" thickTop="1">
      <c r="A55" s="2890" t="s">
        <v>2676</v>
      </c>
      <c r="B55" s="2891" t="str">
        <f>'预评函-3'!A2</f>
        <v>1.权利限制：根据估价对象《不动产权证书》原件、《国有土地使用权》复印件，截至估价期日，估价对象抵押权未见登记。未设定租赁等其他他项权利。</v>
      </c>
    </row>
    <row r="56" spans="1:2">
      <c r="A56" s="2879" t="s">
        <v>2677</v>
      </c>
      <c r="B56" s="2880" t="str">
        <f>'预评函-3'!A3</f>
        <v>2.基础设施条件：估价对象实际开发程度为红线外七通、宗地红线内场地平整；本次评估设定开发程度为红线外七通、宗地红线内场地平整。</v>
      </c>
    </row>
    <row r="57" spans="1:2">
      <c r="A57" s="2879" t="s">
        <v>2678</v>
      </c>
      <c r="B57" s="2880" t="str">
        <f>'预评函-3'!A4</f>
        <v>3.估价规划限制条件：详见《建设工程规划许可证》[]、《出让合同》[]。</v>
      </c>
    </row>
    <row r="58" spans="1:2" s="2894" customFormat="1" ht="15" thickBot="1">
      <c r="A58" s="2901" t="s">
        <v>2727</v>
      </c>
      <c r="B58" s="2902" t="str">
        <f>'预评函-3'!A5</f>
        <v>4.影响价格的其他限定条件：无。</v>
      </c>
    </row>
    <row r="59" spans="1:2" ht="15" thickTop="1">
      <c r="A59" s="2890" t="s">
        <v>2679</v>
      </c>
      <c r="B59" s="2891" t="str">
        <f>'预评函-3'!A8</f>
        <v>2.本《评估意见函》仅供金融机构进行内部审核使用，不做其他目的之用。</v>
      </c>
    </row>
    <row r="60" spans="1:2">
      <c r="A60" s="2879" t="s">
        <v>2680</v>
      </c>
      <c r="B60" s="2880" t="str">
        <f>'预评函-3'!A9</f>
        <v>3.抵押双方在办理抵押登记手续时，应使用本公司出具的正式《土地估价报告》，特提请报告使用者注意。</v>
      </c>
    </row>
    <row r="61" spans="1:2">
      <c r="A61" s="2879" t="s">
        <v>2682</v>
      </c>
      <c r="B61" s="2880" t="str">
        <f>'预评函-3'!A10</f>
        <v>4.估价师所知悉的法定优先受偿款情况为：</v>
      </c>
    </row>
    <row r="62" spans="1:2">
      <c r="A62" s="2879" t="s">
        <v>2681</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2683</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2684</v>
      </c>
      <c r="B64" s="2885" t="str">
        <f>'预评函-3'!A13</f>
        <v>（3）。</v>
      </c>
    </row>
    <row r="65" spans="1:2">
      <c r="A65" s="2879" t="s">
        <v>2685</v>
      </c>
      <c r="B65" s="2886" t="str">
        <f>'预评函-3'!A14</f>
        <v>综上，本次评估不存在估价师知悉的法定优先受偿款</v>
      </c>
    </row>
    <row r="66" spans="1:2">
      <c r="A66" s="2879" t="s">
        <v>2686</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2687</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2690</v>
      </c>
      <c r="B68" s="2905">
        <f>'预评函-3'!D30</f>
        <v>42558</v>
      </c>
    </row>
    <row r="69" spans="1:2" ht="15" thickTop="1">
      <c r="A69" s="2890" t="s">
        <v>2688</v>
      </c>
      <c r="B69" s="2891" t="str">
        <f>'预评函-3'!A20</f>
        <v>土地估价师</v>
      </c>
    </row>
    <row r="70" spans="1:2">
      <c r="A70" s="2879" t="s">
        <v>2688</v>
      </c>
      <c r="B70" s="2886">
        <f>'预评函-3'!B20</f>
        <v>0</v>
      </c>
    </row>
    <row r="71" spans="1:2">
      <c r="A71" s="2879" t="s">
        <v>2689</v>
      </c>
      <c r="B71" s="2880" t="str">
        <f>'预评函-3'!A21</f>
        <v>土地估价师</v>
      </c>
    </row>
    <row r="72" spans="1:2" s="2894" customFormat="1" ht="15" thickBot="1">
      <c r="A72" s="2901" t="s">
        <v>2689</v>
      </c>
      <c r="B72" s="2907">
        <f>'预评函-3'!B21</f>
        <v>0</v>
      </c>
    </row>
    <row r="73" spans="1:2" ht="15" thickTop="1">
      <c r="A73" s="2890" t="s">
        <v>2748</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2749</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2750</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2785</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G18" sqref="G18"/>
    </sheetView>
  </sheetViews>
  <sheetFormatPr defaultColWidth="10" defaultRowHeight="14.25"/>
  <cols>
    <col min="1" max="1" width="15.375" style="1691" customWidth="1"/>
    <col min="2" max="2" width="11.375" style="1691" customWidth="1"/>
    <col min="3" max="3" width="12.62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1938</v>
      </c>
      <c r="B1" s="3242" t="str">
        <f>IF(B10="北京市","北京市",C10)&amp;F10&amp;B16&amp;"国有建设用地使用权"&amp;B9&amp;"预评估"</f>
        <v>出让国有建设用地使用权抵押价格预评估</v>
      </c>
      <c r="C1" s="3243"/>
      <c r="D1" s="3243"/>
      <c r="E1" s="3243"/>
      <c r="F1" s="3243"/>
      <c r="G1" s="3243"/>
      <c r="H1" s="3243"/>
      <c r="I1" s="3244"/>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1939</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1940</v>
      </c>
      <c r="B3" s="1662">
        <v>43446</v>
      </c>
      <c r="C3" s="1663" t="s">
        <v>1996</v>
      </c>
      <c r="D3" s="1662">
        <v>43446</v>
      </c>
      <c r="E3" s="1694"/>
      <c r="F3" s="1694"/>
      <c r="G3" s="1694"/>
      <c r="H3" s="1660"/>
      <c r="I3" s="1695"/>
      <c r="J3" s="1694"/>
      <c r="K3" s="1774"/>
      <c r="L3" s="1723"/>
      <c r="M3" s="1723"/>
      <c r="N3" s="1694"/>
      <c r="O3" s="1695"/>
      <c r="P3" s="1694"/>
      <c r="Q3" s="1694"/>
      <c r="R3" s="1694"/>
      <c r="S3" s="1694"/>
      <c r="T3" s="1694"/>
      <c r="U3" s="1694"/>
    </row>
    <row r="4" spans="1:21" ht="15" thickBot="1">
      <c r="A4" s="1664" t="s">
        <v>1941</v>
      </c>
      <c r="B4" s="1843" t="s">
        <v>2886</v>
      </c>
      <c r="C4" s="1846">
        <f>SUMIF(土地估价师,B4,估价师及机构信息!E3:E24)</f>
        <v>0</v>
      </c>
      <c r="D4" s="1843" t="s">
        <v>2886</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1942</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2704</v>
      </c>
      <c r="B6" s="1789"/>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2705</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1943</v>
      </c>
      <c r="B8" s="1670" t="s">
        <v>2980</v>
      </c>
      <c r="C8" s="1671"/>
      <c r="D8" s="3248" t="s">
        <v>1945</v>
      </c>
      <c r="E8" s="1844" t="s">
        <v>2981</v>
      </c>
      <c r="F8" s="1672"/>
      <c r="G8" s="1660"/>
      <c r="H8" s="1660"/>
      <c r="I8" s="1707"/>
      <c r="J8" s="1694"/>
      <c r="K8" s="1774"/>
      <c r="L8" s="1723"/>
      <c r="M8" s="1723"/>
      <c r="N8" s="1694"/>
      <c r="O8" s="1695"/>
      <c r="P8" s="1694"/>
      <c r="Q8" s="1694"/>
      <c r="R8" s="1694"/>
      <c r="S8" s="1694"/>
      <c r="T8" s="1694"/>
      <c r="U8" s="1694"/>
    </row>
    <row r="9" spans="1:21" ht="15" thickBot="1">
      <c r="A9" s="1673" t="s">
        <v>1944</v>
      </c>
      <c r="B9" s="1674" t="s">
        <v>2981</v>
      </c>
      <c r="C9" s="1675"/>
      <c r="D9" s="3249"/>
      <c r="E9" s="1674"/>
      <c r="F9" s="1747"/>
      <c r="G9" s="1742"/>
      <c r="H9" s="1742"/>
      <c r="I9" s="1743"/>
      <c r="J9" s="1694"/>
      <c r="K9" s="1774"/>
      <c r="L9" s="1723"/>
      <c r="M9" s="1723"/>
      <c r="N9" s="1694"/>
      <c r="O9" s="1695"/>
      <c r="P9" s="1694"/>
      <c r="Q9" s="1694"/>
      <c r="R9" s="1694"/>
      <c r="S9" s="1694"/>
      <c r="T9" s="1694"/>
      <c r="U9" s="1694"/>
    </row>
    <row r="10" spans="1:21" ht="15" thickTop="1">
      <c r="A10" s="1744" t="s">
        <v>2000</v>
      </c>
      <c r="B10" s="1719" t="s">
        <v>2982</v>
      </c>
      <c r="C10" s="1676"/>
      <c r="D10" s="1667"/>
      <c r="E10" s="1677" t="s">
        <v>1947</v>
      </c>
      <c r="F10" s="1678"/>
      <c r="G10" s="1745"/>
      <c r="H10" s="1746"/>
      <c r="I10" s="1667"/>
      <c r="J10" s="1694"/>
      <c r="K10" s="1774"/>
      <c r="L10" s="1723"/>
      <c r="M10" s="1723"/>
      <c r="N10" s="1694"/>
      <c r="O10" s="1695"/>
      <c r="P10" s="1694"/>
      <c r="Q10" s="1694"/>
      <c r="R10" s="1694"/>
      <c r="S10" s="1694"/>
      <c r="T10" s="1694"/>
      <c r="U10" s="1694"/>
    </row>
    <row r="11" spans="1:21">
      <c r="A11" s="1697" t="s">
        <v>2001</v>
      </c>
      <c r="B11" s="1698" t="s">
        <v>2983</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2059</v>
      </c>
      <c r="B12" s="3245"/>
      <c r="C12" s="3246"/>
      <c r="D12" s="3247"/>
      <c r="E12" s="1699" t="s">
        <v>2062</v>
      </c>
      <c r="F12" s="3263" t="s">
        <v>2887</v>
      </c>
      <c r="G12" s="3264"/>
      <c r="H12" s="3264"/>
      <c r="I12" s="3265"/>
      <c r="J12" s="1694"/>
      <c r="K12" s="1774"/>
      <c r="L12" s="1723"/>
      <c r="M12" s="1723"/>
      <c r="N12" s="1694"/>
      <c r="O12" s="1695"/>
      <c r="P12" s="1694"/>
      <c r="Q12" s="1694"/>
      <c r="R12" s="1694"/>
      <c r="S12" s="1694"/>
      <c r="T12" s="1694"/>
      <c r="U12" s="1694"/>
    </row>
    <row r="13" spans="1:21">
      <c r="A13" s="1687" t="s">
        <v>2060</v>
      </c>
      <c r="B13" s="3245"/>
      <c r="C13" s="3246"/>
      <c r="D13" s="3247"/>
      <c r="E13" s="1699" t="s">
        <v>2062</v>
      </c>
      <c r="F13" s="3263" t="s">
        <v>2888</v>
      </c>
      <c r="G13" s="3264"/>
      <c r="H13" s="3264"/>
      <c r="I13" s="3265"/>
      <c r="J13" s="1694"/>
      <c r="K13" s="1774"/>
      <c r="L13" s="1723"/>
      <c r="M13" s="1723"/>
      <c r="N13" s="1694"/>
      <c r="O13" s="1695"/>
      <c r="P13" s="1694"/>
      <c r="Q13" s="1694"/>
      <c r="R13" s="1694"/>
      <c r="S13" s="1694"/>
      <c r="T13" s="1694"/>
      <c r="U13" s="1694"/>
    </row>
    <row r="14" spans="1:21">
      <c r="A14" s="1661" t="s">
        <v>2063</v>
      </c>
      <c r="B14" s="1699"/>
      <c r="C14" s="1845" t="s">
        <v>2984</v>
      </c>
      <c r="D14" s="1733" t="str">
        <f>IF(C14="不一致","是否符合证载地类范围","")</f>
        <v/>
      </c>
      <c r="E14" s="1699"/>
      <c r="F14" s="1790" t="s">
        <v>2986</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1950</v>
      </c>
      <c r="E15" s="1766" t="s">
        <v>1951</v>
      </c>
      <c r="F15" s="1766" t="s">
        <v>1952</v>
      </c>
      <c r="G15" s="1686" t="s">
        <v>1953</v>
      </c>
      <c r="H15" s="1686" t="s">
        <v>1954</v>
      </c>
      <c r="I15" s="1686" t="s">
        <v>1955</v>
      </c>
      <c r="J15" s="1694"/>
      <c r="K15" s="1774"/>
      <c r="L15" s="1723"/>
      <c r="M15" s="1723"/>
      <c r="N15" s="1694"/>
      <c r="O15" s="1695"/>
      <c r="P15" s="1694"/>
      <c r="Q15" s="1694"/>
      <c r="R15" s="1694"/>
      <c r="S15" s="1694"/>
      <c r="T15" s="1694"/>
      <c r="U15" s="1694"/>
    </row>
    <row r="16" spans="1:21" ht="42.75">
      <c r="A16" s="1680" t="s">
        <v>1948</v>
      </c>
      <c r="B16" s="1681" t="s">
        <v>2985</v>
      </c>
      <c r="C16" s="1699" t="s">
        <v>1949</v>
      </c>
      <c r="D16" s="2647" t="s">
        <v>1950</v>
      </c>
      <c r="E16" s="1722" t="s">
        <v>3030</v>
      </c>
      <c r="F16" s="1722"/>
      <c r="G16" s="1722" t="s">
        <v>35</v>
      </c>
      <c r="H16" s="1722"/>
      <c r="I16" s="1686" t="s">
        <v>1955</v>
      </c>
      <c r="J16" s="1694"/>
      <c r="K16" s="2457" t="str">
        <f>IF(D17="","",D16&amp;TEXT(D17,"yyyy年m月d日;;"))</f>
        <v>住宅2067年6月29日</v>
      </c>
      <c r="L16" s="1699" t="str">
        <f>IF(OR(K16="",M16=""),"","、")</f>
        <v>、</v>
      </c>
      <c r="M16" s="2457" t="str">
        <f>IF(E17="","",E16&amp;TEXT(E17,"yyyy年m月d日;;"))</f>
        <v>商业2057年6月29日</v>
      </c>
      <c r="N16" s="1699" t="str">
        <f>IF(OR(M16="",O16=""),"","、")</f>
        <v/>
      </c>
      <c r="O16" s="2457" t="str">
        <f>IF(F17="","",F16&amp;TEXT(F17,"yyyy年m月d日;;"))</f>
        <v/>
      </c>
      <c r="P16" s="1699" t="str">
        <f>IF(OR(O16="",Q16=""),"","、")</f>
        <v/>
      </c>
      <c r="Q16" s="2457" t="str">
        <f>IF(G17="","",G16&amp;TEXT(G17,"yyyy年m月d日;;"))</f>
        <v>地下车库2067年6月29日</v>
      </c>
      <c r="R16" s="1699" t="str">
        <f>IF(OR(Q16="",S16=""),"","、")</f>
        <v/>
      </c>
      <c r="S16" s="2457" t="str">
        <f>IF(H17="","",H16&amp;TEXT(H17,"yyyy年m月d日;;"))</f>
        <v/>
      </c>
      <c r="T16" s="1699" t="str">
        <f>IF(OR(S16="",U16=""),"","、")</f>
        <v/>
      </c>
      <c r="U16" s="2457" t="str">
        <f>IF(I17="","",I16&amp;TEXT(I17,"yyyy年m月d日;;"))</f>
        <v/>
      </c>
    </row>
    <row r="17" spans="1:21">
      <c r="A17" s="1763"/>
      <c r="B17" s="1682"/>
      <c r="C17" s="1683" t="s">
        <v>1956</v>
      </c>
      <c r="D17" s="1700">
        <v>61177</v>
      </c>
      <c r="E17" s="1700">
        <v>57525</v>
      </c>
      <c r="F17" s="1700"/>
      <c r="G17" s="1700">
        <v>61177</v>
      </c>
      <c r="H17" s="1700"/>
      <c r="I17" s="1700"/>
      <c r="J17" s="1694"/>
      <c r="K17" s="2456" t="str">
        <f>CONCATENATE(K16,L16,M16,N16,O16,P16,Q16,R16,S16,T16,,U16)</f>
        <v>住宅2067年6月29日、商业2057年6月29日地下车库2067年6月29日</v>
      </c>
      <c r="L17" s="1723"/>
      <c r="M17" s="1723"/>
      <c r="N17" s="1694"/>
      <c r="O17" s="1695"/>
      <c r="P17" s="1694"/>
      <c r="Q17" s="1694"/>
      <c r="R17" s="1694"/>
      <c r="S17" s="1694"/>
      <c r="T17" s="1694"/>
      <c r="U17" s="1694"/>
    </row>
    <row r="18" spans="1:21">
      <c r="A18" s="1763"/>
      <c r="B18" s="1682"/>
      <c r="C18" s="1683" t="s">
        <v>1957</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1958</v>
      </c>
      <c r="D19" s="1758">
        <f>IF(B16="出让",IF(D17="","",ROUNDDOWN(MIN((D17-$D$3)/365,D18),2)),D18)</f>
        <v>48.57</v>
      </c>
      <c r="E19" s="1685">
        <f>IF(B16="出让",IF(E17="","",ROUNDDOWN(MIN((E17-$D$3)/365,E18),2)),E18)</f>
        <v>38.57</v>
      </c>
      <c r="F19" s="1685" t="str">
        <f>IF(B16="出让",IF(F17="","",ROUNDDOWN(MIN((F17-$D$3)/365,F18),2)),F18)</f>
        <v/>
      </c>
      <c r="G19" s="1685">
        <f>IF(B16="出让",IF(G17="","",ROUNDDOWN(MIN((G17-$D$3)/365,G18),2)),G18)</f>
        <v>48.57</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2061</v>
      </c>
      <c r="D20" s="3260"/>
      <c r="E20" s="3261"/>
      <c r="F20" s="3261"/>
      <c r="G20" s="3261"/>
      <c r="H20" s="3261"/>
      <c r="I20" s="3262"/>
      <c r="J20" s="1694"/>
      <c r="K20" s="1774"/>
      <c r="L20" s="1723"/>
      <c r="M20" s="1723"/>
      <c r="N20" s="1694"/>
      <c r="O20" s="1695"/>
      <c r="P20" s="1694"/>
      <c r="Q20" s="1694"/>
      <c r="R20" s="1694"/>
      <c r="S20" s="1694"/>
      <c r="T20" s="1694"/>
      <c r="U20" s="1694"/>
    </row>
    <row r="21" spans="1:21">
      <c r="A21" s="1763" t="s">
        <v>1959</v>
      </c>
      <c r="B21" s="1764" t="s">
        <v>1960</v>
      </c>
      <c r="C21" s="1759">
        <f>'数据-汇总表'!E3</f>
        <v>100725</v>
      </c>
      <c r="D21" s="1760" t="s">
        <v>1961</v>
      </c>
      <c r="E21" s="3250" t="s">
        <v>1999</v>
      </c>
      <c r="F21" s="3251"/>
      <c r="G21" s="3251"/>
      <c r="H21" s="3251"/>
      <c r="I21" s="3252"/>
      <c r="J21" s="1694"/>
      <c r="K21" s="1774"/>
      <c r="L21" s="1723"/>
      <c r="M21" s="1723"/>
      <c r="N21" s="1694"/>
      <c r="O21" s="1695"/>
      <c r="P21" s="1694"/>
      <c r="Q21" s="1694"/>
      <c r="R21" s="1694"/>
      <c r="S21" s="1694"/>
      <c r="T21" s="1694"/>
      <c r="U21" s="1694"/>
    </row>
    <row r="22" spans="1:21">
      <c r="A22" s="3148" t="s">
        <v>951</v>
      </c>
      <c r="B22" s="1661" t="s">
        <v>1962</v>
      </c>
      <c r="C22" s="1686">
        <f>'数据-汇总表'!D3</f>
        <v>40290</v>
      </c>
      <c r="D22" s="1687" t="s">
        <v>1961</v>
      </c>
      <c r="E22" s="3250" t="s">
        <v>2889</v>
      </c>
      <c r="F22" s="3251"/>
      <c r="G22" s="3251"/>
      <c r="H22" s="3251"/>
      <c r="I22" s="3252"/>
      <c r="J22" s="1694"/>
      <c r="K22" s="1774"/>
      <c r="L22" s="1723"/>
      <c r="M22" s="1723"/>
      <c r="N22" s="1694"/>
      <c r="O22" s="1695"/>
      <c r="P22" s="1694"/>
      <c r="Q22" s="1694"/>
      <c r="R22" s="1694"/>
      <c r="S22" s="1694"/>
      <c r="T22" s="1694"/>
      <c r="U22" s="1694"/>
    </row>
    <row r="23" spans="1:21" ht="43.5" thickBot="1">
      <c r="A23" s="1765" t="s">
        <v>1963</v>
      </c>
      <c r="B23" s="1701" t="s">
        <v>1964</v>
      </c>
      <c r="C23" s="1702"/>
      <c r="D23" s="1703" t="s">
        <v>1965</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1966</v>
      </c>
      <c r="B24" s="3253" t="s">
        <v>1967</v>
      </c>
      <c r="C24" s="3254"/>
      <c r="D24" s="3255" t="s">
        <v>1968</v>
      </c>
      <c r="E24" s="3256"/>
      <c r="F24" s="1708" t="s">
        <v>1969</v>
      </c>
      <c r="G24" s="1694"/>
      <c r="H24" s="1694"/>
      <c r="I24" s="1707"/>
      <c r="J24" s="1694"/>
      <c r="K24" s="3241" t="s">
        <v>1970</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2325</v>
      </c>
      <c r="C25" s="1709" t="s">
        <v>1971</v>
      </c>
      <c r="D25" s="1710"/>
      <c r="E25" s="1711" t="s">
        <v>951</v>
      </c>
      <c r="F25" s="1712"/>
      <c r="G25" s="1694"/>
      <c r="H25" s="1694"/>
      <c r="I25" s="1707"/>
      <c r="J25" s="1694"/>
      <c r="K25" s="3241"/>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1972</v>
      </c>
      <c r="C26" s="1709" t="s">
        <v>2326</v>
      </c>
      <c r="D26" s="1660"/>
      <c r="E26" s="1660"/>
      <c r="F26" s="1688"/>
      <c r="G26" s="1694"/>
      <c r="H26" s="1694"/>
      <c r="I26" s="1707"/>
      <c r="J26" s="1694"/>
      <c r="K26" s="3241"/>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52"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53"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53"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54" t="s">
        <v>1977</v>
      </c>
      <c r="E30" s="1718"/>
      <c r="F30" s="1689"/>
      <c r="G30" s="1742"/>
      <c r="H30" s="1742"/>
      <c r="I30" s="1743"/>
      <c r="J30" s="1694"/>
      <c r="K30" s="1774"/>
      <c r="L30" s="1723"/>
      <c r="M30" s="1723"/>
      <c r="N30" s="1694"/>
      <c r="O30" s="1695"/>
      <c r="P30" s="1694"/>
      <c r="Q30" s="1694"/>
      <c r="R30" s="1694"/>
      <c r="S30" s="1694"/>
      <c r="T30" s="1694"/>
      <c r="U30" s="1694"/>
    </row>
    <row r="31" spans="1:21" ht="15" thickTop="1">
      <c r="A31" s="3268" t="s">
        <v>2002</v>
      </c>
      <c r="B31" s="1764" t="s">
        <v>2003</v>
      </c>
      <c r="C31" s="3266" t="s">
        <v>3005</v>
      </c>
      <c r="D31" s="3267"/>
      <c r="E31" s="1694"/>
      <c r="F31" s="1694"/>
      <c r="G31" s="1694"/>
      <c r="H31" s="1694"/>
      <c r="I31" s="1707"/>
      <c r="J31" s="1694"/>
      <c r="K31" s="2459"/>
      <c r="L31" s="1694"/>
      <c r="M31" s="1694"/>
      <c r="N31" s="1694"/>
      <c r="O31" s="1694"/>
      <c r="P31" s="1694"/>
      <c r="Q31" s="1694"/>
      <c r="R31" s="1694"/>
      <c r="S31" s="1694"/>
      <c r="T31" s="1694"/>
      <c r="U31" s="1694"/>
    </row>
    <row r="32" spans="1:21">
      <c r="A32" s="3268"/>
      <c r="B32" s="1661" t="s">
        <v>2004</v>
      </c>
      <c r="C32" s="1719" t="s">
        <v>3006</v>
      </c>
      <c r="D32" s="1720"/>
      <c r="E32" s="1694"/>
      <c r="F32" s="1694"/>
      <c r="G32" s="1694"/>
      <c r="H32" s="1694"/>
      <c r="I32" s="1707"/>
      <c r="J32" s="1694"/>
      <c r="K32" s="2459"/>
      <c r="L32" s="1694"/>
      <c r="M32" s="1694"/>
      <c r="N32" s="1694"/>
      <c r="O32" s="1694"/>
      <c r="P32" s="1694"/>
      <c r="Q32" s="1694"/>
      <c r="R32" s="1694"/>
      <c r="S32" s="1694"/>
      <c r="T32" s="1694"/>
      <c r="U32" s="1694"/>
    </row>
    <row r="33" spans="1:21">
      <c r="A33" s="3268"/>
      <c r="B33" s="1661" t="s">
        <v>2005</v>
      </c>
      <c r="C33" s="1721" t="s">
        <v>3007</v>
      </c>
      <c r="D33" s="1838"/>
      <c r="E33" s="1694"/>
      <c r="F33" s="1694"/>
      <c r="G33" s="1694"/>
      <c r="H33" s="1694"/>
      <c r="I33" s="1707"/>
      <c r="J33" s="1694"/>
      <c r="K33" s="2459"/>
      <c r="L33" s="1694"/>
      <c r="M33" s="1694"/>
      <c r="N33" s="1694"/>
      <c r="O33" s="1694"/>
      <c r="P33" s="1694"/>
      <c r="Q33" s="1694"/>
      <c r="R33" s="1694"/>
      <c r="S33" s="1694"/>
      <c r="T33" s="1694"/>
      <c r="U33" s="1694"/>
    </row>
    <row r="34" spans="1:21">
      <c r="A34" s="3269"/>
      <c r="B34" s="1661" t="s">
        <v>2006</v>
      </c>
      <c r="C34" s="3270"/>
      <c r="D34" s="3271"/>
      <c r="E34" s="1694"/>
      <c r="F34" s="1694"/>
      <c r="G34" s="1694"/>
      <c r="H34" s="1694"/>
      <c r="I34" s="1707"/>
      <c r="J34" s="1694"/>
      <c r="K34" s="2459"/>
      <c r="L34" s="1694"/>
      <c r="M34" s="1694"/>
      <c r="N34" s="1694"/>
      <c r="O34" s="1694"/>
      <c r="P34" s="1694"/>
      <c r="Q34" s="1694"/>
      <c r="R34" s="1694"/>
      <c r="S34" s="1694"/>
      <c r="T34" s="1694"/>
      <c r="U34" s="1694"/>
    </row>
    <row r="35" spans="1:21">
      <c r="A35" s="3272" t="s">
        <v>846</v>
      </c>
      <c r="B35" s="1722" t="s">
        <v>3008</v>
      </c>
      <c r="C35" s="1776" t="str">
        <f>IF(B35="场地平整","——","具体情况：")</f>
        <v>——</v>
      </c>
      <c r="D35" s="3274"/>
      <c r="E35" s="3275"/>
      <c r="F35" s="3275"/>
      <c r="G35" s="3275"/>
      <c r="H35" s="3275"/>
      <c r="I35" s="3276"/>
      <c r="J35" s="1694"/>
      <c r="K35" s="1775"/>
      <c r="L35" s="1723"/>
      <c r="M35" s="1723"/>
      <c r="N35" s="1694"/>
      <c r="O35" s="1695"/>
      <c r="P35" s="1694"/>
      <c r="Q35" s="1694"/>
      <c r="R35" s="1694"/>
      <c r="S35" s="1694"/>
      <c r="T35" s="1694"/>
      <c r="U35" s="1694"/>
    </row>
    <row r="36" spans="1:21">
      <c r="A36" s="3268"/>
      <c r="B36" s="3277" t="s">
        <v>2055</v>
      </c>
      <c r="C36" s="3278"/>
      <c r="D36" s="1792" t="s">
        <v>3009</v>
      </c>
      <c r="E36" s="3279"/>
      <c r="F36" s="3279"/>
      <c r="G36" s="1687" t="str">
        <f>IF(B35="场地未平整","估价结果处理","")</f>
        <v/>
      </c>
      <c r="H36" s="3280"/>
      <c r="I36" s="3280"/>
      <c r="J36" s="1694"/>
      <c r="K36" s="1775"/>
      <c r="L36" s="1723"/>
      <c r="M36" s="1723"/>
      <c r="N36" s="1694"/>
      <c r="O36" s="1695"/>
      <c r="P36" s="1694"/>
      <c r="Q36" s="1694"/>
      <c r="R36" s="1694"/>
      <c r="S36" s="1694"/>
      <c r="T36" s="1694"/>
      <c r="U36" s="1694"/>
    </row>
    <row r="37" spans="1:21" ht="28.5">
      <c r="A37" s="3268"/>
      <c r="B37" s="3257"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68"/>
      <c r="B38" s="3258"/>
      <c r="C38" s="1669" t="s">
        <v>849</v>
      </c>
      <c r="D38" s="1791">
        <f>ROUNDDOWN(MIN(('数据-取费表'!$B$2-D37)/365,D34),1)</f>
        <v>119</v>
      </c>
      <c r="E38" s="1727" t="s">
        <v>850</v>
      </c>
      <c r="F38" s="1694"/>
      <c r="G38" s="1694"/>
      <c r="H38" s="1694"/>
      <c r="I38" s="1707"/>
      <c r="J38" s="1694"/>
      <c r="K38" s="1775"/>
      <c r="L38" s="1694"/>
      <c r="M38" s="1694"/>
      <c r="N38" s="1694"/>
      <c r="O38" s="1694"/>
      <c r="P38" s="1694"/>
      <c r="Q38" s="1694"/>
      <c r="R38" s="1694"/>
      <c r="S38" s="1694"/>
      <c r="T38" s="1694"/>
      <c r="U38" s="1694"/>
    </row>
    <row r="39" spans="1:21">
      <c r="A39" s="3269"/>
      <c r="B39" s="325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3010</v>
      </c>
      <c r="C40" s="1690" t="s">
        <v>3011</v>
      </c>
      <c r="D40" s="1690" t="s">
        <v>3012</v>
      </c>
      <c r="E40" s="1690"/>
      <c r="F40" s="1690"/>
      <c r="G40" s="1690"/>
      <c r="H40" s="1690"/>
      <c r="I40" s="1707"/>
      <c r="J40" s="1694"/>
      <c r="K40" s="1730">
        <f>COUNTIF(B40:H40,"——")</f>
        <v>0</v>
      </c>
      <c r="L40" s="1699" t="s">
        <v>1979</v>
      </c>
      <c r="M40" s="1696" t="s">
        <v>1980</v>
      </c>
      <c r="N40" s="1696" t="s">
        <v>1981</v>
      </c>
      <c r="O40" s="1696" t="s">
        <v>1982</v>
      </c>
      <c r="P40" s="1696" t="s">
        <v>1983</v>
      </c>
      <c r="Q40" s="1696" t="s">
        <v>1984</v>
      </c>
      <c r="R40" s="1696" t="s">
        <v>1985</v>
      </c>
      <c r="S40" s="3240" t="s">
        <v>1986</v>
      </c>
      <c r="T40" s="1731" t="str">
        <f>NUMBERSTRING(7-K40,1)&amp;"通"</f>
        <v>七通</v>
      </c>
      <c r="U40" s="1694"/>
    </row>
    <row r="41" spans="1:21">
      <c r="A41" s="1663"/>
      <c r="B41" s="3273" t="s">
        <v>1720</v>
      </c>
      <c r="C41" s="3273"/>
      <c r="D41" s="3273"/>
      <c r="E41" s="3273"/>
      <c r="F41" s="1732">
        <f>C10</f>
        <v>0</v>
      </c>
      <c r="G41" s="1694"/>
      <c r="H41" s="1694"/>
      <c r="I41" s="1707"/>
      <c r="J41" s="1694"/>
      <c r="K41" s="1699"/>
      <c r="L41" s="1696" t="str">
        <f>B40</f>
        <v>通路</v>
      </c>
      <c r="M41" s="1733" t="str">
        <f>B40&amp;"、"&amp;C40</f>
        <v>通路、通电</v>
      </c>
      <c r="N41" s="1734" t="str">
        <f>B40&amp;"、"&amp;C40&amp;"、"&amp;D40</f>
        <v>通路、通电、通上水</v>
      </c>
      <c r="O41" s="1734" t="str">
        <f>B40&amp;"、"&amp;C40&amp;"、"&amp;D40&amp;"、"&amp;E40</f>
        <v>通路、通电、通上水、</v>
      </c>
      <c r="P41" s="1734" t="str">
        <f>B40&amp;"、"&amp;C40&amp;"、"&amp;D40&amp;"、"&amp;E40&amp;"、"&amp;F40</f>
        <v>通路、通电、通上水、、</v>
      </c>
      <c r="Q41" s="1734" t="str">
        <f>B40&amp;"、"&amp;C40&amp;"、"&amp;D40&amp;"、"&amp;E40&amp;"、"&amp;F40&amp;"、"&amp;G40</f>
        <v>通路、通电、通上水、、、</v>
      </c>
      <c r="R41" s="1734" t="str">
        <f>B40&amp;"、"&amp;C40&amp;"、"&amp;D40&amp;"、"&amp;E40&amp;"、"&amp;F40&amp;"、"&amp;G40&amp;"、"&amp;H40</f>
        <v>通路、通电、通上水、、、、</v>
      </c>
      <c r="S41" s="3240"/>
      <c r="T41" s="1733" t="str">
        <f>IF(T40="一通",L41,IF(T40="二通",M41,IF(T40="三通",N41,IF(T40="四通",O41,IF(T40="五通",P41,IF(T40="六通",Q41,R41))))))</f>
        <v>通路、通电、通上水、、、、</v>
      </c>
      <c r="U41" s="1694"/>
    </row>
    <row r="42" spans="1:21">
      <c r="A42" s="1735"/>
      <c r="B42" s="1766" t="s">
        <v>1896</v>
      </c>
      <c r="C42" s="1766" t="s">
        <v>1897</v>
      </c>
      <c r="D42" s="1766" t="s">
        <v>1898</v>
      </c>
      <c r="E42" s="1699" t="s">
        <v>1899</v>
      </c>
      <c r="F42" s="1736"/>
      <c r="G42" s="1694"/>
      <c r="H42" s="1694"/>
      <c r="I42" s="1707"/>
      <c r="J42" s="1694"/>
      <c r="K42" s="1774"/>
      <c r="L42" s="1723"/>
      <c r="M42" s="1723"/>
      <c r="N42" s="1694"/>
      <c r="O42" s="1695"/>
      <c r="P42" s="1694"/>
      <c r="Q42" s="1694"/>
      <c r="R42" s="1694"/>
      <c r="S42" s="1694"/>
      <c r="T42" s="1694"/>
      <c r="U42" s="1694"/>
    </row>
    <row r="43" spans="1:21">
      <c r="A43" s="1737" t="s">
        <v>1705</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1706</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2890</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2008</v>
      </c>
      <c r="B48" s="1686" t="s">
        <v>2009</v>
      </c>
      <c r="C48" s="1686" t="s">
        <v>2010</v>
      </c>
      <c r="D48" s="1686" t="s">
        <v>2011</v>
      </c>
      <c r="E48" s="1686" t="s">
        <v>2012</v>
      </c>
      <c r="F48" s="1686" t="s">
        <v>2013</v>
      </c>
      <c r="G48" s="1686" t="s">
        <v>2014</v>
      </c>
      <c r="H48" s="1686" t="s">
        <v>2015</v>
      </c>
      <c r="I48" s="1686" t="s">
        <v>2016</v>
      </c>
      <c r="J48" s="1772" t="s">
        <v>2017</v>
      </c>
      <c r="K48" s="1766" t="s">
        <v>2018</v>
      </c>
      <c r="L48" s="1766" t="s">
        <v>2019</v>
      </c>
      <c r="M48" s="1766" t="s">
        <v>2020</v>
      </c>
      <c r="N48" s="1686" t="s">
        <v>2021</v>
      </c>
      <c r="O48" s="1686" t="s">
        <v>2022</v>
      </c>
      <c r="P48" s="1686" t="s">
        <v>2023</v>
      </c>
      <c r="Q48" s="1699" t="s">
        <v>2024</v>
      </c>
      <c r="R48" s="1699" t="s">
        <v>2025</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4" sqref="K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2" width="9.5" style="15" customWidth="1"/>
    <col min="33" max="33" width="9.5" style="15" hidden="1" customWidth="1"/>
    <col min="34" max="34" width="9.5" style="15" customWidth="1"/>
    <col min="35" max="35" width="9.5" style="15" hidden="1" customWidth="1"/>
    <col min="36" max="36" width="9.5" style="15" customWidth="1"/>
    <col min="37" max="37" width="9.5" style="15" hidden="1" customWidth="1"/>
    <col min="38" max="38" width="9.5" style="15" customWidth="1"/>
    <col min="39" max="39" width="9.5" style="15" hidden="1" customWidth="1"/>
    <col min="40" max="40" width="9.5" style="15" customWidth="1"/>
    <col min="41"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1" t="s">
        <v>2333</v>
      </c>
      <c r="BA2" s="2362"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40290</v>
      </c>
      <c r="B3" s="22">
        <f>IF(C3="否",G5-AT5,G5)</f>
        <v>100725</v>
      </c>
      <c r="C3" s="23" t="s">
        <v>3007</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100725</v>
      </c>
      <c r="H5" s="27">
        <f t="shared" ref="H5:AT5" si="0">SUM(H13:H641)</f>
        <v>100725</v>
      </c>
      <c r="I5" s="27">
        <f t="shared" si="0"/>
        <v>70507.5</v>
      </c>
      <c r="J5" s="27">
        <f t="shared" si="0"/>
        <v>0</v>
      </c>
      <c r="K5" s="27">
        <f t="shared" si="0"/>
        <v>30217.5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100725</v>
      </c>
      <c r="BA5" s="29">
        <f t="shared" si="1"/>
        <v>100725</v>
      </c>
      <c r="BB5" s="29">
        <f t="shared" si="1"/>
        <v>70507.5</v>
      </c>
      <c r="BC5" s="29">
        <f t="shared" si="1"/>
        <v>30217.5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40290</v>
      </c>
      <c r="F6" s="27" t="s">
        <v>1</v>
      </c>
      <c r="G6" s="27" t="s">
        <v>2</v>
      </c>
      <c r="H6" s="33">
        <f>SUMIF(I$12:AB$12,"总值",I6:AB6)</f>
        <v>40290</v>
      </c>
      <c r="I6" s="27">
        <f t="shared" ref="I6:AB6" si="2">ROUND($A$3*I5/$B$3,2)</f>
        <v>28203</v>
      </c>
      <c r="J6" s="27">
        <f t="shared" si="2"/>
        <v>0</v>
      </c>
      <c r="K6" s="27">
        <f t="shared" si="2"/>
        <v>12087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40290</v>
      </c>
      <c r="AZ6" s="27" t="s">
        <v>3</v>
      </c>
      <c r="BA6" s="27">
        <f>ROUND($AY$6*BA5/$AZ$5,2)</f>
        <v>40290</v>
      </c>
      <c r="BB6" s="27">
        <f>ROUND($AY$6*BB5/$AZ$5,2)</f>
        <v>28203</v>
      </c>
      <c r="BC6" s="27">
        <f t="shared" ref="BC6:BH6" si="4">ROUND($AY$6*BC5/$AZ$5,2)</f>
        <v>12087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8"/>
      <c r="AT8" s="2329"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20" t="s">
        <v>3029</v>
      </c>
      <c r="J9" s="51"/>
      <c r="K9" s="3020" t="s">
        <v>3029</v>
      </c>
      <c r="L9" s="51"/>
      <c r="M9" s="3020" t="s">
        <v>3032</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30"/>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20" t="s">
        <v>922</v>
      </c>
      <c r="J10" s="51"/>
      <c r="K10" s="3022" t="s">
        <v>3030</v>
      </c>
      <c r="L10" s="51"/>
      <c r="M10" s="3022" t="s">
        <v>3031</v>
      </c>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2331</v>
      </c>
      <c r="AK10" s="2334"/>
      <c r="AL10" s="2315" t="s">
        <v>2319</v>
      </c>
      <c r="AM10" s="2316"/>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c r="J11" s="71"/>
      <c r="K11" s="3021"/>
      <c r="L11" s="71"/>
      <c r="M11" s="70"/>
      <c r="N11" s="71"/>
      <c r="O11" s="70"/>
      <c r="P11" s="71"/>
      <c r="Q11" s="70"/>
      <c r="R11" s="71"/>
      <c r="S11" s="70"/>
      <c r="T11" s="71"/>
      <c r="U11" s="70"/>
      <c r="V11" s="71"/>
      <c r="W11" s="70"/>
      <c r="X11" s="71"/>
      <c r="Y11" s="70"/>
      <c r="Z11" s="71"/>
      <c r="AA11" s="70"/>
      <c r="AB11" s="71"/>
      <c r="AC11" s="55"/>
      <c r="AD11" s="2335" t="s">
        <v>2330</v>
      </c>
      <c r="AE11" s="1002"/>
      <c r="AF11" s="2335" t="s">
        <v>2330</v>
      </c>
      <c r="AG11" s="1002"/>
      <c r="AH11" s="2335" t="s">
        <v>2329</v>
      </c>
      <c r="AI11" s="2336"/>
      <c r="AJ11" s="2335" t="s">
        <v>2329</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t="s">
        <v>3236</v>
      </c>
      <c r="D13" s="3016" t="s">
        <v>1678</v>
      </c>
      <c r="E13" s="27">
        <f t="shared" ref="E13:E20" si="6">IF($C$3="是",ROUND($A$3*G13/$B$3,2),ROUND($A$3*(G13-AT13)/$B$3,2))</f>
        <v>40290</v>
      </c>
      <c r="F13" s="81"/>
      <c r="G13" s="82">
        <f t="shared" ref="G13:G20" si="7">H13+AC13+AT13</f>
        <v>100725</v>
      </c>
      <c r="H13" s="33">
        <f t="shared" ref="H13:H20" si="8">SUMIF(I$12:AB$12,"总值",I13:AB13)</f>
        <v>100725</v>
      </c>
      <c r="I13" s="3019">
        <v>70507.5</v>
      </c>
      <c r="J13" s="3019"/>
      <c r="K13" s="3019">
        <v>30217.5</v>
      </c>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t="str">
        <f t="shared" si="10"/>
        <v>住宅</v>
      </c>
      <c r="AY13" s="996">
        <f t="shared" ref="AY13:AY20" si="11">ROUND($AY$6*AZ13/$AZ$5,2)</f>
        <v>40290</v>
      </c>
      <c r="AZ13" s="27">
        <f t="shared" ref="AZ13:AZ20" si="12">BA13+BL13</f>
        <v>100725</v>
      </c>
      <c r="BA13" s="27">
        <f t="shared" ref="BA13:BA20" si="13">SUM(BB13:BK13)</f>
        <v>100725</v>
      </c>
      <c r="BB13" s="27">
        <f t="shared" ref="BB13:BB20" si="14">IF($D13="是",I13-J13,0)</f>
        <v>70507.5</v>
      </c>
      <c r="BC13" s="27">
        <f t="shared" ref="BC13:BC20" si="15">IF($D13="是",K13-L13,0)</f>
        <v>30217.5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t="s">
        <v>3237</v>
      </c>
      <c r="D14" s="3016" t="s">
        <v>1678</v>
      </c>
      <c r="E14" s="27">
        <f t="shared" si="6"/>
        <v>0</v>
      </c>
      <c r="F14" s="81"/>
      <c r="G14" s="82">
        <f t="shared" si="7"/>
        <v>0</v>
      </c>
      <c r="H14" s="33">
        <f t="shared" si="8"/>
        <v>0</v>
      </c>
      <c r="I14" s="3019"/>
      <c r="J14" s="3019"/>
      <c r="K14" s="3191"/>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t="str">
        <f t="shared" si="10"/>
        <v>商业</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t="s">
        <v>1678</v>
      </c>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t="s">
        <v>1678</v>
      </c>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t="s">
        <v>1678</v>
      </c>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8" sqref="I8"/>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201</v>
      </c>
      <c r="B1" s="1985"/>
      <c r="C1" s="1985"/>
      <c r="D1" s="1985"/>
      <c r="E1" s="1985"/>
      <c r="F1" s="1985"/>
      <c r="G1" s="1985"/>
      <c r="H1" s="1985"/>
      <c r="I1" s="1985"/>
      <c r="J1" s="1985"/>
      <c r="K1" s="1985"/>
      <c r="L1" s="1985"/>
    </row>
    <row r="2" spans="1:16" ht="15">
      <c r="A2" s="3292" t="s">
        <v>202</v>
      </c>
      <c r="B2" s="3292"/>
      <c r="C2" s="3292"/>
      <c r="D2" s="1976" t="s">
        <v>203</v>
      </c>
      <c r="E2" s="106" t="s">
        <v>204</v>
      </c>
      <c r="F2" s="1985"/>
      <c r="G2" s="1198"/>
      <c r="H2" s="1199"/>
      <c r="I2" s="1200" t="s">
        <v>856</v>
      </c>
      <c r="J2" s="1985"/>
      <c r="K2" s="1985"/>
      <c r="L2" s="1985"/>
    </row>
    <row r="3" spans="1:16" ht="15.75" thickBot="1">
      <c r="A3" s="3293" t="s">
        <v>205</v>
      </c>
      <c r="B3" s="3293"/>
      <c r="C3" s="3293"/>
      <c r="D3" s="107">
        <f>'数据-基础表'!AY6</f>
        <v>40290</v>
      </c>
      <c r="E3" s="107">
        <f>'数据-基础表'!AZ5</f>
        <v>100725</v>
      </c>
      <c r="F3" s="1985"/>
      <c r="G3" s="280" t="s">
        <v>857</v>
      </c>
      <c r="H3" s="275" t="s">
        <v>858</v>
      </c>
      <c r="I3" s="1977">
        <f>ROUND('数据-基础表'!B3/'数据-基础表'!A3,2)</f>
        <v>2.5</v>
      </c>
      <c r="J3" s="1985"/>
      <c r="K3" s="1985"/>
      <c r="L3" s="1985"/>
    </row>
    <row r="4" spans="1:16" ht="15">
      <c r="A4" s="3294"/>
      <c r="B4" s="3295"/>
      <c r="C4" s="3296"/>
      <c r="D4" s="108" t="s">
        <v>203</v>
      </c>
      <c r="E4" s="109" t="s">
        <v>204</v>
      </c>
      <c r="F4" s="1985"/>
      <c r="G4" s="1201"/>
      <c r="H4" s="275" t="s">
        <v>859</v>
      </c>
      <c r="I4" s="1977">
        <f>ROUND(SUMIF('数据-基础表'!I9:AS9,"地上",'数据-基础表'!I5:AS5)/'数据-基础表'!A3,2)</f>
        <v>2.5</v>
      </c>
      <c r="J4" s="1985"/>
      <c r="K4" s="1985"/>
      <c r="L4" s="1985"/>
    </row>
    <row r="5" spans="1:16">
      <c r="A5" s="110" t="s">
        <v>206</v>
      </c>
      <c r="B5" s="3297" t="s">
        <v>229</v>
      </c>
      <c r="C5" s="3297"/>
      <c r="D5" s="111">
        <f>ROUND($D$3*E5/$E$3,2)</f>
        <v>28203</v>
      </c>
      <c r="E5" s="112">
        <f>SUMIF('数据-基础表'!$11:$11,"住宅",'数据-基础表'!$5:$5)</f>
        <v>70507.5</v>
      </c>
      <c r="F5" s="1985"/>
      <c r="G5" s="280" t="s">
        <v>860</v>
      </c>
      <c r="H5" s="275" t="s">
        <v>858</v>
      </c>
      <c r="I5" s="1977">
        <f>ROUND(E31/D31,2)</f>
        <v>2.5</v>
      </c>
      <c r="J5" s="1985"/>
      <c r="K5" s="1985"/>
      <c r="L5" s="1985"/>
    </row>
    <row r="6" spans="1:16" ht="15" thickBot="1">
      <c r="A6" s="113"/>
      <c r="B6" s="3297" t="s">
        <v>207</v>
      </c>
      <c r="C6" s="3297"/>
      <c r="D6" s="111">
        <f>ROUND($D$3*E6/$E$3,2)</f>
        <v>12087</v>
      </c>
      <c r="E6" s="112">
        <f>E3-E5</f>
        <v>30217.5</v>
      </c>
      <c r="F6" s="1985"/>
      <c r="G6" s="1201"/>
      <c r="H6" s="275" t="s">
        <v>859</v>
      </c>
      <c r="I6" s="1977">
        <f>ROUND(F31/D31,2)</f>
        <v>2.5</v>
      </c>
      <c r="J6" s="1985"/>
      <c r="K6" s="1985"/>
      <c r="L6" s="1985"/>
    </row>
    <row r="7" spans="1:16" ht="15">
      <c r="A7" s="3289"/>
      <c r="B7" s="3290"/>
      <c r="C7" s="3291"/>
      <c r="D7" s="108" t="s">
        <v>203</v>
      </c>
      <c r="E7" s="114" t="s">
        <v>230</v>
      </c>
      <c r="F7" s="1985"/>
      <c r="G7" s="1156" t="s">
        <v>1645</v>
      </c>
      <c r="H7" s="1157"/>
      <c r="I7" s="1847"/>
      <c r="J7" s="1985"/>
      <c r="K7" s="1985"/>
      <c r="L7" s="1985"/>
    </row>
    <row r="8" spans="1:16">
      <c r="A8" s="110" t="s">
        <v>208</v>
      </c>
      <c r="B8" s="115" t="s">
        <v>209</v>
      </c>
      <c r="C8" s="111" t="s">
        <v>210</v>
      </c>
      <c r="D8" s="111">
        <f t="shared" ref="D8:D15" si="0">ROUND($D$3*E8/$E$3,2)</f>
        <v>40290</v>
      </c>
      <c r="E8" s="116">
        <f>SUMIF('数据-基础表'!BB10:BK10,"地上",'数据-基础表'!BB5:BK5)</f>
        <v>100725</v>
      </c>
      <c r="F8" s="1985"/>
      <c r="G8" s="1987"/>
      <c r="H8" s="1987"/>
      <c r="I8" s="1985"/>
      <c r="J8" s="1985"/>
      <c r="K8" s="1985"/>
      <c r="L8" s="1985"/>
    </row>
    <row r="9" spans="1:16">
      <c r="A9" s="117"/>
      <c r="B9" s="118"/>
      <c r="C9" s="111" t="s">
        <v>211</v>
      </c>
      <c r="D9" s="111">
        <f t="shared" si="0"/>
        <v>0</v>
      </c>
      <c r="E9" s="119">
        <v>0</v>
      </c>
      <c r="F9" s="1985"/>
      <c r="G9" s="1987"/>
      <c r="H9" s="1987"/>
      <c r="I9" s="1985"/>
      <c r="J9" s="1985"/>
      <c r="K9" s="1985"/>
      <c r="L9" s="1985"/>
    </row>
    <row r="10" spans="1:16">
      <c r="A10" s="117"/>
      <c r="B10" s="118"/>
      <c r="C10" s="111" t="s">
        <v>212</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2327</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213</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2334</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231</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232</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214</v>
      </c>
      <c r="D16" s="115">
        <f>SUM(D8:D15)</f>
        <v>40290</v>
      </c>
      <c r="E16" s="120">
        <f>SUM(E8:E15)</f>
        <v>100725</v>
      </c>
      <c r="F16" s="1985"/>
      <c r="G16" s="1987"/>
      <c r="H16" s="968" t="s">
        <v>218</v>
      </c>
      <c r="I16" s="969"/>
      <c r="J16" s="1985"/>
      <c r="K16" s="3283" t="s">
        <v>2564</v>
      </c>
      <c r="L16" s="3284"/>
      <c r="M16" s="3284"/>
      <c r="N16" s="3284"/>
      <c r="O16" s="3284"/>
      <c r="P16" s="3285"/>
    </row>
    <row r="17" spans="1:19" ht="15">
      <c r="A17" s="121" t="s">
        <v>215</v>
      </c>
      <c r="B17" s="122" t="s">
        <v>216</v>
      </c>
      <c r="C17" s="2299" t="s">
        <v>2313</v>
      </c>
      <c r="D17" s="108" t="s">
        <v>203</v>
      </c>
      <c r="E17" s="124" t="s">
        <v>204</v>
      </c>
      <c r="F17" s="125"/>
      <c r="G17" s="1366"/>
      <c r="H17" s="970" t="s">
        <v>217</v>
      </c>
      <c r="I17" s="971" t="s">
        <v>2312</v>
      </c>
      <c r="J17" s="1985"/>
      <c r="K17" s="3286" t="s">
        <v>2565</v>
      </c>
      <c r="L17" s="3287"/>
      <c r="M17" s="3288"/>
      <c r="N17" s="3286" t="s">
        <v>2566</v>
      </c>
      <c r="O17" s="3287"/>
      <c r="P17" s="3288"/>
      <c r="R17" s="2300" t="s">
        <v>2311</v>
      </c>
      <c r="S17" s="144"/>
    </row>
    <row r="18" spans="1:19" ht="15">
      <c r="A18" s="117"/>
      <c r="B18" s="128"/>
      <c r="C18" s="129"/>
      <c r="D18" s="2643"/>
      <c r="E18" s="130" t="s">
        <v>219</v>
      </c>
      <c r="F18" s="131" t="s">
        <v>220</v>
      </c>
      <c r="G18" s="1367" t="s">
        <v>221</v>
      </c>
      <c r="H18" s="972" t="s">
        <v>222</v>
      </c>
      <c r="I18" s="973" t="s">
        <v>223</v>
      </c>
      <c r="J18" s="1985"/>
      <c r="K18" s="2606" t="s">
        <v>2567</v>
      </c>
      <c r="L18" s="2607" t="s">
        <v>2568</v>
      </c>
      <c r="M18" s="2608" t="s">
        <v>2569</v>
      </c>
      <c r="N18" s="2606" t="s">
        <v>2567</v>
      </c>
      <c r="O18" s="2607" t="s">
        <v>2568</v>
      </c>
      <c r="P18" s="2608" t="s">
        <v>2569</v>
      </c>
      <c r="R18" s="2301" t="s">
        <v>2309</v>
      </c>
      <c r="S18" s="2301" t="s">
        <v>2310</v>
      </c>
    </row>
    <row r="19" spans="1:19">
      <c r="A19" s="133"/>
      <c r="B19" s="115" t="s">
        <v>224</v>
      </c>
      <c r="C19" s="3026" t="s">
        <v>3033</v>
      </c>
      <c r="D19" s="111">
        <f t="shared" ref="D19:D26" si="1">ROUND($D$3*E19/$E$3,2)</f>
        <v>28203</v>
      </c>
      <c r="E19" s="134">
        <f t="shared" ref="E19:E26" si="2">SUM(F19:G19)</f>
        <v>70507.5</v>
      </c>
      <c r="F19" s="135">
        <f>'数据-基础表'!I13</f>
        <v>70507.5</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28203</v>
      </c>
      <c r="S19" s="2302">
        <f t="shared" si="5"/>
        <v>70507.5</v>
      </c>
    </row>
    <row r="20" spans="1:19">
      <c r="A20" s="138"/>
      <c r="B20" s="115" t="s">
        <v>225</v>
      </c>
      <c r="C20" s="3026" t="s">
        <v>3238</v>
      </c>
      <c r="D20" s="111">
        <f t="shared" si="1"/>
        <v>12087</v>
      </c>
      <c r="E20" s="134">
        <f t="shared" si="2"/>
        <v>30217.5</v>
      </c>
      <c r="F20" s="135">
        <f>'数据-基础表'!K13</f>
        <v>30217.5</v>
      </c>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12087</v>
      </c>
      <c r="S20" s="2302">
        <f t="shared" si="5"/>
        <v>30217.5</v>
      </c>
    </row>
    <row r="21" spans="1:19">
      <c r="A21" s="138"/>
      <c r="B21" s="115" t="s">
        <v>225</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225</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225</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225</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225</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225</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214</v>
      </c>
      <c r="D27" s="134">
        <f>SUM(D19:D26)</f>
        <v>40290</v>
      </c>
      <c r="E27" s="143">
        <f>IF(SUM(E19:E26)='数据-基础表'!BA5,SUM(E19:E26),IF(F27="地上面积有误","面积有误","地下面积有误"))</f>
        <v>100725</v>
      </c>
      <c r="F27" s="134">
        <f>IF(SUM(F19:F26)=E8,SUM(F19:F26),"地上面积有误")</f>
        <v>100725</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40290</v>
      </c>
      <c r="S27" s="275">
        <f>IF(SUM(S19:S26)=$E$3,SUM(S19:S26),SUM(S19:S26)&amp;"误差"&amp;ROUND(SUM(S19:S26)-E3,2))</f>
        <v>100725</v>
      </c>
    </row>
    <row r="28" spans="1:19">
      <c r="A28" s="138"/>
      <c r="B28" s="115" t="s">
        <v>226</v>
      </c>
      <c r="C28" s="136" t="s">
        <v>227</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226</v>
      </c>
      <c r="C29" s="2314" t="s">
        <v>2320</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214</v>
      </c>
      <c r="D30" s="134">
        <f>SUM(D28:D29)</f>
        <v>0</v>
      </c>
      <c r="E30" s="134">
        <f>SUM(E28:E29)</f>
        <v>0</v>
      </c>
      <c r="F30" s="134">
        <f>SUM(F28:F29)</f>
        <v>0</v>
      </c>
      <c r="G30" s="112">
        <f>SUM(G28:G29)</f>
        <v>0</v>
      </c>
      <c r="H30" s="1985"/>
      <c r="I30" s="1985"/>
      <c r="J30" s="1985"/>
      <c r="K30" s="1985"/>
      <c r="L30" s="1985"/>
    </row>
    <row r="31" spans="1:19" ht="32.25" customHeight="1" thickBot="1">
      <c r="A31" s="1370"/>
      <c r="B31" s="1371" t="s">
        <v>228</v>
      </c>
      <c r="C31" s="2331" t="s">
        <v>2322</v>
      </c>
      <c r="D31" s="1372">
        <f>D27+D30</f>
        <v>40290</v>
      </c>
      <c r="E31" s="1372">
        <f>E27+E30</f>
        <v>100725</v>
      </c>
      <c r="F31" s="1373">
        <f>F27+F30</f>
        <v>100725</v>
      </c>
      <c r="G31" s="1374">
        <f>G27+G30</f>
        <v>0</v>
      </c>
      <c r="H31" s="1985"/>
      <c r="I31" s="1985"/>
      <c r="J31" s="1985"/>
      <c r="K31" s="1985"/>
      <c r="L31" s="1985"/>
    </row>
    <row r="32" spans="1:19">
      <c r="A32" s="1985"/>
      <c r="B32" s="2364" t="s">
        <v>2321</v>
      </c>
      <c r="C32" s="2648"/>
      <c r="D32" s="1201"/>
      <c r="E32" s="1201">
        <f>SUMIF(C19:C26,"*住宅*",E19:E26)</f>
        <v>70507.5</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C6" activePane="bottomRight" state="frozen"/>
      <selection pane="topRight" activeCell="D1" sqref="D1"/>
      <selection pane="bottomLeft" activeCell="A4" sqref="A4"/>
      <selection pane="bottomRight" activeCell="L24" sqref="L2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233</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234</v>
      </c>
      <c r="B2" s="2339">
        <f>项目基本情况!D3</f>
        <v>43446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2826</v>
      </c>
      <c r="O5" s="163" t="s">
        <v>245</v>
      </c>
      <c r="P5" s="165" t="s">
        <v>246</v>
      </c>
      <c r="Q5" s="166" t="s">
        <v>247</v>
      </c>
      <c r="R5" s="167" t="s">
        <v>248</v>
      </c>
      <c r="S5" s="2622" t="s">
        <v>2570</v>
      </c>
      <c r="T5" s="168" t="s">
        <v>249</v>
      </c>
      <c r="U5" s="169" t="s">
        <v>250</v>
      </c>
      <c r="V5" s="159" t="s">
        <v>251</v>
      </c>
      <c r="W5" s="159" t="s">
        <v>252</v>
      </c>
      <c r="X5" s="1819"/>
      <c r="Y5" s="170" t="s">
        <v>253</v>
      </c>
      <c r="Z5" s="171" t="s">
        <v>254</v>
      </c>
      <c r="AA5" s="159" t="s">
        <v>251</v>
      </c>
      <c r="AB5" s="159" t="s">
        <v>252</v>
      </c>
      <c r="AC5" s="1820"/>
      <c r="AD5" s="172" t="s">
        <v>253</v>
      </c>
      <c r="AE5" s="1" t="s">
        <v>869</v>
      </c>
      <c r="AF5" s="159" t="s">
        <v>255</v>
      </c>
      <c r="AG5" s="170" t="s">
        <v>256</v>
      </c>
      <c r="AH5" s="1820" t="s">
        <v>2323</v>
      </c>
      <c r="AI5" s="171" t="s">
        <v>2292</v>
      </c>
      <c r="AJ5" s="171" t="s">
        <v>257</v>
      </c>
      <c r="AK5" s="159" t="s">
        <v>258</v>
      </c>
      <c r="AL5" s="159" t="s">
        <v>259</v>
      </c>
      <c r="AM5" s="172" t="s">
        <v>260</v>
      </c>
      <c r="AN5" s="2392" t="s">
        <v>2373</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61177</v>
      </c>
      <c r="F6" s="174">
        <f>SUMIF(项目基本情况!D$15:I$15,C6,项目基本情况!D$19:I$19)</f>
        <v>48.57</v>
      </c>
      <c r="G6" s="175">
        <f>IF(ISERROR(ROUND(POWER(1+H6,D6-F6)*(POWER(1+H6,F6)-1)/(POWER(1+H6,D6)-1),3)),0,ROUND(POWER(1+H6,D6-F6)*(POWER(1+H6,F6)-1)/(POWER(1+H6,D6)-1),3))</f>
        <v>0.92500000000000004</v>
      </c>
      <c r="H6" s="3027">
        <v>4.4999999999999998E-2</v>
      </c>
      <c r="I6" s="3027">
        <v>0.05</v>
      </c>
      <c r="J6" s="176">
        <v>8.5000000000000006E-2</v>
      </c>
      <c r="K6" s="179">
        <f>SUMIF('数据-汇总表'!C$19:C$33,'数据-取费表'!A6,'数据-汇总表'!E$19:E$33)</f>
        <v>70507.5</v>
      </c>
      <c r="L6" s="3209">
        <v>2200</v>
      </c>
      <c r="M6" s="177">
        <f t="shared" ref="M6:M14" si="0">ROUND(K6*L6/10000,0)</f>
        <v>15512</v>
      </c>
      <c r="N6" s="3029">
        <v>0</v>
      </c>
      <c r="O6" s="177">
        <f>IF($N$5="成新度","——",ROUND(M6*N6,0))</f>
        <v>0</v>
      </c>
      <c r="P6" s="178">
        <f>IF($N$5="成新度","——",M6-O6)</f>
        <v>15512</v>
      </c>
      <c r="Q6" s="3210">
        <v>0.15</v>
      </c>
      <c r="R6" s="179">
        <f>SUMIF('数据-汇总表'!C$19:C$33,A6,'数据-汇总表'!R$19:R$33)</f>
        <v>28203</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v>1</v>
      </c>
      <c r="Z6" s="183"/>
      <c r="AA6" s="176"/>
      <c r="AB6" s="176"/>
      <c r="AC6" s="2325"/>
      <c r="AD6" s="184"/>
      <c r="AE6" s="972">
        <f ca="1">IF(AN6="",0,SUMIF(INDIRECT("'"&amp;AN6&amp;"'"&amp;"!E:E"),$AE$5,INDIRECT("'"&amp;AN6&amp;"'"&amp;"!F:F")))</f>
        <v>0</v>
      </c>
      <c r="AF6" s="141"/>
      <c r="AG6" s="1213">
        <f>IF(AF6="",0,AE6-AF6)</f>
        <v>0</v>
      </c>
      <c r="AH6" s="141"/>
      <c r="AI6" s="187">
        <v>365</v>
      </c>
      <c r="AJ6" s="188"/>
      <c r="AK6" s="189">
        <v>1.4999999999999999E-2</v>
      </c>
      <c r="AL6" s="190">
        <v>1.5E-3</v>
      </c>
      <c r="AM6" s="3041">
        <v>0.01</v>
      </c>
      <c r="AN6" s="2393"/>
      <c r="AO6" s="2001"/>
      <c r="AP6" s="1204">
        <f>ROUND(1-1/(1+H6)^F6,3)</f>
        <v>0.88200000000000001</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商业</v>
      </c>
      <c r="B7" s="2338" t="str">
        <f t="shared" ref="B7:B13" si="1">IF(A7=0,"","经营性")</f>
        <v>经营性</v>
      </c>
      <c r="C7" s="173" t="s">
        <v>3030</v>
      </c>
      <c r="D7" s="2309">
        <f>SUMIF(项目基本情况!D$15:I$15,C7,项目基本情况!D$18:I$18)</f>
        <v>40</v>
      </c>
      <c r="E7" s="2310">
        <f>IF(B7="","",SUMIF(项目基本情况!D$15:I$15,C7,项目基本情况!D$17:I$17))</f>
        <v>57525</v>
      </c>
      <c r="F7" s="174">
        <f>SUMIF(项目基本情况!D$15:I$15,C7,项目基本情况!D$19:I$19)</f>
        <v>38.57</v>
      </c>
      <c r="G7" s="175">
        <f t="shared" ref="G7:G11" si="2">IF(ISERROR(ROUND(POWER(1+H7,D7-F7)*(POWER(1+H7,F7)-1)/(POWER(1+H7,D7)-1),3)),0,ROUND(POWER(1+H7,D7-F7)*(POWER(1+H7,F7)-1)/(POWER(1+H7,D7)-1),3))</f>
        <v>0.98799999999999999</v>
      </c>
      <c r="H7" s="3027">
        <v>0.05</v>
      </c>
      <c r="I7" s="3027">
        <v>5.5E-2</v>
      </c>
      <c r="J7" s="176">
        <v>8.5000000000000006E-2</v>
      </c>
      <c r="K7" s="179">
        <f>SUMIF('数据-汇总表'!C$19:C$33,'数据-取费表'!A7,'数据-汇总表'!E$19:E$33)</f>
        <v>30217.5</v>
      </c>
      <c r="L7" s="3209">
        <v>2800</v>
      </c>
      <c r="M7" s="177">
        <f t="shared" si="0"/>
        <v>8461</v>
      </c>
      <c r="N7" s="3029">
        <v>0</v>
      </c>
      <c r="O7" s="177">
        <f t="shared" ref="O7:O14" si="3">IF($N$5="成新度","——",ROUND(M7*N7,0))</f>
        <v>0</v>
      </c>
      <c r="P7" s="178">
        <f t="shared" ref="P7:P14" si="4">IF($N$5="成新度","——",M7-O7)</f>
        <v>8461</v>
      </c>
      <c r="Q7" s="3030">
        <v>0.15</v>
      </c>
      <c r="R7" s="179">
        <f>SUMIF('数据-汇总表'!C$19:C$33,A7,'数据-汇总表'!R$19:R$33)</f>
        <v>12087</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1.5</v>
      </c>
      <c r="V7" s="181">
        <v>0.03</v>
      </c>
      <c r="W7" s="3211">
        <v>0.15</v>
      </c>
      <c r="X7" s="2322"/>
      <c r="Y7" s="182">
        <v>1</v>
      </c>
      <c r="Z7" s="183"/>
      <c r="AA7" s="176"/>
      <c r="AB7" s="176"/>
      <c r="AC7" s="2325"/>
      <c r="AD7" s="184"/>
      <c r="AE7" s="972">
        <f t="shared" ref="AE7:AE13" ca="1" si="6">IF(AN7="",0,SUMIF(INDIRECT("'"&amp;AN7&amp;"'"&amp;"!E:E"),$AE$5,INDIRECT("'"&amp;AN7&amp;"'"&amp;"!F:F")))</f>
        <v>36.57</v>
      </c>
      <c r="AF7" s="141"/>
      <c r="AG7" s="1213">
        <f t="shared" ref="AG7:AG13" si="7">IF(AF7="",0,AE7-AF7)</f>
        <v>0</v>
      </c>
      <c r="AH7" s="141"/>
      <c r="AI7" s="187">
        <v>365</v>
      </c>
      <c r="AJ7" s="188"/>
      <c r="AK7" s="189">
        <v>1.4999999999999999E-2</v>
      </c>
      <c r="AL7" s="190">
        <v>1.5E-3</v>
      </c>
      <c r="AM7" s="3041">
        <v>0.01</v>
      </c>
      <c r="AN7" s="2393" t="s">
        <v>3239</v>
      </c>
      <c r="AO7" s="2001"/>
      <c r="AP7" s="1204">
        <f t="shared" ref="AP7:AP13" si="8">ROUND(1-1/(1+H7)^F7,3)</f>
        <v>0.84799999999999998</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t="e">
        <f t="shared" ca="1" si="6"/>
        <v>#N/A</v>
      </c>
      <c r="AF8" s="141"/>
      <c r="AG8" s="1213">
        <f t="shared" si="7"/>
        <v>0</v>
      </c>
      <c r="AH8" s="141"/>
      <c r="AI8" s="187">
        <v>365</v>
      </c>
      <c r="AJ8" s="188"/>
      <c r="AK8" s="189">
        <v>1.4999999999999999E-2</v>
      </c>
      <c r="AL8" s="190">
        <v>1.5E-3</v>
      </c>
      <c r="AM8" s="3041">
        <v>0.01</v>
      </c>
      <c r="AN8" s="2393" t="s">
        <v>3049</v>
      </c>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1679</v>
      </c>
      <c r="C14" s="2308" t="s">
        <v>2314</v>
      </c>
      <c r="D14" s="2309"/>
      <c r="E14" s="2310"/>
      <c r="F14" s="174"/>
      <c r="G14" s="175"/>
      <c r="H14" s="2311"/>
      <c r="I14" s="2311"/>
      <c r="J14" s="2311"/>
      <c r="K14" s="179">
        <f>SUMIF('数据-汇总表'!C$19:C$33,'数据-取费表'!A14,'数据-汇总表'!E$19:E$33)</f>
        <v>0</v>
      </c>
      <c r="L14" s="193"/>
      <c r="M14" s="177">
        <f t="shared" si="0"/>
        <v>0</v>
      </c>
      <c r="N14" s="194">
        <v>0</v>
      </c>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1679</v>
      </c>
      <c r="C15" s="2308" t="s">
        <v>2315</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261</v>
      </c>
      <c r="B16" s="199"/>
      <c r="C16" s="200"/>
      <c r="D16" s="201"/>
      <c r="E16" s="199"/>
      <c r="F16" s="199"/>
      <c r="G16" s="202">
        <f>ROUND(SUMPRODUCT(G6:G13,K6:K13)/SUMPRODUCT((G6:G13&gt;0)*(K6:K13)),3)</f>
        <v>0.94399999999999995</v>
      </c>
      <c r="H16" s="203">
        <f>ROUND(SUMPRODUCT(H6:H13,K6:K13)/SUMPRODUCT((H6:H13&gt;0)*(K6:K13)),3)</f>
        <v>4.7E-2</v>
      </c>
      <c r="I16" s="204"/>
      <c r="J16" s="204"/>
      <c r="K16" s="205">
        <f>SUM(K6:K15)</f>
        <v>100725</v>
      </c>
      <c r="L16" s="206">
        <f>ROUND(M16*10000/SUM(K6:K14),0)</f>
        <v>2380</v>
      </c>
      <c r="M16" s="206">
        <f>SUM(M6:M14)</f>
        <v>23973</v>
      </c>
      <c r="N16" s="207">
        <f>ROUND(SUMPRODUCT(M6:M14,N6:N14)/M16,3)</f>
        <v>0</v>
      </c>
      <c r="O16" s="206">
        <f>SUM(O6:O14)</f>
        <v>0</v>
      </c>
      <c r="P16" s="206">
        <f>SUM(P6:P14)</f>
        <v>23973</v>
      </c>
      <c r="Q16" s="208">
        <f>ROUND(SUMPRODUCT(Q6:Q13,K6:K13)/SUMPRODUCT((Q6:Q13&gt;0)*(K6:K13)),2)</f>
        <v>0.15</v>
      </c>
      <c r="R16" s="2312">
        <f>SUM(R6:R13)</f>
        <v>40290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0.872</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262</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263</v>
      </c>
      <c r="B19" s="218">
        <v>0</v>
      </c>
      <c r="C19" s="2365" t="s">
        <v>2336</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264</v>
      </c>
      <c r="B20" s="220">
        <v>2</v>
      </c>
      <c r="C20" s="2365" t="s">
        <v>2335</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265</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266</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267</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268</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269</v>
      </c>
      <c r="B26" s="225" t="s">
        <v>270</v>
      </c>
      <c r="C26" s="1996" t="s">
        <v>271</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2338</v>
      </c>
      <c r="B27" s="227">
        <v>190</v>
      </c>
      <c r="C27" s="2368" t="s">
        <v>2342</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3190" t="s">
        <v>3028</v>
      </c>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2339</v>
      </c>
      <c r="B28" s="229">
        <v>190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2337</v>
      </c>
      <c r="B29" s="232">
        <v>0</v>
      </c>
      <c r="C29" s="1553" t="s">
        <v>2340</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272</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273</v>
      </c>
      <c r="B31" s="230">
        <f>B30-B32</f>
        <v>140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274</v>
      </c>
      <c r="B32" s="1378">
        <v>60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277</v>
      </c>
      <c r="B33" s="1379">
        <v>0.05</v>
      </c>
      <c r="C33" s="2366" t="s">
        <v>2891</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278</v>
      </c>
      <c r="B34" s="233">
        <v>0.05</v>
      </c>
      <c r="C34" s="2366" t="s">
        <v>2892</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275</v>
      </c>
      <c r="B35" s="229">
        <v>200</v>
      </c>
      <c r="C35" s="2366" t="s">
        <v>2893</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276</v>
      </c>
      <c r="B36" s="234">
        <v>1.4999999999999999E-2</v>
      </c>
      <c r="C36" s="2366" t="s">
        <v>2894</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279</v>
      </c>
      <c r="B37" s="236">
        <v>0.02</v>
      </c>
      <c r="C37" s="2366" t="s">
        <v>2895</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280</v>
      </c>
      <c r="B38" s="233">
        <v>0.02</v>
      </c>
      <c r="C38" s="2366" t="s">
        <v>2895</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2454</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2455</v>
      </c>
      <c r="B40" s="2482">
        <f ca="1">存贷款利率!E2</f>
        <v>4.7500000000000001E-2</v>
      </c>
      <c r="C40" s="2366" t="s">
        <v>2341</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281</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282</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283</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284</v>
      </c>
      <c r="B44" s="242">
        <v>7.0000000000000007E-2</v>
      </c>
      <c r="C44" s="2366" t="s">
        <v>2896</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285</v>
      </c>
      <c r="B45" s="240">
        <v>0.03</v>
      </c>
      <c r="C45" s="2368" t="s">
        <v>2897</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286</v>
      </c>
      <c r="B46" s="240">
        <v>0.02</v>
      </c>
      <c r="C46" s="2368" t="s">
        <v>2898</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287</v>
      </c>
      <c r="B47" s="244"/>
      <c r="C47" s="3076" t="s">
        <v>2899</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288</v>
      </c>
      <c r="B48" s="246">
        <v>0.03</v>
      </c>
      <c r="C48" s="3077" t="s">
        <v>2900</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289</v>
      </c>
      <c r="B49" s="240">
        <v>5.0000000000000001E-4</v>
      </c>
      <c r="C49" s="3077" t="s">
        <v>2901</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290</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291</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292</v>
      </c>
      <c r="B52" s="250">
        <f>SUMIF(A54:A63,B53,B54:B63)</f>
        <v>16</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293</v>
      </c>
      <c r="B53" s="251" t="s">
        <v>1155</v>
      </c>
      <c r="C53" s="3078" t="s">
        <v>2902</v>
      </c>
      <c r="D53" s="3079" t="s">
        <v>2903</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2904</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2905</v>
      </c>
      <c r="B55" s="186">
        <v>16</v>
      </c>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2906</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2907</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2908</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2909</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2910</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2911</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2912</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2913</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7" activePane="bottomRight" state="frozen"/>
      <selection activeCell="E29" sqref="E29"/>
      <selection pane="topRight" activeCell="E29" sqref="E29"/>
      <selection pane="bottomLeft" activeCell="E29" sqref="E29"/>
      <selection pane="bottomRight" activeCell="C19" sqref="C19"/>
    </sheetView>
  </sheetViews>
  <sheetFormatPr defaultColWidth="9"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8" t="s">
        <v>1663</v>
      </c>
      <c r="B1" s="3299"/>
      <c r="C1" s="3299"/>
      <c r="D1" s="3299"/>
      <c r="E1" s="3299"/>
      <c r="F1" s="3299"/>
      <c r="G1" s="3299"/>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81">
      <c r="A3" s="1227" t="s">
        <v>1666</v>
      </c>
      <c r="B3" s="1228" t="s">
        <v>1653</v>
      </c>
      <c r="C3" s="3195" t="s">
        <v>3254</v>
      </c>
      <c r="D3" s="2010"/>
      <c r="E3" s="1229" t="s">
        <v>1666</v>
      </c>
      <c r="F3" s="1230" t="s">
        <v>1654</v>
      </c>
      <c r="G3" s="3085" t="s">
        <v>2918</v>
      </c>
      <c r="H3" s="2009"/>
      <c r="I3" s="2009"/>
      <c r="J3" s="2009"/>
      <c r="K3" s="2009"/>
      <c r="L3" s="2009"/>
      <c r="M3" s="2009"/>
      <c r="N3" s="2009"/>
      <c r="O3" s="2009"/>
      <c r="P3" s="2009"/>
      <c r="Q3" s="2009"/>
      <c r="R3" s="2009"/>
    </row>
    <row r="4" spans="1:18" ht="40.5">
      <c r="A4" s="1229"/>
      <c r="B4" s="1231" t="s">
        <v>1667</v>
      </c>
      <c r="C4" s="3196" t="s">
        <v>3253</v>
      </c>
      <c r="D4" s="2010"/>
      <c r="E4" s="1232"/>
      <c r="F4" s="1233" t="s">
        <v>1668</v>
      </c>
      <c r="G4" s="3084" t="s">
        <v>2915</v>
      </c>
      <c r="H4" s="2009"/>
      <c r="I4" s="2009"/>
      <c r="J4" s="2009"/>
      <c r="K4" s="2009"/>
      <c r="L4" s="2009"/>
      <c r="M4" s="2009"/>
      <c r="N4" s="2009"/>
      <c r="O4" s="2009"/>
      <c r="P4" s="2009"/>
      <c r="Q4" s="2009"/>
      <c r="R4" s="2009"/>
    </row>
    <row r="5" spans="1:18" ht="41.25">
      <c r="A5" s="1229"/>
      <c r="B5" s="1231" t="s">
        <v>1669</v>
      </c>
      <c r="C5" s="3083" t="s">
        <v>2919</v>
      </c>
      <c r="D5" s="2010"/>
      <c r="E5" s="1232"/>
      <c r="F5" s="1231" t="s">
        <v>2544</v>
      </c>
      <c r="G5" s="3084" t="s">
        <v>2916</v>
      </c>
      <c r="H5" s="2009"/>
      <c r="I5" s="2009"/>
      <c r="J5" s="2009"/>
      <c r="K5" s="2009"/>
      <c r="L5" s="2009"/>
      <c r="M5" s="2009"/>
      <c r="N5" s="2009"/>
      <c r="O5" s="2009"/>
      <c r="P5" s="2009"/>
      <c r="Q5" s="2009"/>
      <c r="R5" s="2009"/>
    </row>
    <row r="6" spans="1:18" ht="54">
      <c r="A6" s="1229"/>
      <c r="B6" s="1231" t="s">
        <v>1655</v>
      </c>
      <c r="C6" s="3197" t="s">
        <v>3255</v>
      </c>
      <c r="D6" s="2010"/>
      <c r="E6" s="1232"/>
      <c r="F6" s="1231" t="s">
        <v>2545</v>
      </c>
      <c r="G6" s="3084" t="s">
        <v>2914</v>
      </c>
      <c r="H6" s="2009"/>
      <c r="I6" s="2009"/>
      <c r="J6" s="2009"/>
      <c r="K6" s="2009"/>
      <c r="L6" s="2009"/>
      <c r="M6" s="2009"/>
      <c r="N6" s="2009"/>
      <c r="O6" s="2009"/>
      <c r="P6" s="2009"/>
      <c r="Q6" s="2009"/>
      <c r="R6" s="2009"/>
    </row>
    <row r="7" spans="1:18" ht="41.25" thickBot="1">
      <c r="A7" s="1229"/>
      <c r="B7" s="1231" t="s">
        <v>2544</v>
      </c>
      <c r="C7" s="3197" t="s">
        <v>3256</v>
      </c>
      <c r="D7" s="2011"/>
      <c r="E7" s="1234"/>
      <c r="F7" s="1235" t="s">
        <v>1670</v>
      </c>
      <c r="G7" s="3086" t="s">
        <v>2917</v>
      </c>
      <c r="H7" s="2009"/>
      <c r="I7" s="2009"/>
      <c r="J7" s="2009"/>
      <c r="K7" s="2009"/>
      <c r="L7" s="2009"/>
      <c r="M7" s="2009"/>
      <c r="N7" s="2009"/>
      <c r="O7" s="2009"/>
      <c r="P7" s="2009"/>
      <c r="Q7" s="2009"/>
      <c r="R7" s="2009"/>
    </row>
    <row r="8" spans="1:18" ht="27">
      <c r="A8" s="1229"/>
      <c r="B8" s="1231" t="s">
        <v>2545</v>
      </c>
      <c r="C8" s="3197" t="s">
        <v>3068</v>
      </c>
      <c r="D8" s="2011"/>
      <c r="E8" s="2011"/>
      <c r="F8" s="1554"/>
      <c r="G8" s="1554"/>
      <c r="H8" s="2009"/>
      <c r="I8" s="2009"/>
      <c r="J8" s="2009"/>
      <c r="K8" s="2009"/>
      <c r="L8" s="2009"/>
      <c r="M8" s="2009"/>
      <c r="N8" s="2009"/>
      <c r="O8" s="2009"/>
      <c r="P8" s="2009"/>
      <c r="Q8" s="2009"/>
      <c r="R8" s="2009"/>
    </row>
    <row r="9" spans="1:18" ht="40.5">
      <c r="A9" s="1229"/>
      <c r="B9" s="1231" t="s">
        <v>1656</v>
      </c>
      <c r="C9" s="3196" t="s">
        <v>3257</v>
      </c>
      <c r="D9" s="2010"/>
      <c r="E9" s="2011"/>
      <c r="F9" s="1554"/>
      <c r="G9" s="1554"/>
      <c r="H9" s="2009"/>
      <c r="I9" s="2009"/>
      <c r="J9" s="2009"/>
      <c r="K9" s="2009"/>
      <c r="L9" s="2009"/>
      <c r="M9" s="2009"/>
      <c r="N9" s="2009"/>
      <c r="O9" s="2009"/>
      <c r="P9" s="2009"/>
      <c r="Q9" s="2009"/>
      <c r="R9" s="2009"/>
    </row>
    <row r="10" spans="1:18" s="2017" customFormat="1" ht="14.25" thickBot="1">
      <c r="A10" s="1236"/>
      <c r="B10" s="1237" t="s">
        <v>1671</v>
      </c>
      <c r="C10" s="3198" t="s">
        <v>3258</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81">
      <c r="A15" s="2589" t="s">
        <v>1657</v>
      </c>
      <c r="B15" s="1242" t="s">
        <v>1653</v>
      </c>
      <c r="C15" s="1243" t="str">
        <f>C3</f>
        <v>估价对象周边居住用地比例较小、钱佳花园海愉半岛花园、钰海帝景等居住小区，社区发展较完善，综合评价居住社区成熟度一般</v>
      </c>
      <c r="D15" s="2010"/>
      <c r="E15" s="2586" t="s">
        <v>1658</v>
      </c>
      <c r="F15" s="1242" t="s">
        <v>1673</v>
      </c>
      <c r="G15" s="1244" t="str">
        <f>G3</f>
        <v>估价对象位于XX开发区，园区建设成熟度XX，产业集聚程度XX</v>
      </c>
    </row>
    <row r="16" spans="1:18" ht="40.5">
      <c r="A16" s="2590"/>
      <c r="B16" s="1245" t="s">
        <v>1667</v>
      </c>
      <c r="C16" s="1246" t="str">
        <f>C4</f>
        <v>估价对象周边商业氛围较差，人流量较小，商业繁华度一般</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54">
      <c r="A18" s="2590"/>
      <c r="B18" s="1247" t="s">
        <v>1655</v>
      </c>
      <c r="C18" s="1005" t="str">
        <f>C6</f>
        <v>估价对象周边道路通达状况较好、公共交通通达情况一般、停车较便捷，综合评价交通便捷度一般</v>
      </c>
      <c r="D18" s="2011"/>
      <c r="E18" s="2587"/>
      <c r="F18" s="1247" t="s">
        <v>1670</v>
      </c>
      <c r="G18" s="1005" t="str">
        <f>G7</f>
        <v>该园区内是否有污染型企业，绿化情况，卫生条件，整体环境状况判断</v>
      </c>
    </row>
    <row r="19" spans="1:7" ht="27">
      <c r="A19" s="2590"/>
      <c r="B19" s="1247" t="s">
        <v>1659</v>
      </c>
      <c r="C19" s="3208" t="s">
        <v>3260</v>
      </c>
      <c r="D19" s="2010"/>
      <c r="E19" s="2587"/>
      <c r="F19" s="1231" t="s">
        <v>2544</v>
      </c>
      <c r="G19" s="1005" t="str">
        <f>G5</f>
        <v>估价对象所在区域公共配套设施齐备情况</v>
      </c>
    </row>
    <row r="20" spans="1:7" ht="40.5">
      <c r="A20" s="2590"/>
      <c r="B20" s="1247" t="s">
        <v>1660</v>
      </c>
      <c r="C20" s="1246" t="str">
        <f>C9</f>
        <v>区域自然环境较好；人文环境一般；综合评价环境状况一般</v>
      </c>
      <c r="D20" s="2011"/>
      <c r="E20" s="2587"/>
      <c r="F20" s="1231" t="s">
        <v>2545</v>
      </c>
      <c r="G20" s="1005" t="str">
        <f>G6</f>
        <v>估价对象所在区域基础设施水平</v>
      </c>
    </row>
    <row r="21" spans="1:7" ht="27">
      <c r="A21" s="2590"/>
      <c r="B21" s="1231" t="s">
        <v>2544</v>
      </c>
      <c r="C21" s="1005" t="str">
        <f>C7</f>
        <v>估价对象所在区域公共配套设施齐备情况一般</v>
      </c>
      <c r="D21" s="2010"/>
      <c r="E21" s="2587"/>
      <c r="F21" s="1247" t="s">
        <v>1661</v>
      </c>
      <c r="G21" s="3087"/>
    </row>
    <row r="22" spans="1:7" ht="27">
      <c r="A22" s="2590"/>
      <c r="B22" s="1231" t="s">
        <v>2545</v>
      </c>
      <c r="C22" s="1005" t="str">
        <f>C8</f>
        <v>估价对象所在区域基础设施水平达六通</v>
      </c>
      <c r="D22" s="2010"/>
      <c r="E22" s="2587"/>
      <c r="F22" s="1247" t="s">
        <v>1671</v>
      </c>
      <c r="G22" s="2795"/>
    </row>
    <row r="23" spans="1:7" ht="15" thickBot="1">
      <c r="A23" s="2590"/>
      <c r="B23" s="1247" t="s">
        <v>1661</v>
      </c>
      <c r="C23" s="3087" t="s">
        <v>3259</v>
      </c>
      <c r="E23" s="2588"/>
      <c r="F23" s="1248" t="s">
        <v>1675</v>
      </c>
      <c r="G23" s="3088"/>
    </row>
    <row r="24" spans="1:7" ht="14.25" thickBot="1">
      <c r="A24" s="2591"/>
      <c r="B24" s="1248" t="s">
        <v>1662</v>
      </c>
      <c r="C24" s="1249" t="str">
        <f>C10</f>
        <v>次干道——麻柳大道</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7" t="s">
        <v>2842</v>
      </c>
      <c r="B1" s="3047">
        <f>SUM(B14:B23)</f>
        <v>100725</v>
      </c>
      <c r="C1" s="3048"/>
      <c r="D1" s="3048"/>
      <c r="E1" s="3048"/>
      <c r="F1" s="3048"/>
    </row>
    <row r="2" spans="1:9" ht="16.5">
      <c r="A2" s="3047" t="s">
        <v>2843</v>
      </c>
      <c r="B2" s="3047">
        <f>SUM(C14:C23)</f>
        <v>40290</v>
      </c>
      <c r="C2" s="3048"/>
      <c r="D2" s="3048"/>
      <c r="E2" s="3048"/>
      <c r="F2" s="3048"/>
    </row>
    <row r="3" spans="1:9" ht="16.5">
      <c r="A3" s="3047" t="s">
        <v>2844</v>
      </c>
      <c r="B3" s="3049">
        <f>项目基本情况!D3</f>
        <v>43446</v>
      </c>
      <c r="C3" s="3048"/>
      <c r="D3" s="3048"/>
      <c r="E3" s="3048"/>
      <c r="F3" s="3048"/>
    </row>
    <row r="4" spans="1:9" ht="33">
      <c r="A4" s="3047" t="s">
        <v>2845</v>
      </c>
      <c r="B4" s="3047" t="s">
        <v>2846</v>
      </c>
      <c r="C4" s="3047" t="s">
        <v>2847</v>
      </c>
      <c r="D4" s="3047" t="s">
        <v>2848</v>
      </c>
      <c r="E4" s="3048"/>
      <c r="F4" s="3048"/>
    </row>
    <row r="5" spans="1:9" ht="16.5">
      <c r="A5" s="3047" t="s">
        <v>2849</v>
      </c>
      <c r="B5" s="3047">
        <f ca="1">SUM(D14:D23)</f>
        <v>20532</v>
      </c>
      <c r="C5" s="3047">
        <f ca="1">ROUND(B5*10000/$B$1,0)</f>
        <v>2038</v>
      </c>
      <c r="D5" s="3047">
        <f ca="1">ROUND(B5*10000/$B$2,0)</f>
        <v>5096</v>
      </c>
      <c r="E5" s="3048"/>
      <c r="F5" s="3048"/>
    </row>
    <row r="6" spans="1:9" ht="16.5">
      <c r="A6" s="3047" t="s">
        <v>2850</v>
      </c>
      <c r="B6" s="3047">
        <f ca="1">SUM(G14:G23)</f>
        <v>20532</v>
      </c>
      <c r="C6" s="3047">
        <f t="shared" ref="C6:C8" ca="1" si="0">ROUND(B6*10000/$B$1,0)</f>
        <v>2038</v>
      </c>
      <c r="D6" s="3047">
        <f t="shared" ref="D6:D8" ca="1" si="1">ROUND(B6*10000/$B$2,0)</f>
        <v>5096</v>
      </c>
      <c r="E6" s="3048"/>
      <c r="F6" s="3048"/>
    </row>
    <row r="7" spans="1:9" ht="16.5">
      <c r="A7" s="3047" t="s">
        <v>2851</v>
      </c>
      <c r="B7" s="3047">
        <f>SUM(H14:H23)</f>
        <v>0</v>
      </c>
      <c r="C7" s="3047">
        <f t="shared" si="0"/>
        <v>0</v>
      </c>
      <c r="D7" s="3047">
        <f t="shared" si="1"/>
        <v>0</v>
      </c>
      <c r="E7" s="3048"/>
      <c r="F7" s="3048"/>
    </row>
    <row r="8" spans="1:9" ht="16.5">
      <c r="A8" s="3047" t="s">
        <v>2852</v>
      </c>
      <c r="B8" s="3047">
        <f>SUM(I14:I23)</f>
        <v>0</v>
      </c>
      <c r="C8" s="3047">
        <f t="shared" si="0"/>
        <v>0</v>
      </c>
      <c r="D8" s="3047">
        <f t="shared" si="1"/>
        <v>0</v>
      </c>
      <c r="E8" s="3048"/>
      <c r="F8" s="3048"/>
    </row>
    <row r="9" spans="1:9" ht="16.5">
      <c r="A9" s="3047" t="s">
        <v>2853</v>
      </c>
      <c r="B9" s="3050"/>
      <c r="C9" s="3048"/>
      <c r="D9" s="3048"/>
      <c r="E9" s="3048"/>
      <c r="F9" s="3048"/>
    </row>
    <row r="10" spans="1:9" ht="16.5">
      <c r="A10" s="3047" t="s">
        <v>2854</v>
      </c>
      <c r="B10" s="3050"/>
      <c r="C10" s="3048"/>
      <c r="D10" s="3048"/>
      <c r="E10" s="3048"/>
      <c r="F10" s="3048"/>
    </row>
    <row r="11" spans="1:9" ht="16.5">
      <c r="A11" s="3047" t="s">
        <v>2871</v>
      </c>
      <c r="B11" s="3050"/>
      <c r="C11" s="3048"/>
      <c r="D11" s="3048"/>
      <c r="E11" s="3048"/>
      <c r="F11" s="3048"/>
    </row>
    <row r="12" spans="1:9" ht="16.5">
      <c r="A12" s="3048"/>
      <c r="B12" s="3048"/>
      <c r="C12" s="3048"/>
      <c r="D12" s="3048"/>
      <c r="E12" s="3048"/>
      <c r="F12" s="3048"/>
    </row>
    <row r="13" spans="1:9" ht="33">
      <c r="A13" s="3053" t="s">
        <v>2870</v>
      </c>
      <c r="B13" s="3051" t="s">
        <v>2842</v>
      </c>
      <c r="C13" s="3051" t="s">
        <v>2843</v>
      </c>
      <c r="D13" s="3051" t="s">
        <v>2855</v>
      </c>
      <c r="E13" s="3047" t="s">
        <v>2869</v>
      </c>
      <c r="F13" s="3047" t="s">
        <v>2848</v>
      </c>
      <c r="G13" s="3051" t="s">
        <v>2856</v>
      </c>
      <c r="H13" s="3051" t="s">
        <v>2857</v>
      </c>
      <c r="I13" s="3051" t="s">
        <v>2858</v>
      </c>
    </row>
    <row r="14" spans="1:9" ht="16.5">
      <c r="A14" s="3054" t="s">
        <v>2868</v>
      </c>
      <c r="B14" s="3051">
        <f>结果表!L38</f>
        <v>100725</v>
      </c>
      <c r="C14" s="3051">
        <f>结果表!K38</f>
        <v>40290</v>
      </c>
      <c r="D14" s="3051">
        <f ca="1">结果表!C42</f>
        <v>20532</v>
      </c>
      <c r="E14" s="3051">
        <f ca="1">ROUND(D14*10000/B14,0)</f>
        <v>2038</v>
      </c>
      <c r="F14" s="3051">
        <f ca="1">ROUND(D14*10000/C14,0)</f>
        <v>5096</v>
      </c>
      <c r="G14" s="3051">
        <f ca="1">结果表!C44</f>
        <v>20532</v>
      </c>
      <c r="H14" s="3051" t="str">
        <f>结果表!C45</f>
        <v>——</v>
      </c>
      <c r="I14" s="3051" t="str">
        <f>结果表!C46</f>
        <v>——</v>
      </c>
    </row>
    <row r="15" spans="1:9" ht="16.5">
      <c r="A15" s="3054" t="s">
        <v>2859</v>
      </c>
      <c r="B15" s="3055"/>
      <c r="C15" s="3055"/>
      <c r="D15" s="3055"/>
      <c r="E15" s="3051" t="e">
        <f t="shared" ref="E15:E23" si="2">ROUND(D15*10000/B15,0)</f>
        <v>#DIV/0!</v>
      </c>
      <c r="F15" s="3051" t="e">
        <f t="shared" ref="F15:F23" si="3">ROUND(D15*10000/C15,0)</f>
        <v>#DIV/0!</v>
      </c>
      <c r="G15" s="3052"/>
      <c r="H15" s="3052"/>
      <c r="I15" s="3055"/>
    </row>
    <row r="16" spans="1:9" ht="16.5">
      <c r="A16" s="3054" t="s">
        <v>2860</v>
      </c>
      <c r="B16" s="3055"/>
      <c r="C16" s="3055"/>
      <c r="D16" s="3055"/>
      <c r="E16" s="3051" t="e">
        <f t="shared" si="2"/>
        <v>#DIV/0!</v>
      </c>
      <c r="F16" s="3051" t="e">
        <f t="shared" si="3"/>
        <v>#DIV/0!</v>
      </c>
      <c r="G16" s="3052"/>
      <c r="H16" s="3052"/>
      <c r="I16" s="3055"/>
    </row>
    <row r="17" spans="1:9" ht="16.5">
      <c r="A17" s="3054" t="s">
        <v>2861</v>
      </c>
      <c r="B17" s="3055"/>
      <c r="C17" s="3055"/>
      <c r="D17" s="3055"/>
      <c r="E17" s="3051" t="e">
        <f t="shared" si="2"/>
        <v>#DIV/0!</v>
      </c>
      <c r="F17" s="3051" t="e">
        <f t="shared" si="3"/>
        <v>#DIV/0!</v>
      </c>
      <c r="G17" s="3052"/>
      <c r="H17" s="3052"/>
      <c r="I17" s="3055"/>
    </row>
    <row r="18" spans="1:9" ht="16.5">
      <c r="A18" s="3054" t="s">
        <v>2862</v>
      </c>
      <c r="B18" s="3055"/>
      <c r="C18" s="3055"/>
      <c r="D18" s="3055"/>
      <c r="E18" s="3051" t="e">
        <f t="shared" si="2"/>
        <v>#DIV/0!</v>
      </c>
      <c r="F18" s="3051" t="e">
        <f t="shared" si="3"/>
        <v>#DIV/0!</v>
      </c>
      <c r="G18" s="3055"/>
      <c r="H18" s="3055"/>
      <c r="I18" s="3055"/>
    </row>
    <row r="19" spans="1:9" ht="16.5">
      <c r="A19" s="3054" t="s">
        <v>2863</v>
      </c>
      <c r="B19" s="3055"/>
      <c r="C19" s="3055"/>
      <c r="D19" s="3055"/>
      <c r="E19" s="3051" t="e">
        <f t="shared" si="2"/>
        <v>#DIV/0!</v>
      </c>
      <c r="F19" s="3051" t="e">
        <f t="shared" si="3"/>
        <v>#DIV/0!</v>
      </c>
      <c r="G19" s="3055"/>
      <c r="H19" s="3055"/>
      <c r="I19" s="3055"/>
    </row>
    <row r="20" spans="1:9" ht="16.5">
      <c r="A20" s="3054" t="s">
        <v>2864</v>
      </c>
      <c r="B20" s="3055"/>
      <c r="C20" s="3055"/>
      <c r="D20" s="3055"/>
      <c r="E20" s="3051" t="e">
        <f t="shared" si="2"/>
        <v>#DIV/0!</v>
      </c>
      <c r="F20" s="3051" t="e">
        <f t="shared" si="3"/>
        <v>#DIV/0!</v>
      </c>
      <c r="G20" s="3055"/>
      <c r="H20" s="3055"/>
      <c r="I20" s="3055"/>
    </row>
    <row r="21" spans="1:9" ht="16.5">
      <c r="A21" s="3054" t="s">
        <v>2865</v>
      </c>
      <c r="B21" s="3055"/>
      <c r="C21" s="3055"/>
      <c r="D21" s="3055"/>
      <c r="E21" s="3051" t="e">
        <f t="shared" si="2"/>
        <v>#DIV/0!</v>
      </c>
      <c r="F21" s="3051" t="e">
        <f t="shared" si="3"/>
        <v>#DIV/0!</v>
      </c>
      <c r="G21" s="3055"/>
      <c r="H21" s="3055"/>
      <c r="I21" s="3055"/>
    </row>
    <row r="22" spans="1:9" ht="16.5">
      <c r="A22" s="3054" t="s">
        <v>2866</v>
      </c>
      <c r="B22" s="3055"/>
      <c r="C22" s="3055"/>
      <c r="D22" s="3055"/>
      <c r="E22" s="3051" t="e">
        <f t="shared" si="2"/>
        <v>#DIV/0!</v>
      </c>
      <c r="F22" s="3051" t="e">
        <f t="shared" si="3"/>
        <v>#DIV/0!</v>
      </c>
      <c r="G22" s="3055"/>
      <c r="H22" s="3055"/>
      <c r="I22" s="3055"/>
    </row>
    <row r="23" spans="1:9" ht="16.5">
      <c r="A23" s="3054" t="s">
        <v>2867</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0" zoomScaleSheetLayoutView="80" zoomScalePageLayoutView="80" workbookViewId="0">
      <selection activeCell="I29" sqref="I29"/>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2056</v>
      </c>
      <c r="B1" s="1778"/>
      <c r="C1" s="1806" t="s">
        <v>2057</v>
      </c>
      <c r="D1" s="1807" t="s">
        <v>3043</v>
      </c>
      <c r="E1" s="1806" t="s">
        <v>2058</v>
      </c>
      <c r="F1" s="1808" t="s">
        <v>3044</v>
      </c>
      <c r="G1" s="311"/>
      <c r="H1" s="311"/>
      <c r="I1" s="311"/>
      <c r="J1" s="2030"/>
      <c r="K1" s="2030"/>
      <c r="L1" s="2030"/>
      <c r="M1" s="2030"/>
      <c r="N1" s="2030"/>
      <c r="O1" s="2030"/>
      <c r="P1" s="2030"/>
      <c r="Q1" s="2030"/>
      <c r="R1" s="2030"/>
      <c r="S1" s="2030"/>
      <c r="T1" s="2030"/>
      <c r="U1" s="2030"/>
      <c r="V1" s="2030"/>
    </row>
    <row r="2" spans="1:22" ht="21.75" customHeight="1" thickBot="1">
      <c r="A2" s="3345" t="str">
        <f>项目基本情况!K2</f>
        <v>出让国有建设用地使用权</v>
      </c>
      <c r="B2" s="3346"/>
      <c r="C2" s="3347"/>
      <c r="D2" s="3347"/>
      <c r="E2" s="3347"/>
      <c r="F2" s="3347"/>
      <c r="G2" s="3346"/>
      <c r="H2" s="3346"/>
      <c r="I2" s="3348"/>
      <c r="J2" s="2031"/>
      <c r="K2" s="2030"/>
      <c r="L2" s="2030"/>
      <c r="M2" s="2030"/>
      <c r="N2" s="2030"/>
      <c r="O2" s="2030"/>
      <c r="P2" s="2030"/>
      <c r="Q2" s="2030"/>
      <c r="R2" s="2030"/>
      <c r="S2" s="2030"/>
      <c r="T2" s="2030"/>
      <c r="U2" s="2030"/>
      <c r="V2" s="2030"/>
    </row>
    <row r="3" spans="1:22" ht="14.25">
      <c r="A3" s="3356" t="s">
        <v>297</v>
      </c>
      <c r="B3" s="3357"/>
      <c r="C3" s="3357"/>
      <c r="D3" s="3357"/>
      <c r="E3" s="3357"/>
      <c r="F3" s="3357"/>
      <c r="G3" s="3357"/>
      <c r="H3" s="3357"/>
      <c r="I3" s="3357"/>
      <c r="J3" s="2031"/>
      <c r="K3" s="2030"/>
      <c r="L3" s="2030"/>
      <c r="M3" s="2030"/>
      <c r="N3" s="2030"/>
      <c r="O3" s="2030"/>
      <c r="P3" s="2030"/>
      <c r="Q3" s="2030"/>
      <c r="R3" s="2030"/>
      <c r="S3" s="2030"/>
      <c r="T3" s="2030"/>
      <c r="U3" s="2030"/>
      <c r="V3" s="2030"/>
    </row>
    <row r="4" spans="1:22" ht="14.25">
      <c r="A4" s="258" t="s">
        <v>298</v>
      </c>
      <c r="B4" s="259" t="s">
        <v>299</v>
      </c>
      <c r="C4" s="260" t="s">
        <v>3045</v>
      </c>
      <c r="D4" s="260" t="s">
        <v>3046</v>
      </c>
      <c r="E4" s="3320" t="s">
        <v>300</v>
      </c>
      <c r="F4" s="3362"/>
      <c r="G4" s="3362"/>
      <c r="H4" s="3362"/>
      <c r="I4" s="3321"/>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49" t="s">
        <v>301</v>
      </c>
      <c r="B5" s="3350">
        <v>25</v>
      </c>
      <c r="C5" s="3358"/>
      <c r="D5" s="3361"/>
      <c r="E5" s="261" t="s">
        <v>302</v>
      </c>
      <c r="F5" s="262"/>
      <c r="G5" s="262"/>
      <c r="H5" s="262"/>
      <c r="I5" s="263"/>
      <c r="J5" s="2031"/>
      <c r="K5" s="2030"/>
      <c r="L5" s="2030"/>
      <c r="M5" s="2030"/>
      <c r="N5" s="2030"/>
      <c r="O5" s="2030"/>
      <c r="P5" s="2030"/>
      <c r="Q5" s="2030"/>
      <c r="R5" s="2030"/>
      <c r="S5" s="2030"/>
      <c r="T5" s="2030"/>
      <c r="U5" s="2030"/>
      <c r="V5" s="2030"/>
    </row>
    <row r="6" spans="1:22" ht="14.25">
      <c r="A6" s="3349"/>
      <c r="B6" s="3350"/>
      <c r="C6" s="3359"/>
      <c r="D6" s="3361"/>
      <c r="E6" s="261" t="s">
        <v>303</v>
      </c>
      <c r="F6" s="262"/>
      <c r="G6" s="262"/>
      <c r="H6" s="262"/>
      <c r="I6" s="263"/>
      <c r="J6" s="2031"/>
      <c r="K6" s="2030"/>
      <c r="L6" s="2030"/>
      <c r="M6" s="2030"/>
      <c r="N6" s="2030"/>
      <c r="O6" s="2030"/>
      <c r="P6" s="2030"/>
      <c r="Q6" s="2030"/>
      <c r="R6" s="2030"/>
      <c r="S6" s="2030"/>
      <c r="T6" s="2030"/>
      <c r="U6" s="2030"/>
      <c r="V6" s="2030"/>
    </row>
    <row r="7" spans="1:22" ht="14.25">
      <c r="A7" s="3349"/>
      <c r="B7" s="3350"/>
      <c r="C7" s="3360"/>
      <c r="D7" s="3361"/>
      <c r="E7" s="261" t="s">
        <v>304</v>
      </c>
      <c r="F7" s="262"/>
      <c r="G7" s="262"/>
      <c r="H7" s="262"/>
      <c r="I7" s="263"/>
      <c r="J7" s="2031"/>
      <c r="K7" s="2030"/>
      <c r="L7" s="2030"/>
      <c r="M7" s="2030"/>
      <c r="N7" s="2030"/>
      <c r="O7" s="2030"/>
      <c r="P7" s="2030"/>
      <c r="Q7" s="2030"/>
      <c r="R7" s="2030"/>
      <c r="S7" s="2030"/>
      <c r="T7" s="2030"/>
      <c r="U7" s="2030"/>
      <c r="V7" s="2030"/>
    </row>
    <row r="8" spans="1:22" ht="14.25">
      <c r="A8" s="3349" t="s">
        <v>305</v>
      </c>
      <c r="B8" s="3350">
        <v>15</v>
      </c>
      <c r="C8" s="3358"/>
      <c r="D8" s="3361"/>
      <c r="E8" s="261" t="s">
        <v>306</v>
      </c>
      <c r="F8" s="262"/>
      <c r="G8" s="262"/>
      <c r="H8" s="262"/>
      <c r="I8" s="263"/>
      <c r="J8" s="2031"/>
      <c r="K8" s="2030"/>
      <c r="L8" s="2030"/>
      <c r="M8" s="2030"/>
      <c r="N8" s="2030"/>
      <c r="O8" s="2030"/>
      <c r="P8" s="2030"/>
      <c r="Q8" s="2030"/>
      <c r="R8" s="2030"/>
      <c r="S8" s="2030"/>
      <c r="T8" s="2030"/>
      <c r="U8" s="2030"/>
      <c r="V8" s="2030"/>
    </row>
    <row r="9" spans="1:22" ht="14.25">
      <c r="A9" s="3349"/>
      <c r="B9" s="3350"/>
      <c r="C9" s="3360"/>
      <c r="D9" s="3361"/>
      <c r="E9" s="261" t="s">
        <v>307</v>
      </c>
      <c r="F9" s="262"/>
      <c r="G9" s="262"/>
      <c r="H9" s="262"/>
      <c r="I9" s="263"/>
      <c r="J9" s="2031"/>
      <c r="K9" s="2030"/>
      <c r="L9" s="2030"/>
      <c r="M9" s="2030"/>
      <c r="N9" s="2030"/>
      <c r="O9" s="2030"/>
      <c r="P9" s="2030"/>
      <c r="Q9" s="2030"/>
      <c r="R9" s="2030"/>
      <c r="S9" s="2030"/>
      <c r="T9" s="2030"/>
      <c r="U9" s="2030"/>
      <c r="V9" s="2030"/>
    </row>
    <row r="10" spans="1:22" ht="14.25">
      <c r="A10" s="3349" t="s">
        <v>308</v>
      </c>
      <c r="B10" s="3350">
        <v>15</v>
      </c>
      <c r="C10" s="3358"/>
      <c r="D10" s="3361"/>
      <c r="E10" s="261" t="s">
        <v>309</v>
      </c>
      <c r="F10" s="262"/>
      <c r="G10" s="262"/>
      <c r="H10" s="262"/>
      <c r="I10" s="263"/>
      <c r="J10" s="2031"/>
      <c r="K10" s="2030"/>
      <c r="L10" s="2030"/>
      <c r="M10" s="2030"/>
      <c r="N10" s="2030"/>
      <c r="O10" s="2030"/>
      <c r="P10" s="2030"/>
      <c r="Q10" s="2030"/>
      <c r="R10" s="2030"/>
      <c r="S10" s="2030"/>
      <c r="T10" s="2030"/>
      <c r="U10" s="2030"/>
      <c r="V10" s="2030"/>
    </row>
    <row r="11" spans="1:22" ht="14.25">
      <c r="A11" s="3349"/>
      <c r="B11" s="3350"/>
      <c r="C11" s="3360"/>
      <c r="D11" s="3361"/>
      <c r="E11" s="261" t="s">
        <v>310</v>
      </c>
      <c r="F11" s="262"/>
      <c r="G11" s="262"/>
      <c r="H11" s="262"/>
      <c r="I11" s="263"/>
      <c r="J11" s="2031"/>
      <c r="K11" s="2030"/>
      <c r="L11" s="2030"/>
      <c r="M11" s="2030"/>
      <c r="N11" s="2030"/>
      <c r="O11" s="2030"/>
      <c r="P11" s="2030"/>
      <c r="Q11" s="2030"/>
      <c r="R11" s="2030"/>
      <c r="S11" s="2030"/>
      <c r="T11" s="2030"/>
      <c r="U11" s="2030"/>
      <c r="V11" s="2030"/>
    </row>
    <row r="12" spans="1:22" ht="14.25">
      <c r="A12" s="3349" t="s">
        <v>311</v>
      </c>
      <c r="B12" s="3350">
        <v>15</v>
      </c>
      <c r="C12" s="3358"/>
      <c r="D12" s="3361"/>
      <c r="E12" s="261" t="s">
        <v>312</v>
      </c>
      <c r="F12" s="262"/>
      <c r="G12" s="262"/>
      <c r="H12" s="262"/>
      <c r="I12" s="263"/>
      <c r="J12" s="2031"/>
      <c r="K12" s="2030"/>
      <c r="L12" s="2030"/>
      <c r="M12" s="2030"/>
      <c r="N12" s="2030"/>
      <c r="O12" s="2030"/>
      <c r="P12" s="2030"/>
      <c r="Q12" s="2030"/>
      <c r="R12" s="2030"/>
      <c r="S12" s="2030"/>
      <c r="T12" s="2030"/>
      <c r="U12" s="2030"/>
      <c r="V12" s="2030"/>
    </row>
    <row r="13" spans="1:22" ht="14.25">
      <c r="A13" s="3349"/>
      <c r="B13" s="3350"/>
      <c r="C13" s="3360"/>
      <c r="D13" s="3361"/>
      <c r="E13" s="261" t="s">
        <v>313</v>
      </c>
      <c r="F13" s="262"/>
      <c r="G13" s="262"/>
      <c r="H13" s="262"/>
      <c r="I13" s="263"/>
      <c r="J13" s="2031"/>
      <c r="K13" s="2030"/>
      <c r="L13" s="2030"/>
      <c r="M13" s="2030"/>
      <c r="N13" s="2030"/>
      <c r="O13" s="2030"/>
      <c r="P13" s="2030"/>
      <c r="Q13" s="2030"/>
      <c r="R13" s="2030"/>
      <c r="S13" s="2030"/>
      <c r="T13" s="2030"/>
      <c r="U13" s="2030"/>
      <c r="V13" s="2030"/>
    </row>
    <row r="14" spans="1:22" ht="14.25">
      <c r="A14" s="3349" t="s">
        <v>314</v>
      </c>
      <c r="B14" s="3350">
        <v>30</v>
      </c>
      <c r="C14" s="3358">
        <v>0.5</v>
      </c>
      <c r="D14" s="3361">
        <f>1-C14</f>
        <v>0.5</v>
      </c>
      <c r="E14" s="261" t="s">
        <v>315</v>
      </c>
      <c r="F14" s="262"/>
      <c r="G14" s="262"/>
      <c r="H14" s="262"/>
      <c r="I14" s="263"/>
      <c r="J14" s="2031"/>
      <c r="K14" s="2030"/>
      <c r="L14" s="2030"/>
      <c r="M14" s="2030"/>
      <c r="N14" s="2030"/>
      <c r="O14" s="2030"/>
      <c r="P14" s="2030"/>
      <c r="Q14" s="2030"/>
      <c r="R14" s="2030"/>
      <c r="S14" s="2030"/>
      <c r="T14" s="2030"/>
      <c r="U14" s="2030"/>
      <c r="V14" s="2030"/>
    </row>
    <row r="15" spans="1:22" ht="14.25">
      <c r="A15" s="3349"/>
      <c r="B15" s="3350"/>
      <c r="C15" s="3359"/>
      <c r="D15" s="3361"/>
      <c r="E15" s="261" t="s">
        <v>316</v>
      </c>
      <c r="F15" s="262"/>
      <c r="G15" s="262"/>
      <c r="H15" s="262"/>
      <c r="I15" s="263"/>
      <c r="J15" s="2031"/>
      <c r="K15" s="2030"/>
      <c r="L15" s="2030"/>
      <c r="M15" s="2030"/>
      <c r="N15" s="2030"/>
      <c r="O15" s="2030"/>
      <c r="P15" s="2030"/>
      <c r="Q15" s="2030"/>
      <c r="R15" s="2030"/>
      <c r="S15" s="2030"/>
      <c r="T15" s="2030"/>
      <c r="U15" s="2030"/>
      <c r="V15" s="2030"/>
    </row>
    <row r="16" spans="1:22" ht="14.25">
      <c r="A16" s="3349"/>
      <c r="B16" s="3350"/>
      <c r="C16" s="3360"/>
      <c r="D16" s="3361"/>
      <c r="E16" s="261" t="s">
        <v>317</v>
      </c>
      <c r="F16" s="262"/>
      <c r="G16" s="262"/>
      <c r="H16" s="262"/>
      <c r="I16" s="263"/>
      <c r="J16" s="2031"/>
      <c r="K16" s="2030"/>
      <c r="L16" s="2030"/>
      <c r="M16" s="2030"/>
      <c r="N16" s="2030"/>
      <c r="O16" s="2030"/>
      <c r="P16" s="2030"/>
      <c r="Q16" s="2030"/>
      <c r="R16" s="2030"/>
      <c r="S16" s="2030"/>
      <c r="T16" s="2030"/>
      <c r="U16" s="2030"/>
      <c r="V16" s="2030"/>
    </row>
    <row r="17" spans="1:26" ht="15">
      <c r="A17" s="264" t="s">
        <v>318</v>
      </c>
      <c r="B17" s="144"/>
      <c r="C17" s="265">
        <f>SUM(C5:C16)</f>
        <v>0.5</v>
      </c>
      <c r="D17" s="265">
        <f>SUM(D5:D16)</f>
        <v>0.5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319</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320</v>
      </c>
      <c r="B19" s="269" t="s">
        <v>321</v>
      </c>
      <c r="C19" s="270">
        <f ca="1">SUMIF(INDIRECT("'"&amp;C4&amp;"'"&amp;"!A:A"),结果表!B19,INDIRECT("'"&amp;C4&amp;"'"&amp;"!B:B"))</f>
        <v>19813</v>
      </c>
      <c r="D19" s="271">
        <f ca="1">SUMIF(INDIRECT("'"&amp;D4&amp;"'"&amp;"!A:A"),结果表!B19,INDIRECT("'"&amp;D4&amp;"'"&amp;"!B:B"))</f>
        <v>21251</v>
      </c>
      <c r="E19" s="268" t="s">
        <v>322</v>
      </c>
      <c r="F19" s="269" t="s">
        <v>321</v>
      </c>
      <c r="G19" s="272">
        <f ca="1">ROUND(C19*$C$18+D19*$D$18,0)</f>
        <v>20532</v>
      </c>
      <c r="H19" s="273" t="s">
        <v>323</v>
      </c>
      <c r="I19" s="311"/>
      <c r="J19" s="2030"/>
      <c r="K19" s="2030"/>
      <c r="L19" s="2030"/>
      <c r="M19" s="2030"/>
      <c r="N19" s="2030"/>
      <c r="O19" s="2030"/>
      <c r="P19" s="2030"/>
      <c r="Q19" s="2030"/>
      <c r="R19" s="2030"/>
      <c r="S19" s="2030"/>
      <c r="T19" s="2030"/>
      <c r="U19" s="2030"/>
      <c r="V19" s="2030"/>
    </row>
    <row r="20" spans="1:26" ht="15">
      <c r="A20" s="274"/>
      <c r="B20" s="275" t="s">
        <v>324</v>
      </c>
      <c r="C20" s="276">
        <f ca="1">SUMIF(INDIRECT("'"&amp;C4&amp;"'"&amp;"!A:A"),结果表!B20,INDIRECT("'"&amp;C4&amp;"'"&amp;"!B:B"))</f>
        <v>1967</v>
      </c>
      <c r="D20" s="277">
        <f ca="1">SUMIF(INDIRECT("'"&amp;D4&amp;"'"&amp;"!A:A"),结果表!B20,INDIRECT("'"&amp;D4&amp;"'"&amp;"!B:B"))</f>
        <v>2110</v>
      </c>
      <c r="E20" s="274"/>
      <c r="F20" s="275" t="s">
        <v>324</v>
      </c>
      <c r="G20" s="278">
        <f ca="1">ROUND(C20*$C$18+D20*$D$18,0)</f>
        <v>2039</v>
      </c>
      <c r="H20" s="279" t="s">
        <v>325</v>
      </c>
      <c r="I20" s="311"/>
      <c r="J20" s="2030"/>
      <c r="K20" s="2030"/>
      <c r="L20" s="2030"/>
      <c r="M20" s="2030"/>
      <c r="N20" s="2030"/>
      <c r="O20" s="2030"/>
      <c r="P20" s="2030"/>
      <c r="Q20" s="2030"/>
      <c r="R20" s="2030"/>
      <c r="S20" s="2030"/>
      <c r="T20" s="2030"/>
      <c r="U20" s="2030"/>
      <c r="V20" s="2030"/>
    </row>
    <row r="21" spans="1:26" ht="15" customHeight="1">
      <c r="A21" s="274"/>
      <c r="B21" s="280" t="s">
        <v>326</v>
      </c>
      <c r="C21" s="281">
        <f ca="1">SUMIF(INDIRECT("'"&amp;C4&amp;"'"&amp;"!A:A"),结果表!B21,INDIRECT("'"&amp;C4&amp;"'"&amp;"!B:B"))</f>
        <v>4918</v>
      </c>
      <c r="D21" s="151">
        <f ca="1">SUMIF(INDIRECT("'"&amp;D4&amp;"'"&amp;"!A:A"),结果表!B21,INDIRECT("'"&amp;D4&amp;"'"&amp;"!B:B"))</f>
        <v>5275</v>
      </c>
      <c r="E21" s="274"/>
      <c r="F21" s="280" t="s">
        <v>326</v>
      </c>
      <c r="G21" s="282">
        <f ca="1">ROUND(C21*$C$18+D21*$D$18,0)</f>
        <v>5097</v>
      </c>
      <c r="H21" s="1251" t="s">
        <v>325</v>
      </c>
      <c r="I21" s="311"/>
      <c r="J21" s="2030"/>
      <c r="K21" s="2030"/>
      <c r="L21" s="2030"/>
      <c r="M21" s="2030"/>
      <c r="N21" s="2030"/>
      <c r="O21" s="2030"/>
      <c r="P21" s="2030"/>
      <c r="Q21" s="2030"/>
      <c r="R21" s="2030"/>
      <c r="S21" s="2030"/>
      <c r="T21" s="2030"/>
      <c r="U21" s="2030"/>
      <c r="V21" s="2030"/>
    </row>
    <row r="22" spans="1:26" ht="15.75" thickBot="1">
      <c r="A22" s="126" t="s">
        <v>327</v>
      </c>
      <c r="B22" s="1252"/>
      <c r="C22" s="1253"/>
      <c r="D22" s="283">
        <f ca="1">IF(C19&lt;D19,D19/C19-1,C19/D19-1)</f>
        <v>7.2578610003533051E-2</v>
      </c>
      <c r="E22" s="284"/>
      <c r="F22" s="285"/>
      <c r="G22" s="286">
        <f ca="1">ROUND(G19/('数据-汇总表'!D3/666.67),0)</f>
        <v>340</v>
      </c>
      <c r="H22" s="287" t="s">
        <v>328</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22" t="s">
        <v>329</v>
      </c>
      <c r="B24" s="269" t="s">
        <v>321</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64"/>
      <c r="B25" s="1321" t="s">
        <v>330</v>
      </c>
      <c r="C25" s="290">
        <f>IF(B30=0,0,C30)</f>
        <v>0</v>
      </c>
      <c r="D25" s="291"/>
      <c r="E25" s="311"/>
      <c r="F25" s="311"/>
      <c r="G25" s="311"/>
      <c r="H25" s="311"/>
      <c r="I25" s="311"/>
      <c r="J25" s="2030"/>
      <c r="K25" s="1255" t="str">
        <f ca="1">项目基本情况!B16&amp;"国有建设用地使用权价格："&amp;O38&amp;"万元"</f>
        <v>出让国有建设用地使用权价格：20532万元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大写金额：人民币贰亿零伍佰叁拾贰万元整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单位面积地价：5096元/平方米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楼面地价：2038元/平方米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抵押价格：20532万元</v>
      </c>
      <c r="L29" s="1252"/>
      <c r="M29" s="1252"/>
      <c r="N29" s="1252"/>
      <c r="O29" s="1251"/>
      <c r="P29" s="2030"/>
      <c r="V29" s="2030"/>
    </row>
    <row r="30" spans="1:26" ht="18.75" thickBot="1">
      <c r="A30" s="3130" t="s">
        <v>335</v>
      </c>
      <c r="B30" s="309"/>
      <c r="C30" s="309"/>
      <c r="D30" s="310"/>
      <c r="E30" s="3131" t="s">
        <v>2965</v>
      </c>
      <c r="F30" s="311"/>
      <c r="G30" s="311"/>
      <c r="H30" s="311"/>
      <c r="I30" s="311"/>
      <c r="J30" s="2030"/>
      <c r="K30" s="1258" t="str">
        <f ca="1">IF(K29="——","——","大写金额：人民币"&amp;NUMBERSTRING(INT(O39*10000),2)&amp;"元整")</f>
        <v>大写金额：人民币贰亿零伍佰叁拾贰万元整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336</v>
      </c>
      <c r="B32" s="1382" t="s">
        <v>1687</v>
      </c>
      <c r="C32" s="1383">
        <f ca="1">G19-C24</f>
        <v>20532</v>
      </c>
      <c r="D32" s="1384" t="s">
        <v>1688</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339</v>
      </c>
      <c r="B33" s="1385" t="s">
        <v>1689</v>
      </c>
      <c r="C33" s="264">
        <f ca="1">ROUND(C32*10000/'数据-汇总表'!E3,0)</f>
        <v>2038</v>
      </c>
      <c r="D33" s="1386" t="s">
        <v>1690</v>
      </c>
      <c r="E33" s="3322"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1691</v>
      </c>
      <c r="C34" s="264">
        <f ca="1">ROUND(C32*10000/'数据-汇总表'!D3,0)</f>
        <v>5096</v>
      </c>
      <c r="D34" s="1388" t="s">
        <v>1690</v>
      </c>
      <c r="E34" s="3323"/>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340</v>
      </c>
      <c r="D35" s="1391" t="s">
        <v>1692</v>
      </c>
      <c r="E35" s="3324"/>
      <c r="F35" s="301" t="s">
        <v>341</v>
      </c>
      <c r="G35" s="982"/>
      <c r="H35" s="981" t="s">
        <v>342</v>
      </c>
      <c r="I35" s="311"/>
      <c r="J35" s="2030"/>
      <c r="K35" s="3328" t="s">
        <v>349</v>
      </c>
      <c r="L35" s="3328" t="s">
        <v>350</v>
      </c>
      <c r="M35" s="1264" t="s">
        <v>351</v>
      </c>
      <c r="N35" s="3328" t="s">
        <v>352</v>
      </c>
      <c r="O35" s="3328" t="s">
        <v>353</v>
      </c>
      <c r="P35" s="2030"/>
      <c r="V35" s="2030"/>
    </row>
    <row r="36" spans="1:26" ht="16.5" customHeight="1">
      <c r="A36" s="303" t="s">
        <v>343</v>
      </c>
      <c r="B36" s="304" t="s">
        <v>332</v>
      </c>
      <c r="C36" s="305" t="s">
        <v>344</v>
      </c>
      <c r="D36" s="305" t="s">
        <v>345</v>
      </c>
      <c r="E36" s="306" t="s">
        <v>346</v>
      </c>
      <c r="F36" s="311"/>
      <c r="G36" s="311"/>
      <c r="H36" s="311"/>
      <c r="I36" s="311"/>
      <c r="J36" s="2032"/>
      <c r="K36" s="3329"/>
      <c r="L36" s="3329"/>
      <c r="M36" s="1266" t="s">
        <v>354</v>
      </c>
      <c r="N36" s="3329"/>
      <c r="O36" s="3329"/>
      <c r="P36" s="2030"/>
      <c r="V36" s="2030"/>
    </row>
    <row r="37" spans="1:26" ht="16.5" customHeight="1" thickBot="1">
      <c r="A37" s="1260" t="s">
        <v>347</v>
      </c>
      <c r="B37" s="307"/>
      <c r="C37" s="294"/>
      <c r="D37" s="294"/>
      <c r="E37" s="295"/>
      <c r="F37" s="311"/>
      <c r="G37" s="311"/>
      <c r="H37" s="311"/>
      <c r="I37" s="311"/>
      <c r="J37" s="2032"/>
      <c r="K37" s="3330"/>
      <c r="L37" s="3330"/>
      <c r="M37" s="1267"/>
      <c r="N37" s="3330"/>
      <c r="O37" s="3330"/>
      <c r="P37" s="2030"/>
      <c r="V37" s="2030"/>
    </row>
    <row r="38" spans="1:26" ht="16.5" customHeight="1" thickBot="1">
      <c r="A38" s="1260" t="s">
        <v>348</v>
      </c>
      <c r="B38" s="307"/>
      <c r="C38" s="294"/>
      <c r="D38" s="294"/>
      <c r="E38" s="295"/>
      <c r="F38" s="311"/>
      <c r="G38" s="311"/>
      <c r="H38" s="311"/>
      <c r="I38" s="311"/>
      <c r="J38" s="2032"/>
      <c r="K38" s="1268">
        <f>'数据-汇总表'!D3</f>
        <v>40290</v>
      </c>
      <c r="L38" s="1269">
        <f>'数据-汇总表'!E3</f>
        <v>100725</v>
      </c>
      <c r="M38" s="1269">
        <f ca="1">C34</f>
        <v>5096</v>
      </c>
      <c r="N38" s="1269">
        <f ca="1">C33</f>
        <v>2038</v>
      </c>
      <c r="O38" s="1270">
        <f ca="1">C32</f>
        <v>20532</v>
      </c>
      <c r="P38" s="2030"/>
      <c r="V38" s="2030"/>
    </row>
    <row r="39" spans="1:26" ht="16.5" customHeight="1" thickBot="1">
      <c r="A39" s="1265"/>
      <c r="B39" s="308"/>
      <c r="C39" s="309"/>
      <c r="D39" s="309"/>
      <c r="E39" s="310"/>
      <c r="F39" s="311"/>
      <c r="G39" s="311"/>
      <c r="H39" s="311"/>
      <c r="I39" s="311"/>
      <c r="J39" s="2032"/>
      <c r="K39" s="3305" t="str">
        <f>MID(A44,3,LEN(A44)-2)</f>
        <v>抵押价格</v>
      </c>
      <c r="L39" s="3306"/>
      <c r="M39" s="3306"/>
      <c r="N39" s="3307"/>
      <c r="O39" s="1393">
        <f ca="1">C44</f>
        <v>20532</v>
      </c>
      <c r="P39" s="2030"/>
      <c r="V39" s="2030"/>
    </row>
    <row r="40" spans="1:26" ht="19.5" thickBot="1">
      <c r="A40" s="104" t="s">
        <v>872</v>
      </c>
      <c r="B40" s="311"/>
      <c r="C40" s="311"/>
      <c r="D40" s="311"/>
      <c r="E40" s="311"/>
      <c r="F40" s="311"/>
      <c r="G40" s="311"/>
      <c r="H40" s="311"/>
      <c r="I40" s="311"/>
      <c r="J40" s="2032"/>
      <c r="K40" s="3305" t="str">
        <f t="shared" ref="K40:K41" si="0">MID(A45,3,LEN(A45)-2)</f>
        <v/>
      </c>
      <c r="L40" s="3306"/>
      <c r="M40" s="3306"/>
      <c r="N40" s="3307"/>
      <c r="O40" s="1393" t="str">
        <f>C45</f>
        <v>——</v>
      </c>
      <c r="P40" s="2030"/>
      <c r="V40" s="2030"/>
    </row>
    <row r="41" spans="1:26" ht="16.5" thickBot="1">
      <c r="A41" s="312" t="s">
        <v>355</v>
      </c>
      <c r="B41" s="313"/>
      <c r="C41" s="314" t="s">
        <v>356</v>
      </c>
      <c r="D41" s="315" t="s">
        <v>357</v>
      </c>
      <c r="E41" s="315" t="s">
        <v>358</v>
      </c>
      <c r="F41" s="316" t="s">
        <v>359</v>
      </c>
      <c r="G41" s="311"/>
      <c r="H41" s="311"/>
      <c r="I41" s="311"/>
      <c r="J41" s="2032"/>
      <c r="K41" s="3305" t="str">
        <f t="shared" si="0"/>
        <v/>
      </c>
      <c r="L41" s="3306"/>
      <c r="M41" s="3306"/>
      <c r="N41" s="3307"/>
      <c r="O41" s="1393" t="str">
        <f>C46</f>
        <v>——</v>
      </c>
      <c r="P41" s="2030"/>
      <c r="V41" s="2030"/>
    </row>
    <row r="42" spans="1:26" ht="29.25">
      <c r="A42" s="3365" t="s">
        <v>2068</v>
      </c>
      <c r="B42" s="3366"/>
      <c r="C42" s="264">
        <f ca="1">C32</f>
        <v>20532</v>
      </c>
      <c r="D42" s="317">
        <f ca="1">C33</f>
        <v>2038</v>
      </c>
      <c r="E42" s="317">
        <f ca="1">C34</f>
        <v>5096</v>
      </c>
      <c r="F42" s="318">
        <f ca="1">C35</f>
        <v>340</v>
      </c>
      <c r="G42" s="311"/>
      <c r="H42" s="311"/>
      <c r="I42" s="319"/>
      <c r="J42" s="2032"/>
      <c r="K42" s="1271" t="s">
        <v>360</v>
      </c>
      <c r="L42" s="2049" t="s">
        <v>361</v>
      </c>
      <c r="M42" s="1272" t="s">
        <v>362</v>
      </c>
      <c r="N42" s="2050" t="s">
        <v>363</v>
      </c>
      <c r="O42" s="2051" t="s">
        <v>364</v>
      </c>
      <c r="P42" s="2030"/>
      <c r="V42" s="2030"/>
    </row>
    <row r="43" spans="1:26" ht="30">
      <c r="A43" s="3375" t="s">
        <v>2728</v>
      </c>
      <c r="B43" s="3376"/>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19813</v>
      </c>
      <c r="M43" s="1275">
        <f>C18</f>
        <v>0.5</v>
      </c>
      <c r="N43" s="1276">
        <f ca="1">IF(N42="测算结果/万元",G19,G20)</f>
        <v>20532</v>
      </c>
      <c r="O43" s="1277">
        <f ca="1">IF(O42="最终结果/万元",C32,C33)</f>
        <v>20532</v>
      </c>
      <c r="P43" s="2030"/>
      <c r="V43" s="2030"/>
    </row>
    <row r="44" spans="1:26" ht="30.75" thickBot="1">
      <c r="A44" s="3365" t="str">
        <f>IF(OR(项目基本情况!E8="抵押价格",项目基本情况!E8="已注销及未注销"),"3.抵押价格","——")</f>
        <v>3.抵押价格</v>
      </c>
      <c r="B44" s="3366"/>
      <c r="C44" s="264">
        <f ca="1">IF(A44="——","——",C42-C43)</f>
        <v>20532</v>
      </c>
      <c r="D44" s="317">
        <f ca="1">ROUND(C44*10000/'数据-汇总表'!E3,0)</f>
        <v>2038</v>
      </c>
      <c r="E44" s="317">
        <f ca="1">ROUND(C44*10000/'数据-汇总表'!D3,0)</f>
        <v>5096</v>
      </c>
      <c r="F44" s="318">
        <f ca="1">ROUND(C44/('数据-汇总表'!D3/666.67),0)</f>
        <v>340</v>
      </c>
      <c r="G44" s="311"/>
      <c r="H44" s="311"/>
      <c r="I44" s="319"/>
      <c r="J44" s="2032"/>
      <c r="K44" s="1278" t="str">
        <f>D4</f>
        <v>剩余法-待开发</v>
      </c>
      <c r="L44" s="1279">
        <f ca="1">IF(L42="估价结果/万元",D19,D20)</f>
        <v>21251</v>
      </c>
      <c r="M44" s="1280">
        <f>D18</f>
        <v>0.5</v>
      </c>
      <c r="N44" s="1281"/>
      <c r="O44" s="1282"/>
      <c r="P44" s="2030"/>
      <c r="V44" s="2030"/>
    </row>
    <row r="45" spans="1:26" ht="15">
      <c r="A45" s="3370" t="str">
        <f>IF(项目基本情况!E8="已注销及未注销","4.抵押担保权已注销时的抵押价格",IF(项目基本情况!E8="已注销","3.抵押担保权已注销时的抵押价格","——"))</f>
        <v>——</v>
      </c>
      <c r="B45" s="3371"/>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67" t="str">
        <f>IF(项目基本情况!E9="抵押净值",IF(A45="——","4.抵押净值","5.抵押净值"),"——")</f>
        <v>——</v>
      </c>
      <c r="B46" s="336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3" t="s">
        <v>373</v>
      </c>
      <c r="B63" s="3334"/>
      <c r="C63" s="3335"/>
      <c r="D63" s="341">
        <f ca="1">ROUND(C42*F63,0)</f>
        <v>20532</v>
      </c>
      <c r="E63" s="302" t="s">
        <v>374</v>
      </c>
      <c r="F63" s="342">
        <v>1</v>
      </c>
      <c r="G63" s="343" t="s">
        <v>375</v>
      </c>
      <c r="H63" s="311"/>
      <c r="I63" s="311"/>
      <c r="J63" s="2030"/>
      <c r="K63" s="2030"/>
      <c r="L63" s="2030"/>
      <c r="M63" s="2030"/>
      <c r="N63" s="2030"/>
      <c r="O63" s="2030"/>
      <c r="P63" s="311"/>
      <c r="Q63" s="2030"/>
      <c r="R63" s="2030"/>
      <c r="S63" s="2030"/>
      <c r="T63" s="2030"/>
      <c r="U63" s="2030"/>
      <c r="V63" s="2030"/>
    </row>
    <row r="64" spans="1:22" ht="14.25" customHeight="1">
      <c r="A64" s="3372" t="s">
        <v>377</v>
      </c>
      <c r="B64" s="3373"/>
      <c r="C64" s="3373"/>
      <c r="D64" s="3373"/>
      <c r="E64" s="3373"/>
      <c r="F64" s="3373"/>
      <c r="G64" s="3374"/>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69" t="s">
        <v>385</v>
      </c>
      <c r="B66" s="3340"/>
      <c r="C66" s="3340"/>
      <c r="D66" s="261">
        <f ca="1">IF(H66="情况1",0,IF(H66="情况2",D70,IF(H66="情况3",D71,IF(H66="情况4",D72))))</f>
        <v>1095</v>
      </c>
      <c r="E66" s="993" t="str">
        <f>IF(H66="情况4","(销售额-原购置价)×税（费）率","销售额×税（费）率")</f>
        <v>销售额×税（费）率</v>
      </c>
      <c r="F66" s="350">
        <f>IF(H66="情况1","免征",'数据-取费表'!B41)</f>
        <v>5.6000000000000001E-2</v>
      </c>
      <c r="G66" s="351" t="s">
        <v>386</v>
      </c>
      <c r="H66" s="191" t="s">
        <v>387</v>
      </c>
      <c r="I66" s="1288"/>
      <c r="J66" s="2036"/>
      <c r="K66" s="1291">
        <v>1</v>
      </c>
      <c r="L66" s="3309" t="s">
        <v>384</v>
      </c>
      <c r="M66" s="3310"/>
      <c r="N66" s="2460"/>
      <c r="O66" s="2461"/>
      <c r="P66" s="2462"/>
      <c r="Q66" s="2030"/>
      <c r="R66" s="2030"/>
      <c r="S66" s="2030"/>
      <c r="T66" s="2030"/>
      <c r="U66" s="2030"/>
      <c r="V66" s="2030"/>
    </row>
    <row r="67" spans="1:22" ht="25.5" customHeight="1">
      <c r="A67" s="352" t="s">
        <v>389</v>
      </c>
      <c r="B67" s="3352" t="s">
        <v>390</v>
      </c>
      <c r="C67" s="3352"/>
      <c r="D67" s="353">
        <v>0</v>
      </c>
      <c r="E67" s="41" t="s">
        <v>391</v>
      </c>
      <c r="F67" s="62" t="s">
        <v>21</v>
      </c>
      <c r="G67" s="3336"/>
      <c r="H67" s="311"/>
      <c r="I67" s="1292"/>
      <c r="J67" s="2037"/>
      <c r="K67" s="1978">
        <v>2</v>
      </c>
      <c r="L67" s="3308" t="s">
        <v>388</v>
      </c>
      <c r="M67" s="3308"/>
      <c r="N67" s="1325">
        <f>'数据-取费表'!B2</f>
        <v>43446</v>
      </c>
      <c r="O67" s="1325"/>
      <c r="P67" s="1325"/>
      <c r="Q67" s="2030"/>
      <c r="R67" s="2030"/>
      <c r="S67" s="2030"/>
      <c r="T67" s="2030"/>
      <c r="U67" s="2030"/>
      <c r="V67" s="2030"/>
    </row>
    <row r="68" spans="1:22" ht="25.5" customHeight="1">
      <c r="A68" s="354"/>
      <c r="B68" s="3352" t="s">
        <v>393</v>
      </c>
      <c r="C68" s="3352"/>
      <c r="D68" s="355"/>
      <c r="E68" s="77"/>
      <c r="F68" s="356"/>
      <c r="G68" s="3337"/>
      <c r="H68" s="311"/>
      <c r="I68" s="1292"/>
      <c r="J68" s="2037"/>
      <c r="K68" s="1978">
        <v>3</v>
      </c>
      <c r="L68" s="3308" t="s">
        <v>392</v>
      </c>
      <c r="M68" s="3308"/>
      <c r="N68" s="1293">
        <f ca="1">C42</f>
        <v>20532</v>
      </c>
      <c r="O68" s="1293"/>
      <c r="P68" s="1293"/>
      <c r="Q68" s="2030"/>
      <c r="R68" s="2030"/>
      <c r="S68" s="2030"/>
      <c r="T68" s="2030"/>
      <c r="U68" s="2030"/>
      <c r="V68" s="2030"/>
    </row>
    <row r="69" spans="1:22" ht="12" customHeight="1">
      <c r="A69" s="357"/>
      <c r="B69" s="3352" t="s">
        <v>394</v>
      </c>
      <c r="C69" s="3352"/>
      <c r="D69" s="358"/>
      <c r="E69" s="73"/>
      <c r="F69" s="356"/>
      <c r="G69" s="3338"/>
      <c r="H69" s="311"/>
      <c r="I69" s="1292"/>
      <c r="J69" s="2037"/>
      <c r="K69" s="1294">
        <v>4</v>
      </c>
      <c r="L69" s="3314" t="s">
        <v>2881</v>
      </c>
      <c r="M69" s="3315"/>
      <c r="N69" s="1295">
        <f ca="1">C44</f>
        <v>20532</v>
      </c>
      <c r="O69" s="1295"/>
      <c r="P69" s="1295"/>
      <c r="Q69" s="2030"/>
      <c r="R69" s="2030"/>
      <c r="S69" s="2030"/>
      <c r="T69" s="2030"/>
      <c r="U69" s="2030"/>
      <c r="V69" s="2030"/>
    </row>
    <row r="70" spans="1:22" ht="24" customHeight="1">
      <c r="A70" s="359" t="s">
        <v>395</v>
      </c>
      <c r="B70" s="3352" t="s">
        <v>396</v>
      </c>
      <c r="C70" s="3352"/>
      <c r="D70" s="358">
        <f ca="1">ROUND(D63*'数据-取费表'!B41/(1+'数据-取费表'!C42),0)</f>
        <v>1095</v>
      </c>
      <c r="E70" s="17" t="s">
        <v>397</v>
      </c>
      <c r="F70" s="360">
        <f>'数据-取费表'!B41</f>
        <v>5.6000000000000001E-2</v>
      </c>
      <c r="G70" s="361"/>
      <c r="H70" s="311"/>
      <c r="I70" s="1292"/>
      <c r="J70" s="2037"/>
      <c r="K70" s="3064"/>
      <c r="L70" s="3065"/>
      <c r="M70" s="3065"/>
      <c r="N70" s="3066" t="s">
        <v>2885</v>
      </c>
      <c r="O70" s="3065"/>
      <c r="P70" s="3067"/>
      <c r="Q70" s="2030"/>
      <c r="R70" s="2030"/>
      <c r="S70" s="2030"/>
      <c r="T70" s="2030"/>
      <c r="U70" s="2030"/>
      <c r="V70" s="2030"/>
    </row>
    <row r="71" spans="1:22" ht="12" customHeight="1">
      <c r="A71" s="359" t="s">
        <v>403</v>
      </c>
      <c r="B71" s="3351" t="s">
        <v>404</v>
      </c>
      <c r="C71" s="3363"/>
      <c r="D71" s="358">
        <f ca="1">ROUND(D63*'数据-取费表'!B41/(1+'数据-取费表'!C42),0)</f>
        <v>1095</v>
      </c>
      <c r="E71" s="17" t="s">
        <v>397</v>
      </c>
      <c r="F71" s="360">
        <f>'数据-取费表'!B41</f>
        <v>5.6000000000000001E-2</v>
      </c>
      <c r="G71" s="361"/>
      <c r="H71" s="311"/>
      <c r="I71" s="1292"/>
      <c r="J71" s="2037"/>
      <c r="K71" s="3063" t="s">
        <v>398</v>
      </c>
      <c r="L71" s="3316" t="s">
        <v>399</v>
      </c>
      <c r="M71" s="3316"/>
      <c r="N71" s="3063" t="s">
        <v>400</v>
      </c>
      <c r="O71" s="3063" t="s">
        <v>401</v>
      </c>
      <c r="P71" s="3063" t="s">
        <v>402</v>
      </c>
      <c r="Q71" s="2030"/>
      <c r="R71" s="2030"/>
      <c r="S71" s="2030"/>
      <c r="T71" s="2030"/>
      <c r="U71" s="2030"/>
      <c r="V71" s="2030"/>
    </row>
    <row r="72" spans="1:22" ht="12" customHeight="1">
      <c r="A72" s="359" t="s">
        <v>406</v>
      </c>
      <c r="B72" s="3351" t="s">
        <v>407</v>
      </c>
      <c r="C72" s="3363"/>
      <c r="D72" s="358">
        <f ca="1">C86</f>
        <v>983</v>
      </c>
      <c r="E72" s="73" t="s">
        <v>408</v>
      </c>
      <c r="F72" s="360">
        <f>'数据-取费表'!B41</f>
        <v>5.6000000000000001E-2</v>
      </c>
      <c r="G72" s="361"/>
      <c r="H72" s="1298"/>
      <c r="I72" s="1292"/>
      <c r="J72" s="2037"/>
      <c r="K72" s="1978">
        <v>1</v>
      </c>
      <c r="L72" s="3313" t="s">
        <v>405</v>
      </c>
      <c r="M72" s="3313"/>
      <c r="N72" s="1296">
        <f ca="1">D66</f>
        <v>1095</v>
      </c>
      <c r="O72" s="1861" t="str">
        <f>E66</f>
        <v>销售额×税（费）率</v>
      </c>
      <c r="P72" s="1297">
        <f>F66</f>
        <v>5.6000000000000001E-2</v>
      </c>
      <c r="Q72" s="2030"/>
      <c r="R72" s="2030"/>
      <c r="S72" s="2030"/>
      <c r="T72" s="2030"/>
      <c r="U72" s="2030"/>
      <c r="V72" s="2030"/>
    </row>
    <row r="73" spans="1:22" ht="24" customHeight="1">
      <c r="A73" s="3339" t="s">
        <v>410</v>
      </c>
      <c r="B73" s="3340"/>
      <c r="C73" s="3340"/>
      <c r="D73" s="362">
        <f ca="1">IF(H73="个人住宅",0,ROUND(D63*I73,0))</f>
        <v>10</v>
      </c>
      <c r="E73" s="17" t="s">
        <v>411</v>
      </c>
      <c r="F73" s="360">
        <f>IF(H73="正常",I73,"免征")</f>
        <v>5.0000000000000001E-4</v>
      </c>
      <c r="G73" s="361"/>
      <c r="H73" s="191" t="s">
        <v>3013</v>
      </c>
      <c r="I73" s="360">
        <f>'数据-取费表'!B49</f>
        <v>5.0000000000000001E-4</v>
      </c>
      <c r="J73" s="2037"/>
      <c r="K73" s="1978">
        <v>2</v>
      </c>
      <c r="L73" s="3313" t="s">
        <v>409</v>
      </c>
      <c r="M73" s="3313"/>
      <c r="N73" s="1296">
        <f t="shared" ref="N73:P74" ca="1" si="1">D73</f>
        <v>10</v>
      </c>
      <c r="O73" s="1861" t="str">
        <f t="shared" si="1"/>
        <v>销售额×税（费）率</v>
      </c>
      <c r="P73" s="1297">
        <f t="shared" si="1"/>
        <v>5.0000000000000001E-4</v>
      </c>
      <c r="Q73" s="2030"/>
      <c r="R73" s="2030"/>
      <c r="S73" s="2030"/>
      <c r="T73" s="2030"/>
      <c r="U73" s="2030"/>
      <c r="V73" s="2030"/>
    </row>
    <row r="74" spans="1:22" ht="24.75">
      <c r="A74" s="3339" t="s">
        <v>414</v>
      </c>
      <c r="B74" s="3340"/>
      <c r="C74" s="3340"/>
      <c r="D74" s="362">
        <f ca="1">IF(H74="个人住宅",D75,D76)</f>
        <v>0</v>
      </c>
      <c r="E74" s="17" t="s">
        <v>415</v>
      </c>
      <c r="F74" s="360" t="str">
        <f>IF(H74="正常",F76,"免征")</f>
        <v>——</v>
      </c>
      <c r="G74" s="983" t="s">
        <v>416</v>
      </c>
      <c r="H74" s="363" t="s">
        <v>412</v>
      </c>
      <c r="I74" s="42"/>
      <c r="J74" s="2037"/>
      <c r="K74" s="1978">
        <v>3</v>
      </c>
      <c r="L74" s="3313" t="s">
        <v>413</v>
      </c>
      <c r="M74" s="3313"/>
      <c r="N74" s="1296">
        <f t="shared" ca="1" si="1"/>
        <v>0</v>
      </c>
      <c r="O74" s="1861" t="str">
        <f t="shared" si="1"/>
        <v>增值额×税（费）率</v>
      </c>
      <c r="P74" s="1299" t="str">
        <f t="shared" si="1"/>
        <v>——</v>
      </c>
      <c r="Q74" s="2030"/>
      <c r="R74" s="2030"/>
      <c r="S74" s="2030"/>
      <c r="T74" s="2030"/>
      <c r="U74" s="2030"/>
      <c r="V74" s="2030"/>
    </row>
    <row r="75" spans="1:22" ht="12.75">
      <c r="A75" s="359" t="s">
        <v>417</v>
      </c>
      <c r="B75" s="3320" t="s">
        <v>418</v>
      </c>
      <c r="C75" s="3321"/>
      <c r="D75" s="364">
        <v>0</v>
      </c>
      <c r="E75" s="41" t="s">
        <v>419</v>
      </c>
      <c r="F75" s="365"/>
      <c r="G75" s="361"/>
      <c r="H75" s="42"/>
      <c r="I75" s="42"/>
      <c r="J75" s="2037"/>
      <c r="K75" s="3056" t="str">
        <f>IF(H77="非个人房产","",4)</f>
        <v/>
      </c>
      <c r="L75" s="3313" t="str">
        <f>IF(H77="非个人房产","——","个人所得税")</f>
        <v>——</v>
      </c>
      <c r="M75" s="3313"/>
      <c r="N75" s="1300" t="str">
        <f>D77</f>
        <v>——</v>
      </c>
      <c r="O75" s="1874" t="str">
        <f>E77</f>
        <v>——</v>
      </c>
      <c r="P75" s="1301" t="str">
        <f>F77</f>
        <v>——</v>
      </c>
      <c r="Q75" s="2030"/>
      <c r="R75" s="2030"/>
      <c r="S75" s="2030"/>
      <c r="T75" s="2030"/>
      <c r="U75" s="2030"/>
      <c r="V75" s="2030"/>
    </row>
    <row r="76" spans="1:22" ht="24.75">
      <c r="A76" s="359" t="s">
        <v>395</v>
      </c>
      <c r="B76" s="3320" t="s">
        <v>421</v>
      </c>
      <c r="C76" s="3362"/>
      <c r="D76" s="362">
        <f ca="1">IF(H76="转让取得",C99,C115)</f>
        <v>0</v>
      </c>
      <c r="E76" s="17" t="s">
        <v>422</v>
      </c>
      <c r="F76" s="53" t="s">
        <v>21</v>
      </c>
      <c r="G76" s="361"/>
      <c r="H76" s="363" t="s">
        <v>423</v>
      </c>
      <c r="I76" s="42"/>
      <c r="J76" s="2037"/>
      <c r="K76" s="3056" t="str">
        <f>IF(项目基本情况!K6="上海银行",IF(K75="",4,K75+1),"")</f>
        <v/>
      </c>
      <c r="L76" s="3301" t="str">
        <f>IF(项目基本情况!K6="上海银行","其他处置费用","")</f>
        <v/>
      </c>
      <c r="M76" s="3302"/>
      <c r="N76" s="1296" t="str">
        <f>IF(项目基本情况!K6="上海银行",N89,"")</f>
        <v/>
      </c>
      <c r="O76" s="3303" t="str">
        <f>IF(项目基本情况!K6="上海银行","包含处置中涉及的律师、诉讼、拍卖、评估等费用","")</f>
        <v/>
      </c>
      <c r="P76" s="3304"/>
      <c r="Q76" s="2030"/>
      <c r="R76" s="2030"/>
      <c r="S76" s="2030"/>
      <c r="T76" s="2030"/>
      <c r="U76" s="2030"/>
      <c r="V76" s="2030"/>
    </row>
    <row r="77" spans="1:22" ht="24.75" thickBot="1">
      <c r="A77" s="3331" t="s">
        <v>425</v>
      </c>
      <c r="B77" s="3332"/>
      <c r="C77" s="3332"/>
      <c r="D77" s="366" t="str">
        <f>IF(H77="非个人房产","——",IF(H77="个人住宅",0,ROUND(D63*I77,0)))</f>
        <v>——</v>
      </c>
      <c r="E77" s="367" t="str">
        <f>IF(H77="非个人房产","——","销售额×税（费）率")</f>
        <v>——</v>
      </c>
      <c r="F77" s="368" t="str">
        <f>IF(H77="非个人房产","——",IF(H77="个人住宅","免征",I77))</f>
        <v>——</v>
      </c>
      <c r="G77" s="984" t="s">
        <v>416</v>
      </c>
      <c r="H77" s="363" t="s">
        <v>3077</v>
      </c>
      <c r="I77" s="369">
        <v>0.01</v>
      </c>
      <c r="J77" s="2037"/>
      <c r="K77" s="3327">
        <f>IF(AND(K75="",K76=""),4,IF(项目基本情况!K6="上海银行",K76+1,K75+1))</f>
        <v>4</v>
      </c>
      <c r="L77" s="3313" t="s">
        <v>2882</v>
      </c>
      <c r="M77" s="3062" t="s">
        <v>420</v>
      </c>
      <c r="N77" s="1302"/>
      <c r="O77" s="1303">
        <f ca="1">SUMIF(N72:N76,"&lt;9e307")</f>
        <v>1105</v>
      </c>
      <c r="P77" s="1304"/>
      <c r="Q77" s="3060">
        <f ca="1">O77/N69</f>
        <v>5.3818429768166767E-2</v>
      </c>
      <c r="R77" s="2030"/>
      <c r="S77" s="2030"/>
      <c r="T77" s="2030"/>
      <c r="U77" s="2030"/>
      <c r="V77" s="2030"/>
    </row>
    <row r="78" spans="1:22" ht="12" customHeight="1">
      <c r="A78" s="1305"/>
      <c r="B78" s="311"/>
      <c r="C78" s="311"/>
      <c r="D78" s="311"/>
      <c r="E78" s="42"/>
      <c r="F78" s="42"/>
      <c r="G78" s="42"/>
      <c r="H78" s="1003"/>
      <c r="I78" s="311"/>
      <c r="J78" s="2037"/>
      <c r="K78" s="3327"/>
      <c r="L78" s="3313"/>
      <c r="M78" s="3062" t="s">
        <v>424</v>
      </c>
      <c r="N78" s="1302"/>
      <c r="O78" s="1303" t="str">
        <f ca="1">NUMBERSTRING(INT(O77*10000),2)&amp;"元整"</f>
        <v>壹仟壹佰零伍万元整</v>
      </c>
      <c r="P78" s="1304"/>
      <c r="Q78" s="2030"/>
      <c r="R78" s="2030"/>
      <c r="S78" s="2030"/>
      <c r="T78" s="2030"/>
      <c r="U78" s="2030"/>
      <c r="V78" s="2030"/>
    </row>
    <row r="79" spans="1:22" ht="13.5" thickBot="1">
      <c r="A79" s="3317" t="s">
        <v>426</v>
      </c>
      <c r="B79" s="3317"/>
      <c r="C79" s="3317"/>
      <c r="D79" s="3317"/>
      <c r="E79" s="3317"/>
      <c r="F79" s="42"/>
      <c r="G79" s="42"/>
      <c r="H79" s="1003"/>
      <c r="I79" s="311"/>
      <c r="J79" s="2037"/>
      <c r="K79" s="3311">
        <f>K77+1</f>
        <v>5</v>
      </c>
      <c r="L79" s="3313" t="s">
        <v>2883</v>
      </c>
      <c r="M79" s="3062" t="s">
        <v>420</v>
      </c>
      <c r="N79" s="1302"/>
      <c r="O79" s="1303">
        <f ca="1">N69-O77</f>
        <v>19427</v>
      </c>
      <c r="P79" s="1304"/>
      <c r="Q79" s="2030"/>
      <c r="R79" s="2030"/>
      <c r="S79" s="2030"/>
      <c r="T79" s="2030"/>
      <c r="U79" s="2030"/>
      <c r="V79" s="2030"/>
    </row>
    <row r="80" spans="1:22" ht="25.5">
      <c r="A80" s="3318" t="s">
        <v>427</v>
      </c>
      <c r="B80" s="3319"/>
      <c r="C80" s="994"/>
      <c r="D80" s="994" t="s">
        <v>428</v>
      </c>
      <c r="E80" s="370" t="s">
        <v>429</v>
      </c>
      <c r="F80" s="42"/>
      <c r="G80" s="42"/>
      <c r="H80" s="1003"/>
      <c r="I80" s="311"/>
      <c r="J80" s="2030"/>
      <c r="K80" s="3312"/>
      <c r="L80" s="3313"/>
      <c r="M80" s="3062" t="s">
        <v>424</v>
      </c>
      <c r="N80" s="1302"/>
      <c r="O80" s="1303" t="str">
        <f ca="1">NUMBERSTRING(INT(O79*10000),2)&amp;"元整"</f>
        <v>壹亿玖仟肆佰贰拾柒万元整</v>
      </c>
      <c r="P80" s="1304"/>
      <c r="Q80" s="2030"/>
      <c r="R80" s="2030"/>
      <c r="S80" s="2030"/>
      <c r="T80" s="2030"/>
      <c r="U80" s="2030"/>
      <c r="V80" s="2030"/>
    </row>
    <row r="81" spans="1:26" ht="13.5" thickBot="1">
      <c r="A81" s="381" t="s">
        <v>1822</v>
      </c>
      <c r="B81" s="371" t="s">
        <v>430</v>
      </c>
      <c r="C81" s="372">
        <f ca="1">ROUND((C82+C83)/(1+'数据-取费表'!C42),0)</f>
        <v>19554</v>
      </c>
      <c r="D81" s="373"/>
      <c r="E81" s="374"/>
      <c r="F81" s="42"/>
      <c r="G81" s="42"/>
      <c r="H81" s="1003"/>
      <c r="I81" s="311"/>
      <c r="J81" s="2030"/>
      <c r="K81" s="3056">
        <f>K79+1</f>
        <v>6</v>
      </c>
      <c r="L81" s="3325" t="s">
        <v>2884</v>
      </c>
      <c r="M81" s="3326"/>
      <c r="N81" s="1306"/>
      <c r="O81" s="1307">
        <f ca="1">ROUND(O79*10000/'数据-汇总表'!E3,0)</f>
        <v>1929</v>
      </c>
      <c r="P81" s="1308"/>
      <c r="Q81" s="2030"/>
      <c r="R81" s="2030"/>
      <c r="S81" s="2030"/>
      <c r="T81" s="2030"/>
      <c r="U81" s="2030"/>
      <c r="V81" s="2030"/>
    </row>
    <row r="82" spans="1:26" ht="13.5" thickTop="1">
      <c r="A82" s="375" t="s">
        <v>1823</v>
      </c>
      <c r="B82" s="376" t="s">
        <v>431</v>
      </c>
      <c r="C82" s="377">
        <f ca="1">D63</f>
        <v>20532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1824</v>
      </c>
      <c r="B83" s="376" t="s">
        <v>432</v>
      </c>
      <c r="C83" s="380">
        <v>0</v>
      </c>
      <c r="D83" s="378"/>
      <c r="E83" s="379"/>
      <c r="F83" s="42"/>
      <c r="G83" s="42"/>
      <c r="H83" s="1003"/>
      <c r="I83" s="311"/>
      <c r="J83" s="2030"/>
      <c r="K83" s="3300" t="s">
        <v>2872</v>
      </c>
      <c r="L83" s="3068" t="s">
        <v>2873</v>
      </c>
      <c r="M83" s="3058">
        <f ca="1">IF(N69&gt;10000,N69*0.5%,IF(AND(N69&gt;1000,N69&lt;=10000),N69*1%,IF(AND(N69&gt;100,N69&lt;=1000),N69*3%,IF(AND(N69&gt;10,N69&lt;=100),N69*5%,N69*8%))))</f>
        <v>102.66</v>
      </c>
      <c r="N83" s="53">
        <f ca="1">ROUND(M83,1)</f>
        <v>102.7</v>
      </c>
      <c r="O83" s="3061"/>
      <c r="P83" s="2030"/>
      <c r="Q83" s="2030"/>
      <c r="R83" s="2030"/>
      <c r="S83" s="2030"/>
      <c r="T83" s="2030"/>
      <c r="U83" s="2030"/>
      <c r="V83" s="2030"/>
    </row>
    <row r="84" spans="1:26" ht="12.75">
      <c r="A84" s="381" t="s">
        <v>1825</v>
      </c>
      <c r="B84" s="382" t="s">
        <v>433</v>
      </c>
      <c r="C84" s="383">
        <v>2000</v>
      </c>
      <c r="D84" s="384" t="s">
        <v>19</v>
      </c>
      <c r="E84" s="3101" t="s">
        <v>2938</v>
      </c>
      <c r="F84" s="42"/>
      <c r="G84" s="42"/>
      <c r="H84" s="1003"/>
      <c r="I84" s="311"/>
      <c r="J84" s="2030"/>
      <c r="K84" s="3300"/>
      <c r="L84" s="3068" t="s">
        <v>2874</v>
      </c>
      <c r="M84" s="3058">
        <f ca="1">IF(N69&gt;2000,N69*0.5%,IF(AND(N69&gt;1000,N69&lt;=2000),N69*0.6%,IF(AND(N69&gt;500,N69&lt;=1000),N69*0.7%,IF(AND(N69&gt;200,N69&lt;=500),N69*0.8%,IF(AND(N69&gt;100,N69&lt;=200),N69*0.9%,IF(AND(N69&gt;50,N69&lt;=100),N69*1%,IF(AND(N69&gt;20,N69&lt;=50),N69*1.5%,IF(AND(N69&gt;10,N69&lt;=20),N69*2%,IF(AND(N69&gt;1,N69&lt;=10),N69*2.5%)))))))))</f>
        <v>102.66</v>
      </c>
      <c r="N84" s="53">
        <f t="shared" ref="N84:N85" ca="1" si="2">ROUND(M84,1)</f>
        <v>102.7</v>
      </c>
      <c r="O84" s="2030" t="s">
        <v>2875</v>
      </c>
      <c r="P84" s="2030"/>
      <c r="Q84" s="2030"/>
      <c r="R84" s="2030"/>
      <c r="S84" s="2030"/>
      <c r="T84" s="2030"/>
      <c r="U84" s="2030"/>
      <c r="V84" s="2030"/>
    </row>
    <row r="85" spans="1:26" ht="12.75">
      <c r="A85" s="381" t="s">
        <v>1826</v>
      </c>
      <c r="B85" s="382" t="s">
        <v>434</v>
      </c>
      <c r="C85" s="385">
        <f ca="1">C81-C84</f>
        <v>17554</v>
      </c>
      <c r="D85" s="378" t="s">
        <v>19</v>
      </c>
      <c r="E85" s="379"/>
      <c r="F85" s="42"/>
      <c r="G85" s="42"/>
      <c r="H85" s="1003"/>
      <c r="I85" s="311"/>
      <c r="J85" s="2030"/>
      <c r="K85" s="3300"/>
      <c r="L85" s="3068" t="s">
        <v>2876</v>
      </c>
      <c r="M85" s="3058">
        <f ca="1">IF(N69&gt;1000,N69*0.1%,IF(AND(N69&gt;500,N69&lt;=1000),N69*0.5%,IF(AND(N69&gt;50,N69&lt;=500),N69*1%,IF(AND(N69&gt;1,N69&lt;=50),N69*1.5%))))</f>
        <v>20.532</v>
      </c>
      <c r="N85" s="53">
        <f t="shared" ca="1" si="2"/>
        <v>20.5</v>
      </c>
      <c r="O85" s="2030" t="s">
        <v>2875</v>
      </c>
      <c r="P85" s="2030"/>
      <c r="Q85" s="2030"/>
      <c r="R85" s="2030"/>
      <c r="S85" s="2030"/>
      <c r="T85" s="2030"/>
      <c r="U85" s="2030"/>
      <c r="V85" s="2030"/>
    </row>
    <row r="86" spans="1:26" ht="13.5" thickBot="1">
      <c r="A86" s="386" t="s">
        <v>1827</v>
      </c>
      <c r="B86" s="387" t="s">
        <v>435</v>
      </c>
      <c r="C86" s="388">
        <f ca="1">IF(C85&lt;=0,0,ROUND(C85*D86,0))</f>
        <v>983</v>
      </c>
      <c r="D86" s="389">
        <f>'数据-取费表'!B41</f>
        <v>5.6000000000000001E-2</v>
      </c>
      <c r="E86" s="390"/>
      <c r="F86" s="42"/>
      <c r="G86" s="42"/>
      <c r="H86" s="1003"/>
      <c r="I86" s="311"/>
      <c r="J86" s="2030"/>
      <c r="K86" s="3300"/>
      <c r="L86" s="3068" t="s">
        <v>2877</v>
      </c>
      <c r="M86" s="3058">
        <f ca="1">N69*0.5%</f>
        <v>102.66</v>
      </c>
      <c r="N86" s="53">
        <f ca="1">IF(M86&gt;0.5,0.5,ROUND(M86,0))</f>
        <v>0.5</v>
      </c>
      <c r="O86" s="2030" t="s">
        <v>2878</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00"/>
      <c r="L87" s="3068" t="s">
        <v>2879</v>
      </c>
      <c r="M87" s="3058">
        <f ca="1">IF(N69&gt;=10000,(8.25+(N69-10000)*0.01%),IF(AND(N69&gt;=8000,N69&lt;10000),(7.85+(N69-8000)*0.02%),IF(AND(N69&gt;=5000,N69&lt;8000),(6.65+(N69-5000)*0.04%),IF(AND(N69&gt;=2000,N69&lt;5000),(4.25+(PN69-2000)*0.08%),IF(AND(N69&gt;=1000,N69&lt;2000),(2.75+(N69-1000)*0.15%),IF(AND(N69&gt;=100,N69&lt;1000),(0.5+(N69-100)*0.25%),IF(AND(N69&gt;0,N69&lt;100),N69*0.5%)))))))</f>
        <v>9.3032000000000004</v>
      </c>
      <c r="N87" s="53">
        <f ca="1">ROUND(M87*0.9,1)</f>
        <v>8.4</v>
      </c>
      <c r="O87" s="3061"/>
      <c r="P87" s="311"/>
      <c r="Q87" s="2030"/>
      <c r="R87" s="2030"/>
      <c r="S87" s="2030"/>
      <c r="T87" s="2030"/>
      <c r="U87" s="2030"/>
      <c r="V87" s="2030"/>
      <c r="W87" s="292"/>
      <c r="X87" s="292"/>
      <c r="Y87" s="292"/>
      <c r="Z87" s="292"/>
    </row>
    <row r="88" spans="1:26" s="1314" customFormat="1" ht="15" thickBot="1">
      <c r="A88" s="3354" t="s">
        <v>436</v>
      </c>
      <c r="B88" s="3355"/>
      <c r="C88" s="3355"/>
      <c r="D88" s="3355"/>
      <c r="E88" s="3355"/>
      <c r="F88" s="3355"/>
      <c r="G88" s="3355"/>
      <c r="H88" s="3355"/>
      <c r="I88" s="1315"/>
      <c r="J88" s="2038"/>
      <c r="K88" s="3300"/>
      <c r="L88" s="3068" t="s">
        <v>2880</v>
      </c>
      <c r="M88" s="3058">
        <f ca="1">IF(N69&gt;10000,N69*0.5%,IF(AND(N69&gt;5000,N69&lt;=10000),N69*1%,IF(AND(N69&gt;1000,N69&lt;=5000),N69*2%,IF(AND(N69&gt;200,N69&lt;=1000),N69*3%,N69*5%))))</f>
        <v>102.66</v>
      </c>
      <c r="N88" s="53">
        <f ca="1">ROUND(M88,1)</f>
        <v>102.7</v>
      </c>
      <c r="O88" s="3061"/>
      <c r="P88" s="11"/>
      <c r="Q88" s="2035"/>
      <c r="R88" s="2035"/>
      <c r="S88" s="2035"/>
      <c r="T88" s="2035"/>
      <c r="U88" s="2035"/>
      <c r="V88" s="2035"/>
      <c r="W88" s="2039"/>
      <c r="X88" s="2039"/>
      <c r="Y88" s="2039"/>
      <c r="Z88" s="2039"/>
    </row>
    <row r="89" spans="1:26" s="1314" customFormat="1" ht="14.25">
      <c r="A89" s="3318" t="s">
        <v>427</v>
      </c>
      <c r="B89" s="3319"/>
      <c r="C89" s="994"/>
      <c r="D89" s="994" t="s">
        <v>428</v>
      </c>
      <c r="E89" s="391" t="s">
        <v>437</v>
      </c>
      <c r="F89" s="392"/>
      <c r="G89" s="392"/>
      <c r="H89" s="393"/>
      <c r="I89" s="1316"/>
      <c r="J89" s="2040"/>
      <c r="K89" s="3300"/>
      <c r="L89" s="3068" t="s">
        <v>27</v>
      </c>
      <c r="M89" s="3059"/>
      <c r="N89" s="53">
        <f ca="1">ROUND(SUM(N83:N88),0)</f>
        <v>338</v>
      </c>
      <c r="O89" s="3069">
        <f ca="1">N89/N69</f>
        <v>1.6462107929086305E-2</v>
      </c>
      <c r="P89" s="2035"/>
      <c r="Q89" s="2035"/>
      <c r="R89" s="2035"/>
      <c r="S89" s="2035"/>
      <c r="T89" s="2035"/>
      <c r="U89" s="2035"/>
      <c r="V89" s="2035"/>
      <c r="W89" s="2039"/>
      <c r="X89" s="2039"/>
      <c r="Y89" s="2039"/>
      <c r="Z89" s="2039"/>
    </row>
    <row r="90" spans="1:26" s="1314" customFormat="1" ht="14.25">
      <c r="A90" s="381" t="s">
        <v>1822</v>
      </c>
      <c r="B90" s="382" t="s">
        <v>438</v>
      </c>
      <c r="C90" s="385">
        <f ca="1">ROUND(D63/(1+'数据-取费表'!C42),0)</f>
        <v>19554</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1828</v>
      </c>
      <c r="B91" s="348" t="s">
        <v>439</v>
      </c>
      <c r="C91" s="385">
        <f ca="1">C92+C96</f>
        <v>2678</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1829</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1830</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1831</v>
      </c>
      <c r="B94" s="400" t="s">
        <v>445</v>
      </c>
      <c r="C94" s="378">
        <f>IF(F93="购房发票",ROUND(C93*H93*5%,0),0)</f>
        <v>500</v>
      </c>
      <c r="D94" s="401">
        <v>0.05</v>
      </c>
      <c r="E94" s="3351" t="s">
        <v>446</v>
      </c>
      <c r="F94" s="3352"/>
      <c r="G94" s="3352"/>
      <c r="H94" s="3353"/>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2429</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1833</v>
      </c>
      <c r="B96" s="376" t="s">
        <v>449</v>
      </c>
      <c r="C96" s="405">
        <f ca="1">ROUND(D63*D96/(1+'数据-取费表'!C42),0)</f>
        <v>117</v>
      </c>
      <c r="D96" s="406">
        <f>'数据-取费表'!B43</f>
        <v>6.000000000000001E-3</v>
      </c>
      <c r="E96" s="3341" t="s">
        <v>2428</v>
      </c>
      <c r="F96" s="3342"/>
      <c r="G96" s="3342"/>
      <c r="H96" s="3343"/>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1834</v>
      </c>
      <c r="B97" s="382" t="s">
        <v>450</v>
      </c>
      <c r="C97" s="385">
        <f ca="1">C90-C91</f>
        <v>16876</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1835</v>
      </c>
      <c r="B98" s="382" t="s">
        <v>451</v>
      </c>
      <c r="C98" s="407">
        <f ca="1">IF(C97&lt;=0,0,C97/C91)</f>
        <v>6.3017176997759519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1836</v>
      </c>
      <c r="B99" s="387" t="s">
        <v>452</v>
      </c>
      <c r="C99" s="408">
        <f ca="1">ROUND(IF(C97&lt;=0,0,IF(C98&gt;=200%,C97*60%-C91*35%,IF(C98&gt;=100%,C97*50%-C91*15%,IF(C98&gt;=50%,C97*40%-C91*5%,IF(C98&lt;50%,C97*30%,0))))),0)</f>
        <v>9188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54" t="s">
        <v>453</v>
      </c>
      <c r="B101" s="3355"/>
      <c r="C101" s="3355"/>
      <c r="D101" s="3355"/>
      <c r="E101" s="3355"/>
      <c r="F101" s="3355"/>
      <c r="G101" s="3355"/>
      <c r="H101" s="3355"/>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18" t="s">
        <v>427</v>
      </c>
      <c r="B102" s="3319"/>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1822</v>
      </c>
      <c r="B103" s="382" t="s">
        <v>438</v>
      </c>
      <c r="C103" s="385">
        <f ca="1">ROUND(D63/(1+'数据-取费表'!C42),0)</f>
        <v>19554</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1828</v>
      </c>
      <c r="B104" s="348" t="s">
        <v>439</v>
      </c>
      <c r="C104" s="385">
        <f ca="1">IF(H106="仅含出让金",C105+C108+C109+C110+C111+C112,C105+C109+C110+C111+C112)</f>
        <v>45467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1829</v>
      </c>
      <c r="B105" s="376" t="s">
        <v>454</v>
      </c>
      <c r="C105" s="405">
        <f>C106+C107</f>
        <v>41227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1830</v>
      </c>
      <c r="B106" s="376" t="s">
        <v>455</v>
      </c>
      <c r="C106" s="416">
        <v>40007</v>
      </c>
      <c r="D106" s="406"/>
      <c r="E106" s="417" t="s">
        <v>456</v>
      </c>
      <c r="F106" s="986"/>
      <c r="G106" s="418" t="s">
        <v>457</v>
      </c>
      <c r="H106" s="419" t="s">
        <v>3078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1831</v>
      </c>
      <c r="B107" s="376" t="s">
        <v>447</v>
      </c>
      <c r="C107" s="405">
        <f>ROUND(C106*D107,0)</f>
        <v>1220</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1833</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1837</v>
      </c>
      <c r="B109" s="376" t="s">
        <v>460</v>
      </c>
      <c r="C109" s="405">
        <f>IF(H109="——",IF(F1="现房",'剩余法-现房'!C18,'剩余法-待开发'!C18),I109)</f>
        <v>0</v>
      </c>
      <c r="D109" s="406"/>
      <c r="E109" s="3344" t="s">
        <v>461</v>
      </c>
      <c r="F109" s="3342"/>
      <c r="G109" s="3342"/>
      <c r="H109" s="1943" t="s">
        <v>3081</v>
      </c>
      <c r="I109" s="1944"/>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1838</v>
      </c>
      <c r="B110" s="376" t="s">
        <v>462</v>
      </c>
      <c r="C110" s="405">
        <f>ROUND((C105+C108+C109)*D110,0)</f>
        <v>4123</v>
      </c>
      <c r="D110" s="406">
        <v>0.1</v>
      </c>
      <c r="E110" s="3344" t="s">
        <v>463</v>
      </c>
      <c r="F110" s="3342"/>
      <c r="G110" s="3342"/>
      <c r="H110" s="3343"/>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1839</v>
      </c>
      <c r="B111" s="376" t="s">
        <v>449</v>
      </c>
      <c r="C111" s="405">
        <f ca="1">ROUND(D63*D111/(1+'数据-取费表'!C42),0)</f>
        <v>117</v>
      </c>
      <c r="D111" s="406">
        <f>'数据-取费表'!B43</f>
        <v>6.000000000000001E-3</v>
      </c>
      <c r="E111" s="3341" t="s">
        <v>2428</v>
      </c>
      <c r="F111" s="3342"/>
      <c r="G111" s="3342"/>
      <c r="H111" s="3343"/>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1840</v>
      </c>
      <c r="B112" s="376" t="s">
        <v>464</v>
      </c>
      <c r="C112" s="405">
        <f>ROUND(C108*D112,0)</f>
        <v>0</v>
      </c>
      <c r="D112" s="406">
        <v>0.2</v>
      </c>
      <c r="E112" s="3344" t="s">
        <v>2452</v>
      </c>
      <c r="F112" s="3342"/>
      <c r="G112" s="3342"/>
      <c r="H112" s="3343"/>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1834</v>
      </c>
      <c r="B113" s="382" t="s">
        <v>450</v>
      </c>
      <c r="C113" s="385">
        <f ca="1">ROUND(C103-C104,0)</f>
        <v>-25913</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1835</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1836</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K29" sqref="K29"/>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19813</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1683</v>
      </c>
      <c r="B3" s="510">
        <f>ROUND(B2*10000/'数据-汇总表'!E3,0)</f>
        <v>1967</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4918</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328</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399" t="s">
        <v>521</v>
      </c>
      <c r="D6" s="3400"/>
      <c r="E6" s="3399" t="s">
        <v>522</v>
      </c>
      <c r="F6" s="3400"/>
      <c r="G6" s="3399" t="s">
        <v>523</v>
      </c>
      <c r="H6" s="3400"/>
      <c r="I6" s="3399" t="s">
        <v>524</v>
      </c>
      <c r="J6" s="3400"/>
      <c r="K6" s="514" t="s">
        <v>525</v>
      </c>
      <c r="L6" s="2135"/>
      <c r="M6" s="2134"/>
      <c r="N6" s="2134"/>
      <c r="O6" s="2136"/>
      <c r="P6" s="3401" t="s">
        <v>526</v>
      </c>
      <c r="Q6" s="3402"/>
      <c r="R6" s="3387" t="s">
        <v>522</v>
      </c>
      <c r="S6" s="3388"/>
      <c r="T6" s="3387" t="s">
        <v>523</v>
      </c>
      <c r="U6" s="3388"/>
      <c r="V6" s="3407" t="s">
        <v>524</v>
      </c>
      <c r="W6" s="3407"/>
      <c r="X6" s="1568"/>
      <c r="Y6" s="3387" t="s">
        <v>526</v>
      </c>
      <c r="Z6" s="3388"/>
      <c r="AA6" s="3382" t="s">
        <v>522</v>
      </c>
      <c r="AB6" s="3383" t="s">
        <v>523</v>
      </c>
      <c r="AC6" s="3382" t="s">
        <v>524</v>
      </c>
    </row>
    <row r="7" spans="1:30" ht="20.25">
      <c r="A7" s="515"/>
      <c r="B7" s="516"/>
      <c r="C7" s="3410" t="s">
        <v>2925</v>
      </c>
      <c r="D7" s="3411"/>
      <c r="E7" s="3410" t="str">
        <f>土地案例!A14</f>
        <v>巴南区南彭功能区组团B分区B10-1/01、B11-1/02</v>
      </c>
      <c r="F7" s="3411"/>
      <c r="G7" s="3410" t="str">
        <f>土地案例!A7</f>
        <v>巴南区李家沱-鱼洞组团P分区P06-02/03号宗地</v>
      </c>
      <c r="H7" s="3411"/>
      <c r="I7" s="3410" t="str">
        <f>土地案例!A25</f>
        <v>巴南区李家沱-鱼洞组团O分区O24-5/04号宗地</v>
      </c>
      <c r="J7" s="3411"/>
      <c r="K7" s="514"/>
      <c r="L7" s="2135"/>
      <c r="M7" s="2134"/>
      <c r="N7" s="2134"/>
      <c r="O7" s="2136"/>
      <c r="P7" s="3403"/>
      <c r="Q7" s="3404"/>
      <c r="R7" s="3389"/>
      <c r="S7" s="3390"/>
      <c r="T7" s="3389"/>
      <c r="U7" s="3390"/>
      <c r="V7" s="3407"/>
      <c r="W7" s="3407"/>
      <c r="X7" s="1568"/>
      <c r="Y7" s="3389"/>
      <c r="Z7" s="3390"/>
      <c r="AA7" s="3383"/>
      <c r="AB7" s="3383"/>
      <c r="AC7" s="3383"/>
    </row>
    <row r="8" spans="1:30" ht="21" thickBot="1">
      <c r="A8" s="515"/>
      <c r="B8" s="516"/>
      <c r="C8" s="3412" t="s">
        <v>2929</v>
      </c>
      <c r="D8" s="3413"/>
      <c r="E8" s="3412" t="s">
        <v>2929</v>
      </c>
      <c r="F8" s="3413"/>
      <c r="G8" s="3408" t="s">
        <v>2929</v>
      </c>
      <c r="H8" s="3409"/>
      <c r="I8" s="3408" t="s">
        <v>2929</v>
      </c>
      <c r="J8" s="3409"/>
      <c r="K8" s="514" t="s">
        <v>527</v>
      </c>
      <c r="L8" s="2135"/>
      <c r="M8" s="2134"/>
      <c r="N8" s="2134"/>
      <c r="O8" s="2136"/>
      <c r="P8" s="3405"/>
      <c r="Q8" s="3406"/>
      <c r="R8" s="3389"/>
      <c r="S8" s="3390"/>
      <c r="T8" s="3391"/>
      <c r="U8" s="3392"/>
      <c r="V8" s="3407"/>
      <c r="W8" s="3407"/>
      <c r="X8" s="1568"/>
      <c r="Y8" s="3391"/>
      <c r="Z8" s="3392"/>
      <c r="AA8" s="3384"/>
      <c r="AB8" s="3384"/>
      <c r="AC8" s="3384"/>
    </row>
    <row r="9" spans="1:30" s="1220" customFormat="1" ht="21" thickBot="1">
      <c r="A9" s="2914"/>
      <c r="B9" s="2921" t="s">
        <v>528</v>
      </c>
      <c r="C9" s="2913">
        <f>'数据-取费表'!B2</f>
        <v>43446</v>
      </c>
      <c r="D9" s="520">
        <v>100</v>
      </c>
      <c r="E9" s="521" t="str">
        <f>土地案例!H14</f>
        <v>2018-01-18</v>
      </c>
      <c r="F9" s="522">
        <f>SUMIF(72:72,YEAR(E9)&amp;"-"&amp;INT((MONTH(E9)+2)/3),73:73)</f>
        <v>97</v>
      </c>
      <c r="G9" s="523" t="str">
        <f>土地案例!H7</f>
        <v>2018-06-19</v>
      </c>
      <c r="H9" s="520">
        <f>SUMIF(72:72,YEAR(G9)&amp;"-"&amp;INT((MONTH(G9)+2)/3),73:73)</f>
        <v>98</v>
      </c>
      <c r="I9" s="523" t="str">
        <f>土地案例!H25</f>
        <v>2017-07-31</v>
      </c>
      <c r="J9" s="520">
        <f>SUMIF(72:72,YEAR(I9)&amp;"-"&amp;INT((MONTH(I9)+2)/3),73:73)</f>
        <v>95</v>
      </c>
      <c r="K9" s="524"/>
      <c r="L9" s="2137"/>
      <c r="M9" s="2134"/>
      <c r="N9" s="2134"/>
      <c r="O9" s="2138"/>
      <c r="P9" s="3385" t="s">
        <v>529</v>
      </c>
      <c r="Q9" s="3394"/>
      <c r="R9" s="1569" t="s">
        <v>8</v>
      </c>
      <c r="S9" s="1570">
        <f t="shared" ref="S9:S17" si="0">F9</f>
        <v>97</v>
      </c>
      <c r="T9" s="1569" t="s">
        <v>8</v>
      </c>
      <c r="U9" s="1570">
        <f t="shared" ref="U9:U17" si="1">H9</f>
        <v>98</v>
      </c>
      <c r="V9" s="1569" t="s">
        <v>8</v>
      </c>
      <c r="W9" s="1570">
        <f t="shared" ref="W9:W17" si="2">J9</f>
        <v>95</v>
      </c>
      <c r="X9" s="1571"/>
      <c r="Y9" s="3385" t="s">
        <v>529</v>
      </c>
      <c r="Z9" s="3386"/>
      <c r="AA9" s="1572">
        <f>D9/F9</f>
        <v>1.0309278350515463</v>
      </c>
      <c r="AB9" s="1572">
        <f>D9/H9</f>
        <v>1.0204081632653061</v>
      </c>
      <c r="AC9" s="1572">
        <f>D9/J9</f>
        <v>1.0526315789473684</v>
      </c>
    </row>
    <row r="10" spans="1:30" s="1220" customFormat="1" ht="21" thickBot="1">
      <c r="A10" s="2915"/>
      <c r="B10" s="2922" t="s">
        <v>530</v>
      </c>
      <c r="C10" s="856" t="s">
        <v>531</v>
      </c>
      <c r="D10" s="520">
        <v>100</v>
      </c>
      <c r="E10" s="525" t="s">
        <v>3013</v>
      </c>
      <c r="F10" s="522">
        <f>SUMIF(75:75,E10,76:76)-SUMIF(75:75,C10,76:76)+100</f>
        <v>100</v>
      </c>
      <c r="G10" s="525" t="s">
        <v>3013</v>
      </c>
      <c r="H10" s="520">
        <f>SUMIF(75:75,G10,76:76)-SUMIF(75:75,C10,76:76)+100</f>
        <v>100</v>
      </c>
      <c r="I10" s="525" t="s">
        <v>3013</v>
      </c>
      <c r="J10" s="520">
        <f>SUMIF(75:75,I10,76:76)-SUMIF(75:75,C10,76:76)+100</f>
        <v>100</v>
      </c>
      <c r="K10" s="524"/>
      <c r="L10" s="2137"/>
      <c r="M10" s="2134"/>
      <c r="N10" s="2134"/>
      <c r="O10" s="2138"/>
      <c r="P10" s="3385" t="s">
        <v>532</v>
      </c>
      <c r="Q10" s="3386"/>
      <c r="R10" s="1569" t="s">
        <v>8</v>
      </c>
      <c r="S10" s="1570">
        <f t="shared" si="0"/>
        <v>100</v>
      </c>
      <c r="T10" s="1569" t="s">
        <v>8</v>
      </c>
      <c r="U10" s="1570">
        <f t="shared" si="1"/>
        <v>100</v>
      </c>
      <c r="V10" s="1569" t="s">
        <v>8</v>
      </c>
      <c r="W10" s="1570">
        <f t="shared" si="2"/>
        <v>100</v>
      </c>
      <c r="X10" s="1571"/>
      <c r="Y10" s="3385" t="s">
        <v>532</v>
      </c>
      <c r="Z10" s="3386"/>
      <c r="AA10" s="1572">
        <f t="shared" ref="AA10:AA47" si="3">D10/F10</f>
        <v>1</v>
      </c>
      <c r="AB10" s="1572">
        <f t="shared" ref="AB10:AB47" si="4">D10/H10</f>
        <v>1</v>
      </c>
      <c r="AC10" s="1572">
        <f t="shared" ref="AC10:AC47" si="5">D10/J10</f>
        <v>1</v>
      </c>
    </row>
    <row r="11" spans="1:30" s="1220" customFormat="1" ht="20.25">
      <c r="A11" s="2916"/>
      <c r="B11" s="2923" t="s">
        <v>2754</v>
      </c>
      <c r="C11" s="2910" t="s">
        <v>922</v>
      </c>
      <c r="D11" s="254">
        <v>100</v>
      </c>
      <c r="E11" s="2910" t="s">
        <v>922</v>
      </c>
      <c r="F11" s="254">
        <f>SUMIF(77:77,E11,78:78)-SUMIF(77:77,C11,78:78)+100</f>
        <v>100</v>
      </c>
      <c r="G11" s="2910" t="s">
        <v>922</v>
      </c>
      <c r="H11" s="254">
        <f>SUMIF(77:77,G11,78:78)-SUMIF(77:77,C11,78:78)+100</f>
        <v>100</v>
      </c>
      <c r="I11" s="2910" t="s">
        <v>922</v>
      </c>
      <c r="J11" s="254">
        <f>SUMIF(77:77,I11,78:78)-SUMIF(77:77,C11,78:78)+100</f>
        <v>100</v>
      </c>
      <c r="K11" s="524"/>
      <c r="L11" s="2137"/>
      <c r="M11" s="2134"/>
      <c r="N11" s="2134"/>
      <c r="O11" s="2139"/>
      <c r="P11" s="3393" t="s">
        <v>534</v>
      </c>
      <c r="Q11" s="1151" t="str">
        <f t="shared" ref="Q11:Q17" si="6">B11</f>
        <v>用途</v>
      </c>
      <c r="R11" s="1569" t="s">
        <v>8</v>
      </c>
      <c r="S11" s="1570">
        <f t="shared" si="0"/>
        <v>100</v>
      </c>
      <c r="T11" s="1569" t="s">
        <v>8</v>
      </c>
      <c r="U11" s="1570">
        <f t="shared" si="1"/>
        <v>100</v>
      </c>
      <c r="V11" s="1569" t="s">
        <v>8</v>
      </c>
      <c r="W11" s="1570">
        <f t="shared" si="2"/>
        <v>100</v>
      </c>
      <c r="X11" s="1571"/>
      <c r="Y11" s="3350" t="s">
        <v>535</v>
      </c>
      <c r="Z11" s="1150" t="str">
        <f t="shared" ref="Z11:Z17" si="7">Q11</f>
        <v>用途</v>
      </c>
      <c r="AA11" s="1572">
        <f t="shared" si="3"/>
        <v>1</v>
      </c>
      <c r="AB11" s="1572">
        <f t="shared" si="4"/>
        <v>1</v>
      </c>
      <c r="AC11" s="1572">
        <f t="shared" si="5"/>
        <v>1</v>
      </c>
    </row>
    <row r="12" spans="1:30" s="1338" customFormat="1" ht="27">
      <c r="A12" s="2917"/>
      <c r="B12" s="2922" t="s">
        <v>2755</v>
      </c>
      <c r="C12" s="910"/>
      <c r="D12" s="255">
        <v>100</v>
      </c>
      <c r="E12" s="529"/>
      <c r="F12" s="255">
        <f>ROUND(100/'数据-取费表'!G16,0)</f>
        <v>106</v>
      </c>
      <c r="G12" s="530"/>
      <c r="H12" s="255">
        <f>ROUND(100/'数据-取费表'!G16,0)</f>
        <v>106</v>
      </c>
      <c r="I12" s="530"/>
      <c r="J12" s="255">
        <f>ROUND(100/'数据-取费表'!G16,0)</f>
        <v>106</v>
      </c>
      <c r="K12" s="531"/>
      <c r="L12" s="2140"/>
      <c r="M12" s="2134"/>
      <c r="N12" s="2134"/>
      <c r="O12" s="2141"/>
      <c r="P12" s="3393"/>
      <c r="Q12" s="1151" t="str">
        <f t="shared" si="6"/>
        <v>土地使用年限（年）</v>
      </c>
      <c r="R12" s="1569" t="s">
        <v>8</v>
      </c>
      <c r="S12" s="1570">
        <f t="shared" si="0"/>
        <v>106</v>
      </c>
      <c r="T12" s="1569" t="s">
        <v>8</v>
      </c>
      <c r="U12" s="1570">
        <f t="shared" si="1"/>
        <v>106</v>
      </c>
      <c r="V12" s="1569" t="s">
        <v>8</v>
      </c>
      <c r="W12" s="1570">
        <f t="shared" si="2"/>
        <v>106</v>
      </c>
      <c r="X12" s="1571"/>
      <c r="Y12" s="3350"/>
      <c r="Z12" s="1150" t="str">
        <f t="shared" si="7"/>
        <v>土地使用年限（年）</v>
      </c>
      <c r="AA12" s="1572">
        <f t="shared" si="3"/>
        <v>0.94339622641509435</v>
      </c>
      <c r="AB12" s="1572">
        <f t="shared" si="4"/>
        <v>0.94339622641509435</v>
      </c>
      <c r="AC12" s="1572">
        <f t="shared" si="5"/>
        <v>0.94339622641509435</v>
      </c>
    </row>
    <row r="13" spans="1:30" ht="20.25">
      <c r="A13" s="2918"/>
      <c r="B13" s="2922" t="s">
        <v>2756</v>
      </c>
      <c r="C13" s="3204">
        <v>2.5</v>
      </c>
      <c r="D13" s="255">
        <v>100</v>
      </c>
      <c r="E13" s="533">
        <v>1.84</v>
      </c>
      <c r="F13" s="255">
        <f>LOOKUP(E13,82:82,83:83)-LOOKUP(C13,82:82,83:83)+100</f>
        <v>105</v>
      </c>
      <c r="G13" s="534">
        <v>2.5</v>
      </c>
      <c r="H13" s="255">
        <f>LOOKUP(G13,82:82,83:83)-LOOKUP(C13,82:82,83:83)+100</f>
        <v>100</v>
      </c>
      <c r="I13" s="533">
        <v>3.6</v>
      </c>
      <c r="J13" s="255">
        <f>LOOKUP(I13,82:82,83:83)-LOOKUP(C13,82:82,83:83)+100</f>
        <v>95</v>
      </c>
      <c r="K13" s="535">
        <v>5</v>
      </c>
      <c r="L13" s="2142"/>
      <c r="M13" s="2134"/>
      <c r="N13" s="2134"/>
      <c r="O13" s="2143"/>
      <c r="P13" s="3393"/>
      <c r="Q13" s="1151" t="str">
        <f t="shared" si="6"/>
        <v>容积率</v>
      </c>
      <c r="R13" s="1569" t="s">
        <v>8</v>
      </c>
      <c r="S13" s="1570">
        <f t="shared" si="0"/>
        <v>105</v>
      </c>
      <c r="T13" s="1569" t="s">
        <v>8</v>
      </c>
      <c r="U13" s="1570">
        <f t="shared" si="1"/>
        <v>100</v>
      </c>
      <c r="V13" s="1569" t="s">
        <v>8</v>
      </c>
      <c r="W13" s="1570">
        <f t="shared" si="2"/>
        <v>95</v>
      </c>
      <c r="X13" s="1571"/>
      <c r="Y13" s="3350"/>
      <c r="Z13" s="1150" t="str">
        <f t="shared" si="7"/>
        <v>容积率</v>
      </c>
      <c r="AA13" s="1572">
        <f t="shared" si="3"/>
        <v>0.95238095238095233</v>
      </c>
      <c r="AB13" s="1572">
        <f t="shared" si="4"/>
        <v>1</v>
      </c>
      <c r="AC13" s="1572">
        <f t="shared" si="5"/>
        <v>1.0526315789473684</v>
      </c>
    </row>
    <row r="14" spans="1:30" s="1220" customFormat="1" ht="20.25">
      <c r="A14" s="2915"/>
      <c r="B14" s="2924" t="s">
        <v>2757</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93"/>
      <c r="Q14" s="1151" t="str">
        <f t="shared" si="6"/>
        <v>配建</v>
      </c>
      <c r="R14" s="1569" t="s">
        <v>8</v>
      </c>
      <c r="S14" s="1570">
        <f t="shared" si="0"/>
        <v>100</v>
      </c>
      <c r="T14" s="1569" t="s">
        <v>8</v>
      </c>
      <c r="U14" s="1570">
        <f t="shared" si="1"/>
        <v>100</v>
      </c>
      <c r="V14" s="1569" t="s">
        <v>8</v>
      </c>
      <c r="W14" s="1570">
        <f t="shared" si="2"/>
        <v>100</v>
      </c>
      <c r="X14" s="1571"/>
      <c r="Y14" s="3350"/>
      <c r="Z14" s="1150" t="str">
        <f t="shared" si="7"/>
        <v>配建</v>
      </c>
      <c r="AA14" s="1572">
        <f>D14/F14</f>
        <v>1</v>
      </c>
      <c r="AB14" s="1572">
        <f>D14/H14</f>
        <v>1</v>
      </c>
      <c r="AC14" s="1572">
        <f>D14/J14</f>
        <v>1</v>
      </c>
    </row>
    <row r="15" spans="1:30" ht="20.25">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93"/>
      <c r="Q15" s="1151">
        <f t="shared" si="6"/>
        <v>111</v>
      </c>
      <c r="R15" s="1569" t="s">
        <v>8</v>
      </c>
      <c r="S15" s="1570">
        <f t="shared" si="0"/>
        <v>100</v>
      </c>
      <c r="T15" s="1569" t="s">
        <v>8</v>
      </c>
      <c r="U15" s="1570">
        <f t="shared" si="1"/>
        <v>100</v>
      </c>
      <c r="V15" s="1569" t="s">
        <v>8</v>
      </c>
      <c r="W15" s="1570">
        <f t="shared" si="2"/>
        <v>100</v>
      </c>
      <c r="X15" s="1571"/>
      <c r="Y15" s="3350"/>
      <c r="Z15" s="1150">
        <f t="shared" si="7"/>
        <v>111</v>
      </c>
      <c r="AA15" s="1572">
        <f>D15/F15</f>
        <v>1</v>
      </c>
      <c r="AB15" s="1572">
        <f>D15/H15</f>
        <v>1</v>
      </c>
      <c r="AC15" s="1572">
        <f>D15/J15</f>
        <v>1</v>
      </c>
    </row>
    <row r="16" spans="1:30" ht="2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93"/>
      <c r="Q16" s="1151">
        <f t="shared" si="6"/>
        <v>111</v>
      </c>
      <c r="R16" s="1569" t="s">
        <v>8</v>
      </c>
      <c r="S16" s="1570">
        <f t="shared" si="0"/>
        <v>100</v>
      </c>
      <c r="T16" s="1569" t="s">
        <v>8</v>
      </c>
      <c r="U16" s="1570">
        <f t="shared" si="1"/>
        <v>100</v>
      </c>
      <c r="V16" s="1569" t="s">
        <v>8</v>
      </c>
      <c r="W16" s="1570">
        <f t="shared" si="2"/>
        <v>100</v>
      </c>
      <c r="X16" s="1571"/>
      <c r="Y16" s="3350"/>
      <c r="Z16" s="1150">
        <f t="shared" si="7"/>
        <v>111</v>
      </c>
      <c r="AA16" s="1572">
        <f>D16/F16</f>
        <v>1</v>
      </c>
      <c r="AB16" s="1572">
        <f>D16/H16</f>
        <v>1</v>
      </c>
      <c r="AC16" s="1572">
        <f>D16/J16</f>
        <v>1</v>
      </c>
    </row>
    <row r="17" spans="1:29" ht="128.25">
      <c r="A17" s="2912" t="s">
        <v>2752</v>
      </c>
      <c r="B17" s="578" t="s">
        <v>294</v>
      </c>
      <c r="C17" s="548" t="str">
        <f>估价对象房地状况!C15</f>
        <v>估价对象周边居住用地比例较小、钱佳花园海愉半岛花园、钰海帝景等居住小区，社区发展较完善，综合评价居住社区成熟度一般</v>
      </c>
      <c r="D17" s="551">
        <v>100</v>
      </c>
      <c r="E17" s="552"/>
      <c r="F17" s="549">
        <f>SUMIF(90:90,E18,91:91)-SUMIF(90:90,C18,91:91)+100</f>
        <v>105</v>
      </c>
      <c r="G17" s="550"/>
      <c r="H17" s="549">
        <f>SUMIF(90:90,G18,91:91)-SUMIF(90:90,C18,91:91)+100</f>
        <v>105</v>
      </c>
      <c r="I17" s="552"/>
      <c r="J17" s="549">
        <f>SUMIF(90:90,I18,91:91)-SUMIF(90:90,C18,91:91)+100</f>
        <v>110</v>
      </c>
      <c r="K17" s="535">
        <v>5</v>
      </c>
      <c r="L17" s="2144"/>
      <c r="M17" s="2134"/>
      <c r="N17" s="2134"/>
      <c r="O17" s="2143"/>
      <c r="P17" s="3395" t="s">
        <v>539</v>
      </c>
      <c r="Q17" s="1573" t="str">
        <f t="shared" si="6"/>
        <v>居住社区成熟度</v>
      </c>
      <c r="R17" s="1574" t="s">
        <v>8</v>
      </c>
      <c r="S17" s="1575">
        <f t="shared" si="0"/>
        <v>105</v>
      </c>
      <c r="T17" s="1574" t="s">
        <v>8</v>
      </c>
      <c r="U17" s="1575">
        <f t="shared" si="1"/>
        <v>105</v>
      </c>
      <c r="V17" s="1574" t="s">
        <v>8</v>
      </c>
      <c r="W17" s="1575">
        <f t="shared" si="2"/>
        <v>110</v>
      </c>
      <c r="X17" s="1568"/>
      <c r="Y17" s="3395" t="s">
        <v>539</v>
      </c>
      <c r="Z17" s="1576" t="str">
        <f t="shared" si="7"/>
        <v>居住社区成熟度</v>
      </c>
      <c r="AA17" s="1577">
        <f t="shared" si="3"/>
        <v>0.95238095238095233</v>
      </c>
      <c r="AB17" s="1577">
        <f t="shared" si="4"/>
        <v>0.95238095238095233</v>
      </c>
      <c r="AC17" s="1577">
        <f t="shared" si="5"/>
        <v>0.90909090909090906</v>
      </c>
    </row>
    <row r="18" spans="1:29" ht="20.25">
      <c r="A18" s="532"/>
      <c r="B18" s="553"/>
      <c r="C18" s="554" t="s">
        <v>3261</v>
      </c>
      <c r="D18" s="557"/>
      <c r="E18" s="554" t="s">
        <v>3072</v>
      </c>
      <c r="F18" s="555"/>
      <c r="G18" s="554" t="s">
        <v>3072</v>
      </c>
      <c r="H18" s="559"/>
      <c r="I18" s="554" t="s">
        <v>3041</v>
      </c>
      <c r="J18" s="555"/>
      <c r="K18" s="531"/>
      <c r="L18" s="2144"/>
      <c r="M18" s="2134"/>
      <c r="N18" s="2134"/>
      <c r="O18" s="2143"/>
      <c r="P18" s="3396"/>
      <c r="Q18" s="1573"/>
      <c r="R18" s="1574"/>
      <c r="S18" s="1575"/>
      <c r="T18" s="1574"/>
      <c r="U18" s="1575"/>
      <c r="V18" s="1574"/>
      <c r="W18" s="1575"/>
      <c r="X18" s="1568"/>
      <c r="Y18" s="3396"/>
      <c r="Z18" s="1576"/>
      <c r="AA18" s="1577">
        <v>1</v>
      </c>
      <c r="AB18" s="1577">
        <v>1</v>
      </c>
      <c r="AC18" s="1577">
        <v>1</v>
      </c>
    </row>
    <row r="19" spans="1:29" ht="57">
      <c r="A19" s="532"/>
      <c r="B19" s="560" t="s">
        <v>540</v>
      </c>
      <c r="C19" s="561" t="str">
        <f>估价对象房地状况!C16</f>
        <v>估价对象周边商业氛围较差，人流量较小，商业繁华度一般</v>
      </c>
      <c r="D19" s="563">
        <v>100</v>
      </c>
      <c r="E19" s="564"/>
      <c r="F19" s="559">
        <f>SUMIF(92:92,E20,93:93)-SUMIF(92:92,C20,93:93)+100</f>
        <v>100</v>
      </c>
      <c r="G19" s="562"/>
      <c r="H19" s="565">
        <f>SUMIF(92:92,G20,93:93)-SUMIF(92:92,C20,93:93)+100</f>
        <v>103</v>
      </c>
      <c r="I19" s="564"/>
      <c r="J19" s="565">
        <f>SUMIF(92:92,I20,93:93)-SUMIF(92:92,C20,93:93)+100</f>
        <v>100</v>
      </c>
      <c r="K19" s="535">
        <v>3</v>
      </c>
      <c r="L19" s="2144"/>
      <c r="M19" s="2134"/>
      <c r="N19" s="2134"/>
      <c r="O19" s="2143"/>
      <c r="P19" s="3396"/>
      <c r="Q19" s="1573" t="str">
        <f>B19</f>
        <v>商业繁华度</v>
      </c>
      <c r="R19" s="1574" t="s">
        <v>8</v>
      </c>
      <c r="S19" s="1575">
        <f>F19</f>
        <v>100</v>
      </c>
      <c r="T19" s="1574" t="s">
        <v>8</v>
      </c>
      <c r="U19" s="1575">
        <f>H19</f>
        <v>103</v>
      </c>
      <c r="V19" s="1574" t="s">
        <v>8</v>
      </c>
      <c r="W19" s="1575">
        <f>J19</f>
        <v>100</v>
      </c>
      <c r="X19" s="1568"/>
      <c r="Y19" s="3396"/>
      <c r="Z19" s="1576" t="str">
        <f>Q19</f>
        <v>商业繁华度</v>
      </c>
      <c r="AA19" s="1577">
        <f t="shared" si="3"/>
        <v>1</v>
      </c>
      <c r="AB19" s="1577">
        <f t="shared" si="4"/>
        <v>0.970873786407767</v>
      </c>
      <c r="AC19" s="1577">
        <f t="shared" si="5"/>
        <v>1</v>
      </c>
    </row>
    <row r="20" spans="1:29" ht="20.25">
      <c r="A20" s="532"/>
      <c r="B20" s="566"/>
      <c r="C20" s="554" t="s">
        <v>3072</v>
      </c>
      <c r="D20" s="563"/>
      <c r="E20" s="558" t="s">
        <v>3072</v>
      </c>
      <c r="F20" s="559"/>
      <c r="G20" s="558" t="s">
        <v>3041</v>
      </c>
      <c r="H20" s="555"/>
      <c r="I20" s="558" t="s">
        <v>3072</v>
      </c>
      <c r="J20" s="555"/>
      <c r="K20" s="531"/>
      <c r="L20" s="2144"/>
      <c r="M20" s="2134"/>
      <c r="N20" s="2134"/>
      <c r="O20" s="2143"/>
      <c r="P20" s="3396"/>
      <c r="Q20" s="1573"/>
      <c r="R20" s="1574"/>
      <c r="S20" s="1575"/>
      <c r="T20" s="1574"/>
      <c r="U20" s="1575"/>
      <c r="V20" s="1574"/>
      <c r="W20" s="1575"/>
      <c r="X20" s="1568"/>
      <c r="Y20" s="3396"/>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396"/>
      <c r="Q21" s="1573" t="str">
        <f>B21</f>
        <v>办公集聚程度</v>
      </c>
      <c r="R21" s="1574" t="s">
        <v>8</v>
      </c>
      <c r="S21" s="1575">
        <f>F21</f>
        <v>100</v>
      </c>
      <c r="T21" s="1574" t="s">
        <v>8</v>
      </c>
      <c r="U21" s="1575">
        <f>H21</f>
        <v>100</v>
      </c>
      <c r="V21" s="1574" t="s">
        <v>8</v>
      </c>
      <c r="W21" s="1575">
        <f>J21</f>
        <v>100</v>
      </c>
      <c r="X21" s="1568"/>
      <c r="Y21" s="3396"/>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396"/>
      <c r="Q22" s="1573"/>
      <c r="R22" s="1574"/>
      <c r="S22" s="1575"/>
      <c r="T22" s="1574"/>
      <c r="U22" s="1575"/>
      <c r="V22" s="1574"/>
      <c r="W22" s="1575"/>
      <c r="X22" s="1568"/>
      <c r="Y22" s="3396"/>
      <c r="Z22" s="1576"/>
      <c r="AA22" s="1577">
        <v>1</v>
      </c>
      <c r="AB22" s="1577">
        <v>1</v>
      </c>
      <c r="AC22" s="1577">
        <v>1</v>
      </c>
    </row>
    <row r="23" spans="1:29" ht="99.75">
      <c r="A23" s="532"/>
      <c r="B23" s="560" t="s">
        <v>542</v>
      </c>
      <c r="C23" s="573" t="str">
        <f>估价对象房地状况!C18</f>
        <v>估价对象周边道路通达状况较好、公共交通通达情况一般、停车较便捷，综合评价交通便捷度一般</v>
      </c>
      <c r="D23" s="563">
        <v>100</v>
      </c>
      <c r="E23" s="564"/>
      <c r="F23" s="565">
        <f>SUMIF(96:96,E24,97:97)-SUMIF(96:96,C24,97:97)+100</f>
        <v>100</v>
      </c>
      <c r="G23" s="562"/>
      <c r="H23" s="559">
        <f>SUMIF(96:96,G24,97:97)-SUMIF(96:96,C24,97:97)+100</f>
        <v>103</v>
      </c>
      <c r="I23" s="564"/>
      <c r="J23" s="559">
        <f>SUMIF(96:96,I24,97:97)-SUMIF(96:96,C24,97:97)+100</f>
        <v>103</v>
      </c>
      <c r="K23" s="535">
        <v>3</v>
      </c>
      <c r="L23" s="2144"/>
      <c r="M23" s="2134"/>
      <c r="N23" s="2134"/>
      <c r="O23" s="2143"/>
      <c r="P23" s="3396"/>
      <c r="Q23" s="1573" t="str">
        <f>B23</f>
        <v>交通便捷度</v>
      </c>
      <c r="R23" s="1574" t="s">
        <v>8</v>
      </c>
      <c r="S23" s="1575">
        <f>F23</f>
        <v>100</v>
      </c>
      <c r="T23" s="1574" t="s">
        <v>8</v>
      </c>
      <c r="U23" s="1575">
        <f>H23</f>
        <v>103</v>
      </c>
      <c r="V23" s="1574" t="s">
        <v>8</v>
      </c>
      <c r="W23" s="1575">
        <f>J23</f>
        <v>103</v>
      </c>
      <c r="X23" s="1568"/>
      <c r="Y23" s="3396"/>
      <c r="Z23" s="1576" t="str">
        <f>Q23</f>
        <v>交通便捷度</v>
      </c>
      <c r="AA23" s="1577">
        <f t="shared" si="3"/>
        <v>1</v>
      </c>
      <c r="AB23" s="1577">
        <f t="shared" si="4"/>
        <v>0.970873786407767</v>
      </c>
      <c r="AC23" s="1577">
        <f t="shared" si="5"/>
        <v>0.970873786407767</v>
      </c>
    </row>
    <row r="24" spans="1:29" ht="20.25">
      <c r="A24" s="532"/>
      <c r="B24" s="578"/>
      <c r="C24" s="554" t="s">
        <v>3072</v>
      </c>
      <c r="D24" s="557"/>
      <c r="E24" s="554" t="s">
        <v>3072</v>
      </c>
      <c r="F24" s="555"/>
      <c r="G24" s="554" t="s">
        <v>3041</v>
      </c>
      <c r="H24" s="555"/>
      <c r="I24" s="554" t="s">
        <v>3041</v>
      </c>
      <c r="J24" s="555"/>
      <c r="K24" s="531"/>
      <c r="L24" s="2144"/>
      <c r="M24" s="2134"/>
      <c r="N24" s="2134"/>
      <c r="O24" s="2143"/>
      <c r="P24" s="3396"/>
      <c r="Q24" s="1573"/>
      <c r="R24" s="1574"/>
      <c r="S24" s="1575"/>
      <c r="T24" s="1574"/>
      <c r="U24" s="1575"/>
      <c r="V24" s="1574"/>
      <c r="W24" s="1575"/>
      <c r="X24" s="1568"/>
      <c r="Y24" s="3396"/>
      <c r="Z24" s="1576"/>
      <c r="AA24" s="1577">
        <v>1</v>
      </c>
      <c r="AB24" s="1577">
        <v>1</v>
      </c>
      <c r="AC24" s="1577">
        <v>1</v>
      </c>
    </row>
    <row r="25" spans="1:29" ht="27">
      <c r="A25" s="515"/>
      <c r="B25" s="259" t="s">
        <v>543</v>
      </c>
      <c r="C25" s="573" t="str">
        <f>估价对象房地状况!C19</f>
        <v>较不一致</v>
      </c>
      <c r="D25" s="563">
        <v>100</v>
      </c>
      <c r="E25" s="564"/>
      <c r="F25" s="565">
        <f>SUMIF(98:98,E26,99:99)-SUMIF(98:98,C26,99:99)+100</f>
        <v>100</v>
      </c>
      <c r="G25" s="562"/>
      <c r="H25" s="559">
        <f>SUMIF(98:98,G26,99:99)-SUMIF(98:98,C26,99:99)+100</f>
        <v>100</v>
      </c>
      <c r="I25" s="564"/>
      <c r="J25" s="559">
        <f>SUMIF(98:98,I26,99:99)-SUMIF(98:98,C26,99:99)+100</f>
        <v>100</v>
      </c>
      <c r="K25" s="535">
        <v>2</v>
      </c>
      <c r="L25" s="2144"/>
      <c r="M25" s="2134"/>
      <c r="N25" s="2134"/>
      <c r="O25" s="2143"/>
      <c r="P25" s="3396"/>
      <c r="Q25" s="1573" t="str">
        <f t="shared" ref="Q25:Q39" si="8">B25</f>
        <v>区域土地利用方向</v>
      </c>
      <c r="R25" s="1574" t="s">
        <v>8</v>
      </c>
      <c r="S25" s="1575">
        <f>F25</f>
        <v>100</v>
      </c>
      <c r="T25" s="1574" t="s">
        <v>8</v>
      </c>
      <c r="U25" s="1575">
        <f>H25</f>
        <v>100</v>
      </c>
      <c r="V25" s="1574" t="s">
        <v>8</v>
      </c>
      <c r="W25" s="1575">
        <f>J25</f>
        <v>100</v>
      </c>
      <c r="X25" s="1568"/>
      <c r="Y25" s="3396"/>
      <c r="Z25" s="1576" t="str">
        <f>Q25</f>
        <v>区域土地利用方向</v>
      </c>
      <c r="AA25" s="1577">
        <f t="shared" si="3"/>
        <v>1</v>
      </c>
      <c r="AB25" s="1577">
        <f t="shared" si="4"/>
        <v>1</v>
      </c>
      <c r="AC25" s="1577">
        <f t="shared" si="5"/>
        <v>1</v>
      </c>
    </row>
    <row r="26" spans="1:29" ht="20.25">
      <c r="A26" s="515"/>
      <c r="B26" s="1007"/>
      <c r="C26" s="554" t="s">
        <v>3072</v>
      </c>
      <c r="D26" s="557"/>
      <c r="E26" s="554" t="s">
        <v>3072</v>
      </c>
      <c r="F26" s="555"/>
      <c r="G26" s="554" t="s">
        <v>3072</v>
      </c>
      <c r="H26" s="555"/>
      <c r="I26" s="554" t="s">
        <v>3072</v>
      </c>
      <c r="J26" s="555"/>
      <c r="K26" s="531"/>
      <c r="L26" s="2144"/>
      <c r="M26" s="2134"/>
      <c r="N26" s="2134"/>
      <c r="O26" s="2143"/>
      <c r="P26" s="3396"/>
      <c r="Q26" s="1573"/>
      <c r="R26" s="1574"/>
      <c r="S26" s="1575"/>
      <c r="T26" s="1574"/>
      <c r="U26" s="1575"/>
      <c r="V26" s="1574"/>
      <c r="W26" s="1575"/>
      <c r="X26" s="1568"/>
      <c r="Y26" s="3396"/>
      <c r="Z26" s="1576"/>
      <c r="AA26" s="1577"/>
      <c r="AB26" s="1577"/>
      <c r="AC26" s="1577"/>
    </row>
    <row r="27" spans="1:29" ht="57">
      <c r="A27" s="515"/>
      <c r="B27" s="578" t="s">
        <v>544</v>
      </c>
      <c r="C27" s="561" t="str">
        <f>估价对象房地状况!C20</f>
        <v>区域自然环境较好；人文环境一般；综合评价环境状况一般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105</v>
      </c>
      <c r="K27" s="535">
        <v>5</v>
      </c>
      <c r="L27" s="2144"/>
      <c r="M27" s="2134"/>
      <c r="N27" s="2134"/>
      <c r="O27" s="2143"/>
      <c r="P27" s="3396"/>
      <c r="Q27" s="1573" t="str">
        <f t="shared" si="8"/>
        <v>自然及人文环境状况</v>
      </c>
      <c r="R27" s="1574" t="s">
        <v>8</v>
      </c>
      <c r="S27" s="1575">
        <f>F27</f>
        <v>100</v>
      </c>
      <c r="T27" s="1574" t="s">
        <v>8</v>
      </c>
      <c r="U27" s="1575">
        <f>H27</f>
        <v>100</v>
      </c>
      <c r="V27" s="1574" t="s">
        <v>8</v>
      </c>
      <c r="W27" s="1575">
        <f>J27</f>
        <v>105</v>
      </c>
      <c r="X27" s="1568"/>
      <c r="Y27" s="3396"/>
      <c r="Z27" s="1576" t="str">
        <f>Q27</f>
        <v>自然及人文环境状况</v>
      </c>
      <c r="AA27" s="1577">
        <f t="shared" si="3"/>
        <v>1</v>
      </c>
      <c r="AB27" s="1577">
        <f t="shared" si="4"/>
        <v>1</v>
      </c>
      <c r="AC27" s="1577">
        <f t="shared" si="5"/>
        <v>0.95238095238095233</v>
      </c>
    </row>
    <row r="28" spans="1:29" ht="20.25">
      <c r="A28" s="515"/>
      <c r="B28" s="566"/>
      <c r="C28" s="554" t="s">
        <v>3072</v>
      </c>
      <c r="D28" s="557"/>
      <c r="E28" s="558" t="s">
        <v>3072</v>
      </c>
      <c r="F28" s="555"/>
      <c r="G28" s="558" t="s">
        <v>3072</v>
      </c>
      <c r="H28" s="555"/>
      <c r="I28" s="558" t="s">
        <v>3041</v>
      </c>
      <c r="J28" s="555"/>
      <c r="K28" s="531"/>
      <c r="L28" s="2144"/>
      <c r="M28" s="2134"/>
      <c r="N28" s="2134"/>
      <c r="O28" s="2143"/>
      <c r="P28" s="3396"/>
      <c r="Q28" s="1573"/>
      <c r="R28" s="1574"/>
      <c r="S28" s="1575"/>
      <c r="T28" s="1574"/>
      <c r="U28" s="1575"/>
      <c r="V28" s="1574"/>
      <c r="W28" s="1575"/>
      <c r="X28" s="1568"/>
      <c r="Y28" s="3396"/>
      <c r="Z28" s="1576"/>
      <c r="AA28" s="1577">
        <v>1</v>
      </c>
      <c r="AB28" s="1577">
        <v>1</v>
      </c>
      <c r="AC28" s="1577">
        <v>1</v>
      </c>
    </row>
    <row r="29" spans="1:29" s="1220" customFormat="1" ht="42.75">
      <c r="A29" s="577"/>
      <c r="B29" s="2593" t="s">
        <v>2546</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105</v>
      </c>
      <c r="I29" s="564"/>
      <c r="J29" s="559">
        <f>SUMIF(102:102,I30,103:103)-SUMIF(102:102,C30,103:103)+100</f>
        <v>105</v>
      </c>
      <c r="K29" s="535">
        <v>5</v>
      </c>
      <c r="L29" s="2137"/>
      <c r="M29" s="2134"/>
      <c r="N29" s="2134"/>
      <c r="O29" s="2139"/>
      <c r="P29" s="3396"/>
      <c r="Q29" s="1151" t="str">
        <f t="shared" si="8"/>
        <v>公共配套设施</v>
      </c>
      <c r="R29" s="1569" t="s">
        <v>8</v>
      </c>
      <c r="S29" s="1570">
        <f>F29</f>
        <v>100</v>
      </c>
      <c r="T29" s="1569" t="s">
        <v>8</v>
      </c>
      <c r="U29" s="1570">
        <f>H29</f>
        <v>105</v>
      </c>
      <c r="V29" s="1569" t="s">
        <v>8</v>
      </c>
      <c r="W29" s="1570">
        <f>J29</f>
        <v>105</v>
      </c>
      <c r="X29" s="1571"/>
      <c r="Y29" s="3396"/>
      <c r="Z29" s="1150" t="str">
        <f>Q29</f>
        <v>公共配套设施</v>
      </c>
      <c r="AA29" s="1577">
        <f>D29/F29</f>
        <v>1</v>
      </c>
      <c r="AB29" s="1577">
        <f>D29/H29</f>
        <v>0.95238095238095233</v>
      </c>
      <c r="AC29" s="1577">
        <f>D29/J29</f>
        <v>0.95238095238095233</v>
      </c>
    </row>
    <row r="30" spans="1:29" s="1220" customFormat="1" ht="20.25">
      <c r="A30" s="577"/>
      <c r="B30" s="566"/>
      <c r="C30" s="554" t="s">
        <v>3072</v>
      </c>
      <c r="D30" s="557"/>
      <c r="E30" s="554" t="s">
        <v>3072</v>
      </c>
      <c r="F30" s="555"/>
      <c r="G30" s="554" t="s">
        <v>3041</v>
      </c>
      <c r="H30" s="555"/>
      <c r="I30" s="554" t="s">
        <v>3041</v>
      </c>
      <c r="J30" s="555"/>
      <c r="K30" s="531"/>
      <c r="L30" s="2137"/>
      <c r="M30" s="2134"/>
      <c r="N30" s="2134"/>
      <c r="O30" s="2139"/>
      <c r="P30" s="3396"/>
      <c r="Q30" s="1151"/>
      <c r="R30" s="1569"/>
      <c r="S30" s="1570"/>
      <c r="T30" s="1569"/>
      <c r="U30" s="1570"/>
      <c r="V30" s="1569"/>
      <c r="W30" s="1570"/>
      <c r="X30" s="1571"/>
      <c r="Y30" s="3396"/>
      <c r="Z30" s="1150"/>
      <c r="AA30" s="1577">
        <v>1</v>
      </c>
      <c r="AB30" s="1577">
        <v>1</v>
      </c>
      <c r="AC30" s="1577">
        <v>1</v>
      </c>
    </row>
    <row r="31" spans="1:29" s="1220" customFormat="1" ht="42.75">
      <c r="A31" s="577"/>
      <c r="B31" s="2593" t="s">
        <v>2547</v>
      </c>
      <c r="C31" s="573" t="str">
        <f>估价对象房地状况!C22</f>
        <v>估价对象所在区域基础设施水平达六通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7"/>
      <c r="M31" s="2134"/>
      <c r="N31" s="2134"/>
      <c r="O31" s="2139"/>
      <c r="P31" s="3396"/>
      <c r="Q31" s="2580" t="str">
        <f t="shared" ref="Q31" si="9">B31</f>
        <v>基础设施水平</v>
      </c>
      <c r="R31" s="1569" t="s">
        <v>8</v>
      </c>
      <c r="S31" s="1570">
        <f>F31</f>
        <v>100</v>
      </c>
      <c r="T31" s="1569" t="s">
        <v>8</v>
      </c>
      <c r="U31" s="1570">
        <f>H31</f>
        <v>100</v>
      </c>
      <c r="V31" s="1569" t="s">
        <v>8</v>
      </c>
      <c r="W31" s="1570">
        <f>J31</f>
        <v>100</v>
      </c>
      <c r="X31" s="1571"/>
      <c r="Y31" s="3396"/>
      <c r="Z31" s="2577" t="str">
        <f>Q31</f>
        <v>基础设施水平</v>
      </c>
      <c r="AA31" s="1577">
        <f>D31/F31</f>
        <v>1</v>
      </c>
      <c r="AB31" s="1577">
        <f>D31/H31</f>
        <v>1</v>
      </c>
      <c r="AC31" s="1577">
        <f>D31/J31</f>
        <v>1</v>
      </c>
    </row>
    <row r="32" spans="1:29" s="1220" customFormat="1" ht="20.25">
      <c r="A32" s="577"/>
      <c r="B32" s="566"/>
      <c r="C32" s="579" t="s">
        <v>3066</v>
      </c>
      <c r="D32" s="557"/>
      <c r="E32" s="2594" t="s">
        <v>3066</v>
      </c>
      <c r="F32" s="555"/>
      <c r="G32" s="579" t="s">
        <v>3066</v>
      </c>
      <c r="H32" s="555"/>
      <c r="I32" s="579" t="s">
        <v>3066</v>
      </c>
      <c r="J32" s="555"/>
      <c r="K32" s="531"/>
      <c r="L32" s="2137"/>
      <c r="M32" s="2134"/>
      <c r="N32" s="2134"/>
      <c r="O32" s="2139"/>
      <c r="P32" s="3396"/>
      <c r="Q32" s="2580"/>
      <c r="R32" s="1569"/>
      <c r="S32" s="1570"/>
      <c r="T32" s="1569"/>
      <c r="U32" s="1570"/>
      <c r="V32" s="1569"/>
      <c r="W32" s="1570"/>
      <c r="X32" s="1571"/>
      <c r="Y32" s="3396"/>
      <c r="Z32" s="2577"/>
      <c r="AA32" s="1577">
        <v>1</v>
      </c>
      <c r="AB32" s="1577">
        <v>1</v>
      </c>
      <c r="AC32" s="1577">
        <v>1</v>
      </c>
    </row>
    <row r="33" spans="1:29" ht="20.25">
      <c r="A33" s="532"/>
      <c r="B33" s="566" t="s">
        <v>546</v>
      </c>
      <c r="C33" s="580" t="s">
        <v>3069</v>
      </c>
      <c r="D33" s="575">
        <v>100</v>
      </c>
      <c r="E33" s="583" t="s">
        <v>3069</v>
      </c>
      <c r="F33" s="540">
        <f>SUMIF(106:106,E33,107:107)-SUMIF(106:106,C33,107:107)+100</f>
        <v>100</v>
      </c>
      <c r="G33" s="580" t="s">
        <v>3069</v>
      </c>
      <c r="H33" s="540">
        <f>SUMIF(106:106,G33,107:107)-SUMIF(106:106,C33,107:107)+100</f>
        <v>100</v>
      </c>
      <c r="I33" s="580" t="s">
        <v>3069</v>
      </c>
      <c r="J33" s="540">
        <f>SUMIF(106:106,I33,107:107)-SUMIF(106:106,C33,107:107)+100</f>
        <v>100</v>
      </c>
      <c r="K33" s="535">
        <v>2</v>
      </c>
      <c r="L33" s="2144"/>
      <c r="M33" s="2134"/>
      <c r="N33" s="2134"/>
      <c r="O33" s="2143"/>
      <c r="P33" s="3396"/>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6"/>
      <c r="Z33" s="1576" t="str">
        <f t="shared" ref="Z33:Z47" si="13">Q33</f>
        <v>临街状况</v>
      </c>
      <c r="AA33" s="1577">
        <f t="shared" si="3"/>
        <v>1</v>
      </c>
      <c r="AB33" s="1577">
        <f t="shared" si="4"/>
        <v>1</v>
      </c>
      <c r="AC33" s="1577">
        <f t="shared" si="5"/>
        <v>1</v>
      </c>
    </row>
    <row r="34" spans="1:29" ht="27">
      <c r="A34" s="532"/>
      <c r="B34" s="578" t="s">
        <v>547</v>
      </c>
      <c r="C34" s="3200" t="s">
        <v>3244</v>
      </c>
      <c r="D34" s="563">
        <v>100</v>
      </c>
      <c r="E34" s="3199" t="s">
        <v>3243</v>
      </c>
      <c r="F34" s="559">
        <f>SUMIF(108:108,E35,109:109)-SUMIF(108:108,C35,109:109)+100</f>
        <v>98</v>
      </c>
      <c r="G34" s="3199" t="s">
        <v>3242</v>
      </c>
      <c r="H34" s="559">
        <f>SUMIF(108:108,G35,109:109)-SUMIF(108:108,C35,109:109)+100</f>
        <v>100</v>
      </c>
      <c r="I34" s="3199" t="s">
        <v>3241</v>
      </c>
      <c r="J34" s="559">
        <f>SUMIF(108:108,I35,109:109)-SUMIF(108:108,C35,109:109)+100</f>
        <v>100</v>
      </c>
      <c r="K34" s="535">
        <v>2</v>
      </c>
      <c r="L34" s="2144"/>
      <c r="M34" s="2134"/>
      <c r="N34" s="2134"/>
      <c r="O34" s="2143"/>
      <c r="P34" s="3396"/>
      <c r="Q34" s="1573" t="str">
        <f t="shared" si="8"/>
        <v>毗邻道路的类型与等级</v>
      </c>
      <c r="R34" s="1574" t="s">
        <v>8</v>
      </c>
      <c r="S34" s="1575">
        <f t="shared" si="10"/>
        <v>98</v>
      </c>
      <c r="T34" s="1574" t="s">
        <v>8</v>
      </c>
      <c r="U34" s="1575">
        <f t="shared" si="11"/>
        <v>100</v>
      </c>
      <c r="V34" s="1574" t="s">
        <v>8</v>
      </c>
      <c r="W34" s="1575">
        <f t="shared" si="12"/>
        <v>100</v>
      </c>
      <c r="X34" s="1568"/>
      <c r="Y34" s="3396"/>
      <c r="Z34" s="1576" t="str">
        <f t="shared" si="13"/>
        <v>毗邻道路的类型与等级</v>
      </c>
      <c r="AA34" s="1577">
        <f t="shared" si="3"/>
        <v>1.0204081632653061</v>
      </c>
      <c r="AB34" s="1577">
        <f t="shared" si="4"/>
        <v>1</v>
      </c>
      <c r="AC34" s="1577">
        <f t="shared" si="5"/>
        <v>1</v>
      </c>
    </row>
    <row r="35" spans="1:29" ht="20.25">
      <c r="A35" s="532"/>
      <c r="B35" s="566"/>
      <c r="C35" s="554" t="s">
        <v>3071</v>
      </c>
      <c r="D35" s="557"/>
      <c r="E35" s="576" t="s">
        <v>3070</v>
      </c>
      <c r="F35" s="555"/>
      <c r="G35" s="576" t="s">
        <v>3071</v>
      </c>
      <c r="H35" s="555"/>
      <c r="I35" s="576" t="s">
        <v>3071</v>
      </c>
      <c r="J35" s="555"/>
      <c r="K35" s="581"/>
      <c r="L35" s="2144"/>
      <c r="M35" s="2134"/>
      <c r="N35" s="2134"/>
      <c r="O35" s="2143"/>
      <c r="P35" s="3396"/>
      <c r="Q35" s="1573"/>
      <c r="R35" s="1574"/>
      <c r="S35" s="1575"/>
      <c r="T35" s="1574"/>
      <c r="U35" s="1575"/>
      <c r="V35" s="1574"/>
      <c r="W35" s="1575"/>
      <c r="X35" s="1568"/>
      <c r="Y35" s="3396"/>
      <c r="Z35" s="1576"/>
      <c r="AA35" s="1577">
        <v>1</v>
      </c>
      <c r="AB35" s="1577">
        <v>1</v>
      </c>
      <c r="AC35" s="1577">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396"/>
      <c r="Q36" s="1573" t="str">
        <f t="shared" si="8"/>
        <v>土地级别</v>
      </c>
      <c r="R36" s="1574" t="s">
        <v>8</v>
      </c>
      <c r="S36" s="1575">
        <f t="shared" si="10"/>
        <v>100</v>
      </c>
      <c r="T36" s="1574" t="s">
        <v>8</v>
      </c>
      <c r="U36" s="1575">
        <f t="shared" si="11"/>
        <v>100</v>
      </c>
      <c r="V36" s="1574" t="s">
        <v>8</v>
      </c>
      <c r="W36" s="1575">
        <f t="shared" si="12"/>
        <v>100</v>
      </c>
      <c r="X36" s="1568"/>
      <c r="Y36" s="3396"/>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396"/>
      <c r="Q37" s="1573">
        <f t="shared" si="8"/>
        <v>111</v>
      </c>
      <c r="R37" s="1574" t="s">
        <v>8</v>
      </c>
      <c r="S37" s="1575">
        <f t="shared" si="10"/>
        <v>100</v>
      </c>
      <c r="T37" s="1574" t="s">
        <v>8</v>
      </c>
      <c r="U37" s="1575">
        <f t="shared" si="11"/>
        <v>100</v>
      </c>
      <c r="V37" s="1574" t="s">
        <v>8</v>
      </c>
      <c r="W37" s="1575">
        <f t="shared" si="12"/>
        <v>100</v>
      </c>
      <c r="X37" s="1568"/>
      <c r="Y37" s="3396"/>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397" t="s">
        <v>549</v>
      </c>
      <c r="Q38" s="1573">
        <f t="shared" si="8"/>
        <v>111</v>
      </c>
      <c r="R38" s="1574" t="s">
        <v>8</v>
      </c>
      <c r="S38" s="1575">
        <f t="shared" si="10"/>
        <v>100</v>
      </c>
      <c r="T38" s="1574" t="s">
        <v>8</v>
      </c>
      <c r="U38" s="1575">
        <f t="shared" si="11"/>
        <v>100</v>
      </c>
      <c r="V38" s="1574" t="s">
        <v>8</v>
      </c>
      <c r="W38" s="1575">
        <f t="shared" si="12"/>
        <v>100</v>
      </c>
      <c r="X38" s="1568"/>
      <c r="Y38" s="3398" t="s">
        <v>549</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398"/>
      <c r="Q39" s="1573">
        <f t="shared" si="8"/>
        <v>111</v>
      </c>
      <c r="R39" s="1578" t="s">
        <v>8</v>
      </c>
      <c r="S39" s="1579">
        <f t="shared" si="10"/>
        <v>100</v>
      </c>
      <c r="T39" s="1578" t="s">
        <v>8</v>
      </c>
      <c r="U39" s="1579">
        <f t="shared" si="11"/>
        <v>100</v>
      </c>
      <c r="V39" s="1578" t="s">
        <v>8</v>
      </c>
      <c r="W39" s="1579">
        <f t="shared" si="12"/>
        <v>100</v>
      </c>
      <c r="X39" s="1580"/>
      <c r="Y39" s="3398"/>
      <c r="Z39" s="1581">
        <f t="shared" si="13"/>
        <v>111</v>
      </c>
      <c r="AA39" s="1577">
        <f t="shared" si="3"/>
        <v>1</v>
      </c>
      <c r="AB39" s="1577">
        <f t="shared" si="4"/>
        <v>1</v>
      </c>
      <c r="AC39" s="1577">
        <f t="shared" si="5"/>
        <v>1</v>
      </c>
    </row>
    <row r="40" spans="1:29" ht="20.25">
      <c r="A40" s="2909" t="s">
        <v>2753</v>
      </c>
      <c r="B40" s="595" t="s">
        <v>551</v>
      </c>
      <c r="C40" s="596">
        <v>40290</v>
      </c>
      <c r="D40" s="597">
        <v>100</v>
      </c>
      <c r="E40" s="596">
        <f>土地案例!D14</f>
        <v>105068</v>
      </c>
      <c r="F40" s="597">
        <f>LOOKUP(E40,119:119,120:120)-LOOKUP(C40,119:119,120:120)+100</f>
        <v>102</v>
      </c>
      <c r="G40" s="596">
        <f>土地案例!D7</f>
        <v>92020</v>
      </c>
      <c r="H40" s="597">
        <f>LOOKUP(G40,119:119,120:120)-LOOKUP(C40,119:119,120:120)+100</f>
        <v>102</v>
      </c>
      <c r="I40" s="598">
        <f>土地案例!D25</f>
        <v>46746</v>
      </c>
      <c r="J40" s="597">
        <f>LOOKUP(I40,119:119,120:120)-LOOKUP(C40,119:119,120:120)+100</f>
        <v>100</v>
      </c>
      <c r="K40" s="581"/>
      <c r="L40" s="2144"/>
      <c r="M40" s="2134"/>
      <c r="N40" s="2134"/>
      <c r="O40" s="2143"/>
      <c r="P40" s="3398"/>
      <c r="Q40" s="1573" t="str">
        <f>B40</f>
        <v>宗地面积</v>
      </c>
      <c r="R40" s="1574" t="s">
        <v>8</v>
      </c>
      <c r="S40" s="1575">
        <f t="shared" si="10"/>
        <v>102</v>
      </c>
      <c r="T40" s="1574" t="s">
        <v>8</v>
      </c>
      <c r="U40" s="1575">
        <f t="shared" si="11"/>
        <v>102</v>
      </c>
      <c r="V40" s="1574" t="s">
        <v>8</v>
      </c>
      <c r="W40" s="1575">
        <f t="shared" si="12"/>
        <v>100</v>
      </c>
      <c r="X40" s="1568"/>
      <c r="Y40" s="3398"/>
      <c r="Z40" s="1576" t="str">
        <f t="shared" si="13"/>
        <v>宗地面积</v>
      </c>
      <c r="AA40" s="1577">
        <f t="shared" si="3"/>
        <v>0.98039215686274506</v>
      </c>
      <c r="AB40" s="1577">
        <f t="shared" si="4"/>
        <v>0.98039215686274506</v>
      </c>
      <c r="AC40" s="1577">
        <f t="shared" si="5"/>
        <v>1</v>
      </c>
    </row>
    <row r="41" spans="1:29" ht="20.25">
      <c r="A41" s="594"/>
      <c r="B41" s="527" t="s">
        <v>552</v>
      </c>
      <c r="C41" s="599" t="s">
        <v>3038</v>
      </c>
      <c r="D41" s="540">
        <v>100</v>
      </c>
      <c r="E41" s="599" t="s">
        <v>3038</v>
      </c>
      <c r="F41" s="540">
        <f>SUMIF(121:121,E41,122:122)-SUMIF(121:121,C41,122:122)+100</f>
        <v>100</v>
      </c>
      <c r="G41" s="599" t="s">
        <v>3038</v>
      </c>
      <c r="H41" s="540">
        <f>SUMIF(121:121,G41,122:122)-SUMIF(121:121,C41,122:122)+100</f>
        <v>100</v>
      </c>
      <c r="I41" s="599" t="s">
        <v>3038</v>
      </c>
      <c r="J41" s="540">
        <f>SUMIF(121:121,I41,122:122)-SUMIF(121:121,C41,122:122)+100</f>
        <v>100</v>
      </c>
      <c r="K41" s="584">
        <v>1</v>
      </c>
      <c r="L41" s="2144"/>
      <c r="M41" s="2134"/>
      <c r="N41" s="2134"/>
      <c r="O41" s="2143"/>
      <c r="P41" s="3398"/>
      <c r="Q41" s="1573" t="str">
        <f t="shared" ref="Q41:Q47" si="14">B41</f>
        <v>宗地形状</v>
      </c>
      <c r="R41" s="1574" t="s">
        <v>8</v>
      </c>
      <c r="S41" s="1575">
        <f t="shared" si="10"/>
        <v>100</v>
      </c>
      <c r="T41" s="1574" t="s">
        <v>8</v>
      </c>
      <c r="U41" s="1575">
        <f t="shared" si="11"/>
        <v>100</v>
      </c>
      <c r="V41" s="1574" t="s">
        <v>8</v>
      </c>
      <c r="W41" s="1575">
        <f t="shared" si="12"/>
        <v>100</v>
      </c>
      <c r="X41" s="1568"/>
      <c r="Y41" s="3398"/>
      <c r="Z41" s="1576" t="str">
        <f t="shared" si="13"/>
        <v>宗地形状</v>
      </c>
      <c r="AA41" s="1577">
        <f t="shared" si="3"/>
        <v>1</v>
      </c>
      <c r="AB41" s="1577">
        <f t="shared" si="4"/>
        <v>1</v>
      </c>
      <c r="AC41" s="1577">
        <f t="shared" si="5"/>
        <v>1</v>
      </c>
    </row>
    <row r="42" spans="1:29" ht="20.25">
      <c r="A42" s="594"/>
      <c r="B42" s="527" t="s">
        <v>553</v>
      </c>
      <c r="C42" s="599" t="s">
        <v>3039</v>
      </c>
      <c r="D42" s="540">
        <v>100</v>
      </c>
      <c r="E42" s="599" t="s">
        <v>3039</v>
      </c>
      <c r="F42" s="540">
        <f>SUMIF(123:123,E42,124:124)-SUMIF(123:123,C42,124:124)+100</f>
        <v>100</v>
      </c>
      <c r="G42" s="599" t="s">
        <v>3039</v>
      </c>
      <c r="H42" s="540">
        <f>SUMIF(123:123,G42,124:124)-SUMIF(123:123,C42,124:124)+100</f>
        <v>100</v>
      </c>
      <c r="I42" s="599" t="s">
        <v>3039</v>
      </c>
      <c r="J42" s="540">
        <f>SUMIF(123:123,I42,124:124)-SUMIF(123:123,C42,124:124)+100</f>
        <v>100</v>
      </c>
      <c r="K42" s="584">
        <v>1</v>
      </c>
      <c r="L42" s="2144"/>
      <c r="M42" s="2134"/>
      <c r="N42" s="2134"/>
      <c r="O42" s="2143"/>
      <c r="P42" s="3398"/>
      <c r="Q42" s="1573" t="str">
        <f t="shared" si="14"/>
        <v>临街宽度及深度</v>
      </c>
      <c r="R42" s="1574" t="s">
        <v>8</v>
      </c>
      <c r="S42" s="1575">
        <f t="shared" si="10"/>
        <v>100</v>
      </c>
      <c r="T42" s="1574" t="s">
        <v>8</v>
      </c>
      <c r="U42" s="1575">
        <f t="shared" si="11"/>
        <v>100</v>
      </c>
      <c r="V42" s="1574" t="s">
        <v>8</v>
      </c>
      <c r="W42" s="1575">
        <f t="shared" si="12"/>
        <v>100</v>
      </c>
      <c r="X42" s="1568"/>
      <c r="Y42" s="3398"/>
      <c r="Z42" s="1576" t="str">
        <f t="shared" si="13"/>
        <v>临街宽度及深度</v>
      </c>
      <c r="AA42" s="1577">
        <f t="shared" si="3"/>
        <v>1</v>
      </c>
      <c r="AB42" s="1577">
        <f t="shared" si="4"/>
        <v>1</v>
      </c>
      <c r="AC42" s="1577">
        <f t="shared" si="5"/>
        <v>1</v>
      </c>
    </row>
    <row r="43" spans="1:29" s="1220" customFormat="1" ht="20.25">
      <c r="A43" s="600"/>
      <c r="B43" s="1897" t="s">
        <v>2424</v>
      </c>
      <c r="C43" s="601" t="s">
        <v>3040</v>
      </c>
      <c r="D43" s="255">
        <v>100</v>
      </c>
      <c r="E43" s="601" t="s">
        <v>3040</v>
      </c>
      <c r="F43" s="540">
        <f>SUMIF(125:125,E43,126:126)-SUMIF(125:125,C43,126:126)+100</f>
        <v>100</v>
      </c>
      <c r="G43" s="601" t="s">
        <v>3040</v>
      </c>
      <c r="H43" s="540">
        <f>SUMIF(125:125,G43,126:126)-SUMIF(125:125,C43,126:126)+100</f>
        <v>100</v>
      </c>
      <c r="I43" s="601" t="s">
        <v>3040</v>
      </c>
      <c r="J43" s="540">
        <f>SUMIF(125:125,I43,126:126)-SUMIF(125:125,C43,126:126)+100</f>
        <v>100</v>
      </c>
      <c r="K43" s="584">
        <v>1</v>
      </c>
      <c r="L43" s="2137"/>
      <c r="M43" s="2134"/>
      <c r="N43" s="2134"/>
      <c r="O43" s="2139"/>
      <c r="P43" s="3398"/>
      <c r="Q43" s="1573" t="str">
        <f t="shared" si="14"/>
        <v>宗地开发程度</v>
      </c>
      <c r="R43" s="1569" t="s">
        <v>8</v>
      </c>
      <c r="S43" s="1570">
        <f t="shared" si="10"/>
        <v>100</v>
      </c>
      <c r="T43" s="1569" t="s">
        <v>8</v>
      </c>
      <c r="U43" s="1570">
        <f t="shared" si="11"/>
        <v>100</v>
      </c>
      <c r="V43" s="1569" t="s">
        <v>8</v>
      </c>
      <c r="W43" s="1570">
        <f t="shared" si="12"/>
        <v>100</v>
      </c>
      <c r="X43" s="1571"/>
      <c r="Y43" s="3398"/>
      <c r="Z43" s="1150" t="str">
        <f t="shared" si="13"/>
        <v>宗地开发程度</v>
      </c>
      <c r="AA43" s="1572">
        <f t="shared" si="3"/>
        <v>1</v>
      </c>
      <c r="AB43" s="1572">
        <f t="shared" si="4"/>
        <v>1</v>
      </c>
      <c r="AC43" s="1572">
        <f t="shared" si="5"/>
        <v>1</v>
      </c>
    </row>
    <row r="44" spans="1:29" ht="20.25">
      <c r="A44" s="594"/>
      <c r="B44" s="527" t="s">
        <v>554</v>
      </c>
      <c r="C44" s="599" t="s">
        <v>3041</v>
      </c>
      <c r="D44" s="540">
        <v>100</v>
      </c>
      <c r="E44" s="599" t="s">
        <v>3041</v>
      </c>
      <c r="F44" s="540">
        <f>SUMIF(127:127,E44,128:128)-SUMIF(127:127,C44,128:128)+100</f>
        <v>100</v>
      </c>
      <c r="G44" s="599" t="s">
        <v>3041</v>
      </c>
      <c r="H44" s="540">
        <f>SUMIF(127:127,G44,128:128)-SUMIF(127:127,C44,128:128)+100</f>
        <v>100</v>
      </c>
      <c r="I44" s="599" t="s">
        <v>3041</v>
      </c>
      <c r="J44" s="540">
        <f>SUMIF(127:127,I44,128:128)-SUMIF(127:127,C44,128:128)+100</f>
        <v>100</v>
      </c>
      <c r="K44" s="584">
        <v>1</v>
      </c>
      <c r="L44" s="2144"/>
      <c r="M44" s="2134"/>
      <c r="N44" s="2134"/>
      <c r="O44" s="2143"/>
      <c r="P44" s="3398" t="s">
        <v>549</v>
      </c>
      <c r="Q44" s="1573" t="str">
        <f t="shared" si="14"/>
        <v>工程地质条件</v>
      </c>
      <c r="R44" s="1574" t="s">
        <v>8</v>
      </c>
      <c r="S44" s="1575">
        <f t="shared" si="10"/>
        <v>100</v>
      </c>
      <c r="T44" s="1574" t="s">
        <v>8</v>
      </c>
      <c r="U44" s="1575">
        <f t="shared" si="11"/>
        <v>100</v>
      </c>
      <c r="V44" s="1574" t="s">
        <v>8</v>
      </c>
      <c r="W44" s="1575">
        <f t="shared" si="12"/>
        <v>100</v>
      </c>
      <c r="X44" s="1568"/>
      <c r="Y44" s="3398" t="s">
        <v>549</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2"/>
      <c r="J45" s="540">
        <f>SUMIF(129:129,I45,130:130)-SUMIF(129:129,C45,130:130)+100</f>
        <v>100</v>
      </c>
      <c r="K45" s="581"/>
      <c r="L45" s="2144"/>
      <c r="M45" s="2134"/>
      <c r="N45" s="2134"/>
      <c r="O45" s="2143"/>
      <c r="P45" s="3398"/>
      <c r="Q45" s="1573">
        <f t="shared" si="14"/>
        <v>111</v>
      </c>
      <c r="R45" s="1574" t="s">
        <v>8</v>
      </c>
      <c r="S45" s="1575">
        <f t="shared" si="10"/>
        <v>100</v>
      </c>
      <c r="T45" s="1574" t="s">
        <v>8</v>
      </c>
      <c r="U45" s="1575">
        <f t="shared" si="11"/>
        <v>100</v>
      </c>
      <c r="V45" s="1574" t="s">
        <v>8</v>
      </c>
      <c r="W45" s="1575">
        <f t="shared" si="12"/>
        <v>100</v>
      </c>
      <c r="X45" s="1568"/>
      <c r="Y45" s="3398"/>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398"/>
      <c r="Q46" s="1573">
        <f t="shared" si="14"/>
        <v>111</v>
      </c>
      <c r="R46" s="1574" t="s">
        <v>8</v>
      </c>
      <c r="S46" s="1575">
        <f t="shared" si="10"/>
        <v>100</v>
      </c>
      <c r="T46" s="1574" t="s">
        <v>8</v>
      </c>
      <c r="U46" s="1575">
        <f t="shared" si="11"/>
        <v>100</v>
      </c>
      <c r="V46" s="1574" t="s">
        <v>8</v>
      </c>
      <c r="W46" s="1575">
        <f t="shared" si="12"/>
        <v>100</v>
      </c>
      <c r="X46" s="1568"/>
      <c r="Y46" s="3398"/>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398"/>
      <c r="Q47" s="1573">
        <f t="shared" si="14"/>
        <v>111</v>
      </c>
      <c r="R47" s="1578" t="s">
        <v>8</v>
      </c>
      <c r="S47" s="1579">
        <f t="shared" si="10"/>
        <v>100</v>
      </c>
      <c r="T47" s="1578" t="s">
        <v>8</v>
      </c>
      <c r="U47" s="1579">
        <f t="shared" si="11"/>
        <v>100</v>
      </c>
      <c r="V47" s="1578" t="s">
        <v>8</v>
      </c>
      <c r="W47" s="1579">
        <f t="shared" si="12"/>
        <v>100</v>
      </c>
      <c r="X47" s="1580"/>
      <c r="Y47" s="3398"/>
      <c r="Z47" s="1581">
        <f t="shared" si="13"/>
        <v>111</v>
      </c>
      <c r="AA47" s="1577">
        <f t="shared" si="3"/>
        <v>1</v>
      </c>
      <c r="AB47" s="1577">
        <f t="shared" si="4"/>
        <v>1</v>
      </c>
      <c r="AC47" s="1577">
        <f t="shared" si="5"/>
        <v>1</v>
      </c>
    </row>
    <row r="48" spans="1:29" ht="20.25">
      <c r="A48" s="607" t="s">
        <v>555</v>
      </c>
      <c r="B48" s="608" t="s">
        <v>3042</v>
      </c>
      <c r="C48" s="609" t="s">
        <v>1</v>
      </c>
      <c r="D48" s="610"/>
      <c r="E48" s="611">
        <v>2004</v>
      </c>
      <c r="F48" s="612"/>
      <c r="G48" s="613">
        <v>2528</v>
      </c>
      <c r="H48" s="614"/>
      <c r="I48" s="611">
        <v>2500</v>
      </c>
      <c r="J48" s="614"/>
      <c r="K48" s="1340"/>
      <c r="L48" s="2146"/>
      <c r="M48" s="2134"/>
      <c r="N48" s="2134"/>
      <c r="O48" s="2147"/>
      <c r="P48" s="3393" t="str">
        <f>A48</f>
        <v>成交单价</v>
      </c>
      <c r="Q48" s="3393"/>
      <c r="R48" s="3407">
        <f>E48</f>
        <v>2004</v>
      </c>
      <c r="S48" s="3407"/>
      <c r="T48" s="3407">
        <f>G48</f>
        <v>2528</v>
      </c>
      <c r="U48" s="3407"/>
      <c r="V48" s="3407">
        <f>I48</f>
        <v>2500</v>
      </c>
      <c r="W48" s="3407"/>
      <c r="X48" s="1560"/>
      <c r="Y48" s="1582"/>
      <c r="Z48" s="1560"/>
      <c r="AA48" s="1560"/>
      <c r="AB48" s="1560"/>
      <c r="AC48" s="1560"/>
    </row>
    <row r="49" spans="1:29" ht="21" thickBot="1">
      <c r="A49" s="615" t="s">
        <v>2691</v>
      </c>
      <c r="B49" s="616"/>
      <c r="C49" s="617">
        <f>R50</f>
        <v>1967</v>
      </c>
      <c r="D49" s="618"/>
      <c r="E49" s="617">
        <f>R49</f>
        <v>1769</v>
      </c>
      <c r="F49" s="619"/>
      <c r="G49" s="620">
        <f>T49</f>
        <v>2040</v>
      </c>
      <c r="H49" s="618"/>
      <c r="I49" s="617">
        <f>V49</f>
        <v>2092</v>
      </c>
      <c r="J49" s="618"/>
      <c r="K49" s="1341"/>
      <c r="L49" s="2146"/>
      <c r="M49" s="2134"/>
      <c r="N49" s="2134"/>
      <c r="O49" s="2147"/>
      <c r="P49" s="3393" t="str">
        <f>A49</f>
        <v>比较价格（元/平方米）</v>
      </c>
      <c r="Q49" s="3393"/>
      <c r="R49" s="3417">
        <f>ROUND(PRODUCT(R48,AA9:AA47),0)</f>
        <v>1769</v>
      </c>
      <c r="S49" s="3417"/>
      <c r="T49" s="3417">
        <f>ROUND(PRODUCT(T48,AB9:AB47),0)</f>
        <v>2040</v>
      </c>
      <c r="U49" s="3417"/>
      <c r="V49" s="3417">
        <f>ROUND(PRODUCT(V48,AC9:AC47),0)</f>
        <v>2092</v>
      </c>
      <c r="W49" s="3417"/>
      <c r="X49" s="1560"/>
      <c r="Y49" s="1560"/>
      <c r="Z49" s="1560"/>
      <c r="AA49" s="1560"/>
      <c r="AB49" s="1560"/>
      <c r="AC49" s="1560"/>
    </row>
    <row r="50" spans="1:29" ht="21" thickBot="1">
      <c r="A50" s="621" t="s">
        <v>2931</v>
      </c>
      <c r="B50" s="622"/>
      <c r="C50" s="623">
        <f>R50</f>
        <v>1967</v>
      </c>
      <c r="D50" s="623"/>
      <c r="E50" s="623"/>
      <c r="F50" s="623"/>
      <c r="G50" s="623"/>
      <c r="H50" s="623"/>
      <c r="I50" s="623"/>
      <c r="J50" s="623"/>
      <c r="K50" s="1342"/>
      <c r="L50" s="2146"/>
      <c r="M50" s="2134"/>
      <c r="N50" s="2134"/>
      <c r="O50" s="2147"/>
      <c r="P50" s="3414" t="str">
        <f>A50</f>
        <v>估价对象XX用房的比较价格（楼面单价，元/平方米）</v>
      </c>
      <c r="Q50" s="3415"/>
      <c r="R50" s="3416">
        <f>ROUND(AVERAGE(R49:V49),0)</f>
        <v>1967</v>
      </c>
      <c r="S50" s="3416"/>
      <c r="T50" s="3416"/>
      <c r="U50" s="3416"/>
      <c r="V50" s="3416"/>
      <c r="W50" s="341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0.13284341435839453</v>
      </c>
      <c r="F53" s="627" t="str">
        <f>IF(OR(E53&gt;=0.3,E53&lt;=-0.3),"超过30%","")</f>
        <v/>
      </c>
      <c r="G53" s="626">
        <f>IF(G48&lt;G49,G49/G48-1,G48/G49-1)</f>
        <v>0.23921568627450984</v>
      </c>
      <c r="H53" s="627" t="str">
        <f>IF(OR(G53&gt;=0.3,G53&lt;=-0.3),"超过30%","")</f>
        <v/>
      </c>
      <c r="I53" s="626">
        <f>IF(I48&lt;I49,I49/I48-1,I48/I49-1)</f>
        <v>0.19502868068833656</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0.15319389485585067</v>
      </c>
      <c r="F54" s="627" t="str">
        <f>IF(OR(E54&gt;=0.2,E54&lt;=-0.2),"超过20%","")</f>
        <v/>
      </c>
      <c r="G54" s="626">
        <f>IF(G49&lt;I49,I49/G49-1,G49/I49-1)</f>
        <v>2.5490196078431282E-2</v>
      </c>
      <c r="H54" s="627" t="str">
        <f>IF(OR(G54&gt;=0.2,G54&lt;=-0.2),"超过20%","")</f>
        <v/>
      </c>
      <c r="I54" s="626">
        <f>IF(I49&lt;E49,E49/I49-1,I49/E49-1)</f>
        <v>0.18258903335217647</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0.26147704590818366</v>
      </c>
      <c r="F55" s="627" t="str">
        <f>IF(OR(E55&gt;=0.3,E55&lt;=-0.3),"超过30%","")</f>
        <v/>
      </c>
      <c r="G55" s="626">
        <f>IF(G48&lt;I48,I48/G48-1,G48/I48-1)</f>
        <v>1.1200000000000099E-2</v>
      </c>
      <c r="H55" s="627" t="str">
        <f>IF(OR(G55&gt;=0.3,G55&lt;=-0.3),"超过30%","")</f>
        <v/>
      </c>
      <c r="I55" s="626">
        <f>IF(I48&lt;E48,E48/I48-1,I48/E48-1)</f>
        <v>0.24750499001996018</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1723</v>
      </c>
      <c r="D57" s="2229" t="s">
        <v>2293</v>
      </c>
      <c r="E57" s="631" t="s">
        <v>561</v>
      </c>
      <c r="F57" s="632" t="s">
        <v>562</v>
      </c>
      <c r="G57" s="3377" t="s">
        <v>2281</v>
      </c>
      <c r="H57" s="3378"/>
      <c r="I57" s="1556" t="s">
        <v>1721</v>
      </c>
      <c r="J57" s="1556">
        <f>项目基本情况!F41</f>
        <v>0</v>
      </c>
      <c r="K57" s="2156" t="s">
        <v>1722</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1967</v>
      </c>
      <c r="C58" s="635">
        <v>1</v>
      </c>
      <c r="D58" s="2230">
        <v>1</v>
      </c>
      <c r="E58" s="635">
        <f>'数据-汇总表'!E8+'数据-汇总表'!E9</f>
        <v>100725</v>
      </c>
      <c r="F58" s="636">
        <f t="shared" ref="F58:F67" si="15">ROUND(B58*E58/10000,0)</f>
        <v>19813</v>
      </c>
      <c r="G58" s="3379"/>
      <c r="H58" s="3380"/>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381"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381"/>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381"/>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381"/>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2328</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2294</v>
      </c>
      <c r="E68" s="643">
        <f>IF(B48="楼面地价",SUM(E58:E67),'数据-汇总表'!D3)</f>
        <v>100725</v>
      </c>
      <c r="F68" s="644">
        <f>IF(B48="楼面地价",SUM(F58:F67),ROUND(C50*E68/10000,0))</f>
        <v>19813</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2018-12-1</v>
      </c>
      <c r="D70" s="2801">
        <f>EDATE(C70,-3)</f>
        <v>43344</v>
      </c>
      <c r="E70" s="2801">
        <f t="shared" ref="E70:N70" si="18">EDATE(D70,-3)</f>
        <v>43252</v>
      </c>
      <c r="F70" s="2801">
        <f t="shared" si="18"/>
        <v>43160</v>
      </c>
      <c r="G70" s="2801">
        <f t="shared" si="18"/>
        <v>43070</v>
      </c>
      <c r="H70" s="2801">
        <f t="shared" si="18"/>
        <v>42979</v>
      </c>
      <c r="I70" s="2801">
        <f t="shared" si="18"/>
        <v>42887</v>
      </c>
      <c r="J70" s="2801">
        <f t="shared" si="18"/>
        <v>42795</v>
      </c>
      <c r="K70" s="2801">
        <f t="shared" si="18"/>
        <v>42705</v>
      </c>
      <c r="L70" s="2801">
        <f t="shared" si="18"/>
        <v>42614</v>
      </c>
      <c r="M70" s="2801">
        <f t="shared" si="18"/>
        <v>42522</v>
      </c>
      <c r="N70" s="2801">
        <f t="shared" si="18"/>
        <v>42430</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2530</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2645</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2644</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7">
      <c r="A77" s="664" t="s">
        <v>576</v>
      </c>
      <c r="B77" s="665" t="s">
        <v>533</v>
      </c>
      <c r="C77" s="3187" t="s">
        <v>3014</v>
      </c>
      <c r="D77" s="3187" t="s">
        <v>3015</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95</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v>4</v>
      </c>
      <c r="H82" s="541">
        <v>5</v>
      </c>
      <c r="I82" s="541">
        <v>6</v>
      </c>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2546</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2548</v>
      </c>
      <c r="C104" s="2600" t="s">
        <v>2549</v>
      </c>
      <c r="D104" s="2600" t="s">
        <v>2550</v>
      </c>
      <c r="E104" s="2600" t="s">
        <v>2551</v>
      </c>
      <c r="F104" s="2600" t="s">
        <v>2552</v>
      </c>
      <c r="G104" s="2600" t="s">
        <v>2553</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188" t="s">
        <v>3016</v>
      </c>
      <c r="D108" s="3188" t="s">
        <v>3017</v>
      </c>
      <c r="E108" s="3188" t="s">
        <v>3018</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150000(含)-200000</v>
      </c>
      <c r="I118" s="704" t="str">
        <f t="shared" si="25"/>
        <v>200000(含)-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v>200000</v>
      </c>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v>106</v>
      </c>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3189" t="s">
        <v>3019</v>
      </c>
      <c r="D121" s="3189" t="s">
        <v>3020</v>
      </c>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3188" t="s">
        <v>3021</v>
      </c>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2425</v>
      </c>
      <c r="C125" s="1376" t="s">
        <v>3022</v>
      </c>
      <c r="D125" s="1376" t="s">
        <v>3023</v>
      </c>
      <c r="E125" s="1376" t="s">
        <v>3024</v>
      </c>
      <c r="F125" s="1376" t="s">
        <v>3025</v>
      </c>
      <c r="G125" s="1376" t="s">
        <v>3026</v>
      </c>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3188" t="s">
        <v>3027</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51"/>
  <sheetViews>
    <sheetView topLeftCell="A208" workbookViewId="0">
      <selection activeCell="O268" sqref="O268"/>
    </sheetView>
  </sheetViews>
  <sheetFormatPr defaultRowHeight="12.75"/>
  <cols>
    <col min="1" max="1" width="39.375" style="3185" customWidth="1"/>
    <col min="2" max="2" width="6.25" style="3185" customWidth="1"/>
    <col min="3" max="3" width="8.625" style="3185" customWidth="1"/>
    <col min="4" max="4" width="8.75" style="3185" customWidth="1"/>
    <col min="5" max="5" width="9.125" style="3185" customWidth="1"/>
    <col min="6" max="6" width="10.875" style="3185" customWidth="1"/>
    <col min="7" max="7" width="7.875" style="3185" customWidth="1"/>
    <col min="8" max="8" width="9" style="3185" customWidth="1"/>
    <col min="9" max="9" width="10.625" style="3185" hidden="1" customWidth="1"/>
    <col min="10" max="11" width="9.125" style="3185" customWidth="1"/>
    <col min="12" max="12" width="9.875" style="3185" customWidth="1"/>
    <col min="13" max="13" width="6.25" style="3185" customWidth="1"/>
    <col min="14" max="14" width="65.125" style="3185" customWidth="1"/>
    <col min="15" max="257" width="9" style="3185"/>
    <col min="258" max="258" width="39.375" style="3185" customWidth="1"/>
    <col min="259" max="259" width="6.25" style="3185" customWidth="1"/>
    <col min="260" max="262" width="13.875" style="3185" customWidth="1"/>
    <col min="263" max="263" width="10.875" style="3185" customWidth="1"/>
    <col min="264" max="264" width="7.875" style="3185" customWidth="1"/>
    <col min="265" max="265" width="9" style="3185" customWidth="1"/>
    <col min="266" max="267" width="10.625" style="3185" customWidth="1"/>
    <col min="268" max="268" width="14.375" style="3185" customWidth="1"/>
    <col min="269" max="269" width="6.25" style="3185" customWidth="1"/>
    <col min="270" max="270" width="65.125" style="3185" customWidth="1"/>
    <col min="271" max="513" width="9" style="3185"/>
    <col min="514" max="514" width="39.375" style="3185" customWidth="1"/>
    <col min="515" max="515" width="6.25" style="3185" customWidth="1"/>
    <col min="516" max="518" width="13.875" style="3185" customWidth="1"/>
    <col min="519" max="519" width="10.875" style="3185" customWidth="1"/>
    <col min="520" max="520" width="7.875" style="3185" customWidth="1"/>
    <col min="521" max="521" width="9" style="3185" customWidth="1"/>
    <col min="522" max="523" width="10.625" style="3185" customWidth="1"/>
    <col min="524" max="524" width="14.375" style="3185" customWidth="1"/>
    <col min="525" max="525" width="6.25" style="3185" customWidth="1"/>
    <col min="526" max="526" width="65.125" style="3185" customWidth="1"/>
    <col min="527" max="769" width="9" style="3185"/>
    <col min="770" max="770" width="39.375" style="3185" customWidth="1"/>
    <col min="771" max="771" width="6.25" style="3185" customWidth="1"/>
    <col min="772" max="774" width="13.875" style="3185" customWidth="1"/>
    <col min="775" max="775" width="10.875" style="3185" customWidth="1"/>
    <col min="776" max="776" width="7.875" style="3185" customWidth="1"/>
    <col min="777" max="777" width="9" style="3185" customWidth="1"/>
    <col min="778" max="779" width="10.625" style="3185" customWidth="1"/>
    <col min="780" max="780" width="14.375" style="3185" customWidth="1"/>
    <col min="781" max="781" width="6.25" style="3185" customWidth="1"/>
    <col min="782" max="782" width="65.125" style="3185" customWidth="1"/>
    <col min="783" max="1025" width="9" style="3185"/>
    <col min="1026" max="1026" width="39.375" style="3185" customWidth="1"/>
    <col min="1027" max="1027" width="6.25" style="3185" customWidth="1"/>
    <col min="1028" max="1030" width="13.875" style="3185" customWidth="1"/>
    <col min="1031" max="1031" width="10.875" style="3185" customWidth="1"/>
    <col min="1032" max="1032" width="7.875" style="3185" customWidth="1"/>
    <col min="1033" max="1033" width="9" style="3185" customWidth="1"/>
    <col min="1034" max="1035" width="10.625" style="3185" customWidth="1"/>
    <col min="1036" max="1036" width="14.375" style="3185" customWidth="1"/>
    <col min="1037" max="1037" width="6.25" style="3185" customWidth="1"/>
    <col min="1038" max="1038" width="65.125" style="3185" customWidth="1"/>
    <col min="1039" max="1281" width="9" style="3185"/>
    <col min="1282" max="1282" width="39.375" style="3185" customWidth="1"/>
    <col min="1283" max="1283" width="6.25" style="3185" customWidth="1"/>
    <col min="1284" max="1286" width="13.875" style="3185" customWidth="1"/>
    <col min="1287" max="1287" width="10.875" style="3185" customWidth="1"/>
    <col min="1288" max="1288" width="7.875" style="3185" customWidth="1"/>
    <col min="1289" max="1289" width="9" style="3185" customWidth="1"/>
    <col min="1290" max="1291" width="10.625" style="3185" customWidth="1"/>
    <col min="1292" max="1292" width="14.375" style="3185" customWidth="1"/>
    <col min="1293" max="1293" width="6.25" style="3185" customWidth="1"/>
    <col min="1294" max="1294" width="65.125" style="3185" customWidth="1"/>
    <col min="1295" max="1537" width="9" style="3185"/>
    <col min="1538" max="1538" width="39.375" style="3185" customWidth="1"/>
    <col min="1539" max="1539" width="6.25" style="3185" customWidth="1"/>
    <col min="1540" max="1542" width="13.875" style="3185" customWidth="1"/>
    <col min="1543" max="1543" width="10.875" style="3185" customWidth="1"/>
    <col min="1544" max="1544" width="7.875" style="3185" customWidth="1"/>
    <col min="1545" max="1545" width="9" style="3185" customWidth="1"/>
    <col min="1546" max="1547" width="10.625" style="3185" customWidth="1"/>
    <col min="1548" max="1548" width="14.375" style="3185" customWidth="1"/>
    <col min="1549" max="1549" width="6.25" style="3185" customWidth="1"/>
    <col min="1550" max="1550" width="65.125" style="3185" customWidth="1"/>
    <col min="1551" max="1793" width="9" style="3185"/>
    <col min="1794" max="1794" width="39.375" style="3185" customWidth="1"/>
    <col min="1795" max="1795" width="6.25" style="3185" customWidth="1"/>
    <col min="1796" max="1798" width="13.875" style="3185" customWidth="1"/>
    <col min="1799" max="1799" width="10.875" style="3185" customWidth="1"/>
    <col min="1800" max="1800" width="7.875" style="3185" customWidth="1"/>
    <col min="1801" max="1801" width="9" style="3185" customWidth="1"/>
    <col min="1802" max="1803" width="10.625" style="3185" customWidth="1"/>
    <col min="1804" max="1804" width="14.375" style="3185" customWidth="1"/>
    <col min="1805" max="1805" width="6.25" style="3185" customWidth="1"/>
    <col min="1806" max="1806" width="65.125" style="3185" customWidth="1"/>
    <col min="1807" max="2049" width="9" style="3185"/>
    <col min="2050" max="2050" width="39.375" style="3185" customWidth="1"/>
    <col min="2051" max="2051" width="6.25" style="3185" customWidth="1"/>
    <col min="2052" max="2054" width="13.875" style="3185" customWidth="1"/>
    <col min="2055" max="2055" width="10.875" style="3185" customWidth="1"/>
    <col min="2056" max="2056" width="7.875" style="3185" customWidth="1"/>
    <col min="2057" max="2057" width="9" style="3185" customWidth="1"/>
    <col min="2058" max="2059" width="10.625" style="3185" customWidth="1"/>
    <col min="2060" max="2060" width="14.375" style="3185" customWidth="1"/>
    <col min="2061" max="2061" width="6.25" style="3185" customWidth="1"/>
    <col min="2062" max="2062" width="65.125" style="3185" customWidth="1"/>
    <col min="2063" max="2305" width="9" style="3185"/>
    <col min="2306" max="2306" width="39.375" style="3185" customWidth="1"/>
    <col min="2307" max="2307" width="6.25" style="3185" customWidth="1"/>
    <col min="2308" max="2310" width="13.875" style="3185" customWidth="1"/>
    <col min="2311" max="2311" width="10.875" style="3185" customWidth="1"/>
    <col min="2312" max="2312" width="7.875" style="3185" customWidth="1"/>
    <col min="2313" max="2313" width="9" style="3185" customWidth="1"/>
    <col min="2314" max="2315" width="10.625" style="3185" customWidth="1"/>
    <col min="2316" max="2316" width="14.375" style="3185" customWidth="1"/>
    <col min="2317" max="2317" width="6.25" style="3185" customWidth="1"/>
    <col min="2318" max="2318" width="65.125" style="3185" customWidth="1"/>
    <col min="2319" max="2561" width="9" style="3185"/>
    <col min="2562" max="2562" width="39.375" style="3185" customWidth="1"/>
    <col min="2563" max="2563" width="6.25" style="3185" customWidth="1"/>
    <col min="2564" max="2566" width="13.875" style="3185" customWidth="1"/>
    <col min="2567" max="2567" width="10.875" style="3185" customWidth="1"/>
    <col min="2568" max="2568" width="7.875" style="3185" customWidth="1"/>
    <col min="2569" max="2569" width="9" style="3185" customWidth="1"/>
    <col min="2570" max="2571" width="10.625" style="3185" customWidth="1"/>
    <col min="2572" max="2572" width="14.375" style="3185" customWidth="1"/>
    <col min="2573" max="2573" width="6.25" style="3185" customWidth="1"/>
    <col min="2574" max="2574" width="65.125" style="3185" customWidth="1"/>
    <col min="2575" max="2817" width="9" style="3185"/>
    <col min="2818" max="2818" width="39.375" style="3185" customWidth="1"/>
    <col min="2819" max="2819" width="6.25" style="3185" customWidth="1"/>
    <col min="2820" max="2822" width="13.875" style="3185" customWidth="1"/>
    <col min="2823" max="2823" width="10.875" style="3185" customWidth="1"/>
    <col min="2824" max="2824" width="7.875" style="3185" customWidth="1"/>
    <col min="2825" max="2825" width="9" style="3185" customWidth="1"/>
    <col min="2826" max="2827" width="10.625" style="3185" customWidth="1"/>
    <col min="2828" max="2828" width="14.375" style="3185" customWidth="1"/>
    <col min="2829" max="2829" width="6.25" style="3185" customWidth="1"/>
    <col min="2830" max="2830" width="65.125" style="3185" customWidth="1"/>
    <col min="2831" max="3073" width="9" style="3185"/>
    <col min="3074" max="3074" width="39.375" style="3185" customWidth="1"/>
    <col min="3075" max="3075" width="6.25" style="3185" customWidth="1"/>
    <col min="3076" max="3078" width="13.875" style="3185" customWidth="1"/>
    <col min="3079" max="3079" width="10.875" style="3185" customWidth="1"/>
    <col min="3080" max="3080" width="7.875" style="3185" customWidth="1"/>
    <col min="3081" max="3081" width="9" style="3185" customWidth="1"/>
    <col min="3082" max="3083" width="10.625" style="3185" customWidth="1"/>
    <col min="3084" max="3084" width="14.375" style="3185" customWidth="1"/>
    <col min="3085" max="3085" width="6.25" style="3185" customWidth="1"/>
    <col min="3086" max="3086" width="65.125" style="3185" customWidth="1"/>
    <col min="3087" max="3329" width="9" style="3185"/>
    <col min="3330" max="3330" width="39.375" style="3185" customWidth="1"/>
    <col min="3331" max="3331" width="6.25" style="3185" customWidth="1"/>
    <col min="3332" max="3334" width="13.875" style="3185" customWidth="1"/>
    <col min="3335" max="3335" width="10.875" style="3185" customWidth="1"/>
    <col min="3336" max="3336" width="7.875" style="3185" customWidth="1"/>
    <col min="3337" max="3337" width="9" style="3185" customWidth="1"/>
    <col min="3338" max="3339" width="10.625" style="3185" customWidth="1"/>
    <col min="3340" max="3340" width="14.375" style="3185" customWidth="1"/>
    <col min="3341" max="3341" width="6.25" style="3185" customWidth="1"/>
    <col min="3342" max="3342" width="65.125" style="3185" customWidth="1"/>
    <col min="3343" max="3585" width="9" style="3185"/>
    <col min="3586" max="3586" width="39.375" style="3185" customWidth="1"/>
    <col min="3587" max="3587" width="6.25" style="3185" customWidth="1"/>
    <col min="3588" max="3590" width="13.875" style="3185" customWidth="1"/>
    <col min="3591" max="3591" width="10.875" style="3185" customWidth="1"/>
    <col min="3592" max="3592" width="7.875" style="3185" customWidth="1"/>
    <col min="3593" max="3593" width="9" style="3185" customWidth="1"/>
    <col min="3594" max="3595" width="10.625" style="3185" customWidth="1"/>
    <col min="3596" max="3596" width="14.375" style="3185" customWidth="1"/>
    <col min="3597" max="3597" width="6.25" style="3185" customWidth="1"/>
    <col min="3598" max="3598" width="65.125" style="3185" customWidth="1"/>
    <col min="3599" max="3841" width="9" style="3185"/>
    <col min="3842" max="3842" width="39.375" style="3185" customWidth="1"/>
    <col min="3843" max="3843" width="6.25" style="3185" customWidth="1"/>
    <col min="3844" max="3846" width="13.875" style="3185" customWidth="1"/>
    <col min="3847" max="3847" width="10.875" style="3185" customWidth="1"/>
    <col min="3848" max="3848" width="7.875" style="3185" customWidth="1"/>
    <col min="3849" max="3849" width="9" style="3185" customWidth="1"/>
    <col min="3850" max="3851" width="10.625" style="3185" customWidth="1"/>
    <col min="3852" max="3852" width="14.375" style="3185" customWidth="1"/>
    <col min="3853" max="3853" width="6.25" style="3185" customWidth="1"/>
    <col min="3854" max="3854" width="65.125" style="3185" customWidth="1"/>
    <col min="3855" max="4097" width="9" style="3185"/>
    <col min="4098" max="4098" width="39.375" style="3185" customWidth="1"/>
    <col min="4099" max="4099" width="6.25" style="3185" customWidth="1"/>
    <col min="4100" max="4102" width="13.875" style="3185" customWidth="1"/>
    <col min="4103" max="4103" width="10.875" style="3185" customWidth="1"/>
    <col min="4104" max="4104" width="7.875" style="3185" customWidth="1"/>
    <col min="4105" max="4105" width="9" style="3185" customWidth="1"/>
    <col min="4106" max="4107" width="10.625" style="3185" customWidth="1"/>
    <col min="4108" max="4108" width="14.375" style="3185" customWidth="1"/>
    <col min="4109" max="4109" width="6.25" style="3185" customWidth="1"/>
    <col min="4110" max="4110" width="65.125" style="3185" customWidth="1"/>
    <col min="4111" max="4353" width="9" style="3185"/>
    <col min="4354" max="4354" width="39.375" style="3185" customWidth="1"/>
    <col min="4355" max="4355" width="6.25" style="3185" customWidth="1"/>
    <col min="4356" max="4358" width="13.875" style="3185" customWidth="1"/>
    <col min="4359" max="4359" width="10.875" style="3185" customWidth="1"/>
    <col min="4360" max="4360" width="7.875" style="3185" customWidth="1"/>
    <col min="4361" max="4361" width="9" style="3185" customWidth="1"/>
    <col min="4362" max="4363" width="10.625" style="3185" customWidth="1"/>
    <col min="4364" max="4364" width="14.375" style="3185" customWidth="1"/>
    <col min="4365" max="4365" width="6.25" style="3185" customWidth="1"/>
    <col min="4366" max="4366" width="65.125" style="3185" customWidth="1"/>
    <col min="4367" max="4609" width="9" style="3185"/>
    <col min="4610" max="4610" width="39.375" style="3185" customWidth="1"/>
    <col min="4611" max="4611" width="6.25" style="3185" customWidth="1"/>
    <col min="4612" max="4614" width="13.875" style="3185" customWidth="1"/>
    <col min="4615" max="4615" width="10.875" style="3185" customWidth="1"/>
    <col min="4616" max="4616" width="7.875" style="3185" customWidth="1"/>
    <col min="4617" max="4617" width="9" style="3185" customWidth="1"/>
    <col min="4618" max="4619" width="10.625" style="3185" customWidth="1"/>
    <col min="4620" max="4620" width="14.375" style="3185" customWidth="1"/>
    <col min="4621" max="4621" width="6.25" style="3185" customWidth="1"/>
    <col min="4622" max="4622" width="65.125" style="3185" customWidth="1"/>
    <col min="4623" max="4865" width="9" style="3185"/>
    <col min="4866" max="4866" width="39.375" style="3185" customWidth="1"/>
    <col min="4867" max="4867" width="6.25" style="3185" customWidth="1"/>
    <col min="4868" max="4870" width="13.875" style="3185" customWidth="1"/>
    <col min="4871" max="4871" width="10.875" style="3185" customWidth="1"/>
    <col min="4872" max="4872" width="7.875" style="3185" customWidth="1"/>
    <col min="4873" max="4873" width="9" style="3185" customWidth="1"/>
    <col min="4874" max="4875" width="10.625" style="3185" customWidth="1"/>
    <col min="4876" max="4876" width="14.375" style="3185" customWidth="1"/>
    <col min="4877" max="4877" width="6.25" style="3185" customWidth="1"/>
    <col min="4878" max="4878" width="65.125" style="3185" customWidth="1"/>
    <col min="4879" max="5121" width="9" style="3185"/>
    <col min="5122" max="5122" width="39.375" style="3185" customWidth="1"/>
    <col min="5123" max="5123" width="6.25" style="3185" customWidth="1"/>
    <col min="5124" max="5126" width="13.875" style="3185" customWidth="1"/>
    <col min="5127" max="5127" width="10.875" style="3185" customWidth="1"/>
    <col min="5128" max="5128" width="7.875" style="3185" customWidth="1"/>
    <col min="5129" max="5129" width="9" style="3185" customWidth="1"/>
    <col min="5130" max="5131" width="10.625" style="3185" customWidth="1"/>
    <col min="5132" max="5132" width="14.375" style="3185" customWidth="1"/>
    <col min="5133" max="5133" width="6.25" style="3185" customWidth="1"/>
    <col min="5134" max="5134" width="65.125" style="3185" customWidth="1"/>
    <col min="5135" max="5377" width="9" style="3185"/>
    <col min="5378" max="5378" width="39.375" style="3185" customWidth="1"/>
    <col min="5379" max="5379" width="6.25" style="3185" customWidth="1"/>
    <col min="5380" max="5382" width="13.875" style="3185" customWidth="1"/>
    <col min="5383" max="5383" width="10.875" style="3185" customWidth="1"/>
    <col min="5384" max="5384" width="7.875" style="3185" customWidth="1"/>
    <col min="5385" max="5385" width="9" style="3185" customWidth="1"/>
    <col min="5386" max="5387" width="10.625" style="3185" customWidth="1"/>
    <col min="5388" max="5388" width="14.375" style="3185" customWidth="1"/>
    <col min="5389" max="5389" width="6.25" style="3185" customWidth="1"/>
    <col min="5390" max="5390" width="65.125" style="3185" customWidth="1"/>
    <col min="5391" max="5633" width="9" style="3185"/>
    <col min="5634" max="5634" width="39.375" style="3185" customWidth="1"/>
    <col min="5635" max="5635" width="6.25" style="3185" customWidth="1"/>
    <col min="5636" max="5638" width="13.875" style="3185" customWidth="1"/>
    <col min="5639" max="5639" width="10.875" style="3185" customWidth="1"/>
    <col min="5640" max="5640" width="7.875" style="3185" customWidth="1"/>
    <col min="5641" max="5641" width="9" style="3185" customWidth="1"/>
    <col min="5642" max="5643" width="10.625" style="3185" customWidth="1"/>
    <col min="5644" max="5644" width="14.375" style="3185" customWidth="1"/>
    <col min="5645" max="5645" width="6.25" style="3185" customWidth="1"/>
    <col min="5646" max="5646" width="65.125" style="3185" customWidth="1"/>
    <col min="5647" max="5889" width="9" style="3185"/>
    <col min="5890" max="5890" width="39.375" style="3185" customWidth="1"/>
    <col min="5891" max="5891" width="6.25" style="3185" customWidth="1"/>
    <col min="5892" max="5894" width="13.875" style="3185" customWidth="1"/>
    <col min="5895" max="5895" width="10.875" style="3185" customWidth="1"/>
    <col min="5896" max="5896" width="7.875" style="3185" customWidth="1"/>
    <col min="5897" max="5897" width="9" style="3185" customWidth="1"/>
    <col min="5898" max="5899" width="10.625" style="3185" customWidth="1"/>
    <col min="5900" max="5900" width="14.375" style="3185" customWidth="1"/>
    <col min="5901" max="5901" width="6.25" style="3185" customWidth="1"/>
    <col min="5902" max="5902" width="65.125" style="3185" customWidth="1"/>
    <col min="5903" max="6145" width="9" style="3185"/>
    <col min="6146" max="6146" width="39.375" style="3185" customWidth="1"/>
    <col min="6147" max="6147" width="6.25" style="3185" customWidth="1"/>
    <col min="6148" max="6150" width="13.875" style="3185" customWidth="1"/>
    <col min="6151" max="6151" width="10.875" style="3185" customWidth="1"/>
    <col min="6152" max="6152" width="7.875" style="3185" customWidth="1"/>
    <col min="6153" max="6153" width="9" style="3185" customWidth="1"/>
    <col min="6154" max="6155" width="10.625" style="3185" customWidth="1"/>
    <col min="6156" max="6156" width="14.375" style="3185" customWidth="1"/>
    <col min="6157" max="6157" width="6.25" style="3185" customWidth="1"/>
    <col min="6158" max="6158" width="65.125" style="3185" customWidth="1"/>
    <col min="6159" max="6401" width="9" style="3185"/>
    <col min="6402" max="6402" width="39.375" style="3185" customWidth="1"/>
    <col min="6403" max="6403" width="6.25" style="3185" customWidth="1"/>
    <col min="6404" max="6406" width="13.875" style="3185" customWidth="1"/>
    <col min="6407" max="6407" width="10.875" style="3185" customWidth="1"/>
    <col min="6408" max="6408" width="7.875" style="3185" customWidth="1"/>
    <col min="6409" max="6409" width="9" style="3185" customWidth="1"/>
    <col min="6410" max="6411" width="10.625" style="3185" customWidth="1"/>
    <col min="6412" max="6412" width="14.375" style="3185" customWidth="1"/>
    <col min="6413" max="6413" width="6.25" style="3185" customWidth="1"/>
    <col min="6414" max="6414" width="65.125" style="3185" customWidth="1"/>
    <col min="6415" max="6657" width="9" style="3185"/>
    <col min="6658" max="6658" width="39.375" style="3185" customWidth="1"/>
    <col min="6659" max="6659" width="6.25" style="3185" customWidth="1"/>
    <col min="6660" max="6662" width="13.875" style="3185" customWidth="1"/>
    <col min="6663" max="6663" width="10.875" style="3185" customWidth="1"/>
    <col min="6664" max="6664" width="7.875" style="3185" customWidth="1"/>
    <col min="6665" max="6665" width="9" style="3185" customWidth="1"/>
    <col min="6666" max="6667" width="10.625" style="3185" customWidth="1"/>
    <col min="6668" max="6668" width="14.375" style="3185" customWidth="1"/>
    <col min="6669" max="6669" width="6.25" style="3185" customWidth="1"/>
    <col min="6670" max="6670" width="65.125" style="3185" customWidth="1"/>
    <col min="6671" max="6913" width="9" style="3185"/>
    <col min="6914" max="6914" width="39.375" style="3185" customWidth="1"/>
    <col min="6915" max="6915" width="6.25" style="3185" customWidth="1"/>
    <col min="6916" max="6918" width="13.875" style="3185" customWidth="1"/>
    <col min="6919" max="6919" width="10.875" style="3185" customWidth="1"/>
    <col min="6920" max="6920" width="7.875" style="3185" customWidth="1"/>
    <col min="6921" max="6921" width="9" style="3185" customWidth="1"/>
    <col min="6922" max="6923" width="10.625" style="3185" customWidth="1"/>
    <col min="6924" max="6924" width="14.375" style="3185" customWidth="1"/>
    <col min="6925" max="6925" width="6.25" style="3185" customWidth="1"/>
    <col min="6926" max="6926" width="65.125" style="3185" customWidth="1"/>
    <col min="6927" max="7169" width="9" style="3185"/>
    <col min="7170" max="7170" width="39.375" style="3185" customWidth="1"/>
    <col min="7171" max="7171" width="6.25" style="3185" customWidth="1"/>
    <col min="7172" max="7174" width="13.875" style="3185" customWidth="1"/>
    <col min="7175" max="7175" width="10.875" style="3185" customWidth="1"/>
    <col min="7176" max="7176" width="7.875" style="3185" customWidth="1"/>
    <col min="7177" max="7177" width="9" style="3185" customWidth="1"/>
    <col min="7178" max="7179" width="10.625" style="3185" customWidth="1"/>
    <col min="7180" max="7180" width="14.375" style="3185" customWidth="1"/>
    <col min="7181" max="7181" width="6.25" style="3185" customWidth="1"/>
    <col min="7182" max="7182" width="65.125" style="3185" customWidth="1"/>
    <col min="7183" max="7425" width="9" style="3185"/>
    <col min="7426" max="7426" width="39.375" style="3185" customWidth="1"/>
    <col min="7427" max="7427" width="6.25" style="3185" customWidth="1"/>
    <col min="7428" max="7430" width="13.875" style="3185" customWidth="1"/>
    <col min="7431" max="7431" width="10.875" style="3185" customWidth="1"/>
    <col min="7432" max="7432" width="7.875" style="3185" customWidth="1"/>
    <col min="7433" max="7433" width="9" style="3185" customWidth="1"/>
    <col min="7434" max="7435" width="10.625" style="3185" customWidth="1"/>
    <col min="7436" max="7436" width="14.375" style="3185" customWidth="1"/>
    <col min="7437" max="7437" width="6.25" style="3185" customWidth="1"/>
    <col min="7438" max="7438" width="65.125" style="3185" customWidth="1"/>
    <col min="7439" max="7681" width="9" style="3185"/>
    <col min="7682" max="7682" width="39.375" style="3185" customWidth="1"/>
    <col min="7683" max="7683" width="6.25" style="3185" customWidth="1"/>
    <col min="7684" max="7686" width="13.875" style="3185" customWidth="1"/>
    <col min="7687" max="7687" width="10.875" style="3185" customWidth="1"/>
    <col min="7688" max="7688" width="7.875" style="3185" customWidth="1"/>
    <col min="7689" max="7689" width="9" style="3185" customWidth="1"/>
    <col min="7690" max="7691" width="10.625" style="3185" customWidth="1"/>
    <col min="7692" max="7692" width="14.375" style="3185" customWidth="1"/>
    <col min="7693" max="7693" width="6.25" style="3185" customWidth="1"/>
    <col min="7694" max="7694" width="65.125" style="3185" customWidth="1"/>
    <col min="7695" max="7937" width="9" style="3185"/>
    <col min="7938" max="7938" width="39.375" style="3185" customWidth="1"/>
    <col min="7939" max="7939" width="6.25" style="3185" customWidth="1"/>
    <col min="7940" max="7942" width="13.875" style="3185" customWidth="1"/>
    <col min="7943" max="7943" width="10.875" style="3185" customWidth="1"/>
    <col min="7944" max="7944" width="7.875" style="3185" customWidth="1"/>
    <col min="7945" max="7945" width="9" style="3185" customWidth="1"/>
    <col min="7946" max="7947" width="10.625" style="3185" customWidth="1"/>
    <col min="7948" max="7948" width="14.375" style="3185" customWidth="1"/>
    <col min="7949" max="7949" width="6.25" style="3185" customWidth="1"/>
    <col min="7950" max="7950" width="65.125" style="3185" customWidth="1"/>
    <col min="7951" max="8193" width="9" style="3185"/>
    <col min="8194" max="8194" width="39.375" style="3185" customWidth="1"/>
    <col min="8195" max="8195" width="6.25" style="3185" customWidth="1"/>
    <col min="8196" max="8198" width="13.875" style="3185" customWidth="1"/>
    <col min="8199" max="8199" width="10.875" style="3185" customWidth="1"/>
    <col min="8200" max="8200" width="7.875" style="3185" customWidth="1"/>
    <col min="8201" max="8201" width="9" style="3185" customWidth="1"/>
    <col min="8202" max="8203" width="10.625" style="3185" customWidth="1"/>
    <col min="8204" max="8204" width="14.375" style="3185" customWidth="1"/>
    <col min="8205" max="8205" width="6.25" style="3185" customWidth="1"/>
    <col min="8206" max="8206" width="65.125" style="3185" customWidth="1"/>
    <col min="8207" max="8449" width="9" style="3185"/>
    <col min="8450" max="8450" width="39.375" style="3185" customWidth="1"/>
    <col min="8451" max="8451" width="6.25" style="3185" customWidth="1"/>
    <col min="8452" max="8454" width="13.875" style="3185" customWidth="1"/>
    <col min="8455" max="8455" width="10.875" style="3185" customWidth="1"/>
    <col min="8456" max="8456" width="7.875" style="3185" customWidth="1"/>
    <col min="8457" max="8457" width="9" style="3185" customWidth="1"/>
    <col min="8458" max="8459" width="10.625" style="3185" customWidth="1"/>
    <col min="8460" max="8460" width="14.375" style="3185" customWidth="1"/>
    <col min="8461" max="8461" width="6.25" style="3185" customWidth="1"/>
    <col min="8462" max="8462" width="65.125" style="3185" customWidth="1"/>
    <col min="8463" max="8705" width="9" style="3185"/>
    <col min="8706" max="8706" width="39.375" style="3185" customWidth="1"/>
    <col min="8707" max="8707" width="6.25" style="3185" customWidth="1"/>
    <col min="8708" max="8710" width="13.875" style="3185" customWidth="1"/>
    <col min="8711" max="8711" width="10.875" style="3185" customWidth="1"/>
    <col min="8712" max="8712" width="7.875" style="3185" customWidth="1"/>
    <col min="8713" max="8713" width="9" style="3185" customWidth="1"/>
    <col min="8714" max="8715" width="10.625" style="3185" customWidth="1"/>
    <col min="8716" max="8716" width="14.375" style="3185" customWidth="1"/>
    <col min="8717" max="8717" width="6.25" style="3185" customWidth="1"/>
    <col min="8718" max="8718" width="65.125" style="3185" customWidth="1"/>
    <col min="8719" max="8961" width="9" style="3185"/>
    <col min="8962" max="8962" width="39.375" style="3185" customWidth="1"/>
    <col min="8963" max="8963" width="6.25" style="3185" customWidth="1"/>
    <col min="8964" max="8966" width="13.875" style="3185" customWidth="1"/>
    <col min="8967" max="8967" width="10.875" style="3185" customWidth="1"/>
    <col min="8968" max="8968" width="7.875" style="3185" customWidth="1"/>
    <col min="8969" max="8969" width="9" style="3185" customWidth="1"/>
    <col min="8970" max="8971" width="10.625" style="3185" customWidth="1"/>
    <col min="8972" max="8972" width="14.375" style="3185" customWidth="1"/>
    <col min="8973" max="8973" width="6.25" style="3185" customWidth="1"/>
    <col min="8974" max="8974" width="65.125" style="3185" customWidth="1"/>
    <col min="8975" max="9217" width="9" style="3185"/>
    <col min="9218" max="9218" width="39.375" style="3185" customWidth="1"/>
    <col min="9219" max="9219" width="6.25" style="3185" customWidth="1"/>
    <col min="9220" max="9222" width="13.875" style="3185" customWidth="1"/>
    <col min="9223" max="9223" width="10.875" style="3185" customWidth="1"/>
    <col min="9224" max="9224" width="7.875" style="3185" customWidth="1"/>
    <col min="9225" max="9225" width="9" style="3185" customWidth="1"/>
    <col min="9226" max="9227" width="10.625" style="3185" customWidth="1"/>
    <col min="9228" max="9228" width="14.375" style="3185" customWidth="1"/>
    <col min="9229" max="9229" width="6.25" style="3185" customWidth="1"/>
    <col min="9230" max="9230" width="65.125" style="3185" customWidth="1"/>
    <col min="9231" max="9473" width="9" style="3185"/>
    <col min="9474" max="9474" width="39.375" style="3185" customWidth="1"/>
    <col min="9475" max="9475" width="6.25" style="3185" customWidth="1"/>
    <col min="9476" max="9478" width="13.875" style="3185" customWidth="1"/>
    <col min="9479" max="9479" width="10.875" style="3185" customWidth="1"/>
    <col min="9480" max="9480" width="7.875" style="3185" customWidth="1"/>
    <col min="9481" max="9481" width="9" style="3185" customWidth="1"/>
    <col min="9482" max="9483" width="10.625" style="3185" customWidth="1"/>
    <col min="9484" max="9484" width="14.375" style="3185" customWidth="1"/>
    <col min="9485" max="9485" width="6.25" style="3185" customWidth="1"/>
    <col min="9486" max="9486" width="65.125" style="3185" customWidth="1"/>
    <col min="9487" max="9729" width="9" style="3185"/>
    <col min="9730" max="9730" width="39.375" style="3185" customWidth="1"/>
    <col min="9731" max="9731" width="6.25" style="3185" customWidth="1"/>
    <col min="9732" max="9734" width="13.875" style="3185" customWidth="1"/>
    <col min="9735" max="9735" width="10.875" style="3185" customWidth="1"/>
    <col min="9736" max="9736" width="7.875" style="3185" customWidth="1"/>
    <col min="9737" max="9737" width="9" style="3185" customWidth="1"/>
    <col min="9738" max="9739" width="10.625" style="3185" customWidth="1"/>
    <col min="9740" max="9740" width="14.375" style="3185" customWidth="1"/>
    <col min="9741" max="9741" width="6.25" style="3185" customWidth="1"/>
    <col min="9742" max="9742" width="65.125" style="3185" customWidth="1"/>
    <col min="9743" max="9985" width="9" style="3185"/>
    <col min="9986" max="9986" width="39.375" style="3185" customWidth="1"/>
    <col min="9987" max="9987" width="6.25" style="3185" customWidth="1"/>
    <col min="9988" max="9990" width="13.875" style="3185" customWidth="1"/>
    <col min="9991" max="9991" width="10.875" style="3185" customWidth="1"/>
    <col min="9992" max="9992" width="7.875" style="3185" customWidth="1"/>
    <col min="9993" max="9993" width="9" style="3185" customWidth="1"/>
    <col min="9994" max="9995" width="10.625" style="3185" customWidth="1"/>
    <col min="9996" max="9996" width="14.375" style="3185" customWidth="1"/>
    <col min="9997" max="9997" width="6.25" style="3185" customWidth="1"/>
    <col min="9998" max="9998" width="65.125" style="3185" customWidth="1"/>
    <col min="9999" max="10241" width="9" style="3185"/>
    <col min="10242" max="10242" width="39.375" style="3185" customWidth="1"/>
    <col min="10243" max="10243" width="6.25" style="3185" customWidth="1"/>
    <col min="10244" max="10246" width="13.875" style="3185" customWidth="1"/>
    <col min="10247" max="10247" width="10.875" style="3185" customWidth="1"/>
    <col min="10248" max="10248" width="7.875" style="3185" customWidth="1"/>
    <col min="10249" max="10249" width="9" style="3185" customWidth="1"/>
    <col min="10250" max="10251" width="10.625" style="3185" customWidth="1"/>
    <col min="10252" max="10252" width="14.375" style="3185" customWidth="1"/>
    <col min="10253" max="10253" width="6.25" style="3185" customWidth="1"/>
    <col min="10254" max="10254" width="65.125" style="3185" customWidth="1"/>
    <col min="10255" max="10497" width="9" style="3185"/>
    <col min="10498" max="10498" width="39.375" style="3185" customWidth="1"/>
    <col min="10499" max="10499" width="6.25" style="3185" customWidth="1"/>
    <col min="10500" max="10502" width="13.875" style="3185" customWidth="1"/>
    <col min="10503" max="10503" width="10.875" style="3185" customWidth="1"/>
    <col min="10504" max="10504" width="7.875" style="3185" customWidth="1"/>
    <col min="10505" max="10505" width="9" style="3185" customWidth="1"/>
    <col min="10506" max="10507" width="10.625" style="3185" customWidth="1"/>
    <col min="10508" max="10508" width="14.375" style="3185" customWidth="1"/>
    <col min="10509" max="10509" width="6.25" style="3185" customWidth="1"/>
    <col min="10510" max="10510" width="65.125" style="3185" customWidth="1"/>
    <col min="10511" max="10753" width="9" style="3185"/>
    <col min="10754" max="10754" width="39.375" style="3185" customWidth="1"/>
    <col min="10755" max="10755" width="6.25" style="3185" customWidth="1"/>
    <col min="10756" max="10758" width="13.875" style="3185" customWidth="1"/>
    <col min="10759" max="10759" width="10.875" style="3185" customWidth="1"/>
    <col min="10760" max="10760" width="7.875" style="3185" customWidth="1"/>
    <col min="10761" max="10761" width="9" style="3185" customWidth="1"/>
    <col min="10762" max="10763" width="10.625" style="3185" customWidth="1"/>
    <col min="10764" max="10764" width="14.375" style="3185" customWidth="1"/>
    <col min="10765" max="10765" width="6.25" style="3185" customWidth="1"/>
    <col min="10766" max="10766" width="65.125" style="3185" customWidth="1"/>
    <col min="10767" max="11009" width="9" style="3185"/>
    <col min="11010" max="11010" width="39.375" style="3185" customWidth="1"/>
    <col min="11011" max="11011" width="6.25" style="3185" customWidth="1"/>
    <col min="11012" max="11014" width="13.875" style="3185" customWidth="1"/>
    <col min="11015" max="11015" width="10.875" style="3185" customWidth="1"/>
    <col min="11016" max="11016" width="7.875" style="3185" customWidth="1"/>
    <col min="11017" max="11017" width="9" style="3185" customWidth="1"/>
    <col min="11018" max="11019" width="10.625" style="3185" customWidth="1"/>
    <col min="11020" max="11020" width="14.375" style="3185" customWidth="1"/>
    <col min="11021" max="11021" width="6.25" style="3185" customWidth="1"/>
    <col min="11022" max="11022" width="65.125" style="3185" customWidth="1"/>
    <col min="11023" max="11265" width="9" style="3185"/>
    <col min="11266" max="11266" width="39.375" style="3185" customWidth="1"/>
    <col min="11267" max="11267" width="6.25" style="3185" customWidth="1"/>
    <col min="11268" max="11270" width="13.875" style="3185" customWidth="1"/>
    <col min="11271" max="11271" width="10.875" style="3185" customWidth="1"/>
    <col min="11272" max="11272" width="7.875" style="3185" customWidth="1"/>
    <col min="11273" max="11273" width="9" style="3185" customWidth="1"/>
    <col min="11274" max="11275" width="10.625" style="3185" customWidth="1"/>
    <col min="11276" max="11276" width="14.375" style="3185" customWidth="1"/>
    <col min="11277" max="11277" width="6.25" style="3185" customWidth="1"/>
    <col min="11278" max="11278" width="65.125" style="3185" customWidth="1"/>
    <col min="11279" max="11521" width="9" style="3185"/>
    <col min="11522" max="11522" width="39.375" style="3185" customWidth="1"/>
    <col min="11523" max="11523" width="6.25" style="3185" customWidth="1"/>
    <col min="11524" max="11526" width="13.875" style="3185" customWidth="1"/>
    <col min="11527" max="11527" width="10.875" style="3185" customWidth="1"/>
    <col min="11528" max="11528" width="7.875" style="3185" customWidth="1"/>
    <col min="11529" max="11529" width="9" style="3185" customWidth="1"/>
    <col min="11530" max="11531" width="10.625" style="3185" customWidth="1"/>
    <col min="11532" max="11532" width="14.375" style="3185" customWidth="1"/>
    <col min="11533" max="11533" width="6.25" style="3185" customWidth="1"/>
    <col min="11534" max="11534" width="65.125" style="3185" customWidth="1"/>
    <col min="11535" max="11777" width="9" style="3185"/>
    <col min="11778" max="11778" width="39.375" style="3185" customWidth="1"/>
    <col min="11779" max="11779" width="6.25" style="3185" customWidth="1"/>
    <col min="11780" max="11782" width="13.875" style="3185" customWidth="1"/>
    <col min="11783" max="11783" width="10.875" style="3185" customWidth="1"/>
    <col min="11784" max="11784" width="7.875" style="3185" customWidth="1"/>
    <col min="11785" max="11785" width="9" style="3185" customWidth="1"/>
    <col min="11786" max="11787" width="10.625" style="3185" customWidth="1"/>
    <col min="11788" max="11788" width="14.375" style="3185" customWidth="1"/>
    <col min="11789" max="11789" width="6.25" style="3185" customWidth="1"/>
    <col min="11790" max="11790" width="65.125" style="3185" customWidth="1"/>
    <col min="11791" max="12033" width="9" style="3185"/>
    <col min="12034" max="12034" width="39.375" style="3185" customWidth="1"/>
    <col min="12035" max="12035" width="6.25" style="3185" customWidth="1"/>
    <col min="12036" max="12038" width="13.875" style="3185" customWidth="1"/>
    <col min="12039" max="12039" width="10.875" style="3185" customWidth="1"/>
    <col min="12040" max="12040" width="7.875" style="3185" customWidth="1"/>
    <col min="12041" max="12041" width="9" style="3185" customWidth="1"/>
    <col min="12042" max="12043" width="10.625" style="3185" customWidth="1"/>
    <col min="12044" max="12044" width="14.375" style="3185" customWidth="1"/>
    <col min="12045" max="12045" width="6.25" style="3185" customWidth="1"/>
    <col min="12046" max="12046" width="65.125" style="3185" customWidth="1"/>
    <col min="12047" max="12289" width="9" style="3185"/>
    <col min="12290" max="12290" width="39.375" style="3185" customWidth="1"/>
    <col min="12291" max="12291" width="6.25" style="3185" customWidth="1"/>
    <col min="12292" max="12294" width="13.875" style="3185" customWidth="1"/>
    <col min="12295" max="12295" width="10.875" style="3185" customWidth="1"/>
    <col min="12296" max="12296" width="7.875" style="3185" customWidth="1"/>
    <col min="12297" max="12297" width="9" style="3185" customWidth="1"/>
    <col min="12298" max="12299" width="10.625" style="3185" customWidth="1"/>
    <col min="12300" max="12300" width="14.375" style="3185" customWidth="1"/>
    <col min="12301" max="12301" width="6.25" style="3185" customWidth="1"/>
    <col min="12302" max="12302" width="65.125" style="3185" customWidth="1"/>
    <col min="12303" max="12545" width="9" style="3185"/>
    <col min="12546" max="12546" width="39.375" style="3185" customWidth="1"/>
    <col min="12547" max="12547" width="6.25" style="3185" customWidth="1"/>
    <col min="12548" max="12550" width="13.875" style="3185" customWidth="1"/>
    <col min="12551" max="12551" width="10.875" style="3185" customWidth="1"/>
    <col min="12552" max="12552" width="7.875" style="3185" customWidth="1"/>
    <col min="12553" max="12553" width="9" style="3185" customWidth="1"/>
    <col min="12554" max="12555" width="10.625" style="3185" customWidth="1"/>
    <col min="12556" max="12556" width="14.375" style="3185" customWidth="1"/>
    <col min="12557" max="12557" width="6.25" style="3185" customWidth="1"/>
    <col min="12558" max="12558" width="65.125" style="3185" customWidth="1"/>
    <col min="12559" max="12801" width="9" style="3185"/>
    <col min="12802" max="12802" width="39.375" style="3185" customWidth="1"/>
    <col min="12803" max="12803" width="6.25" style="3185" customWidth="1"/>
    <col min="12804" max="12806" width="13.875" style="3185" customWidth="1"/>
    <col min="12807" max="12807" width="10.875" style="3185" customWidth="1"/>
    <col min="12808" max="12808" width="7.875" style="3185" customWidth="1"/>
    <col min="12809" max="12809" width="9" style="3185" customWidth="1"/>
    <col min="12810" max="12811" width="10.625" style="3185" customWidth="1"/>
    <col min="12812" max="12812" width="14.375" style="3185" customWidth="1"/>
    <col min="12813" max="12813" width="6.25" style="3185" customWidth="1"/>
    <col min="12814" max="12814" width="65.125" style="3185" customWidth="1"/>
    <col min="12815" max="13057" width="9" style="3185"/>
    <col min="13058" max="13058" width="39.375" style="3185" customWidth="1"/>
    <col min="13059" max="13059" width="6.25" style="3185" customWidth="1"/>
    <col min="13060" max="13062" width="13.875" style="3185" customWidth="1"/>
    <col min="13063" max="13063" width="10.875" style="3185" customWidth="1"/>
    <col min="13064" max="13064" width="7.875" style="3185" customWidth="1"/>
    <col min="13065" max="13065" width="9" style="3185" customWidth="1"/>
    <col min="13066" max="13067" width="10.625" style="3185" customWidth="1"/>
    <col min="13068" max="13068" width="14.375" style="3185" customWidth="1"/>
    <col min="13069" max="13069" width="6.25" style="3185" customWidth="1"/>
    <col min="13070" max="13070" width="65.125" style="3185" customWidth="1"/>
    <col min="13071" max="13313" width="9" style="3185"/>
    <col min="13314" max="13314" width="39.375" style="3185" customWidth="1"/>
    <col min="13315" max="13315" width="6.25" style="3185" customWidth="1"/>
    <col min="13316" max="13318" width="13.875" style="3185" customWidth="1"/>
    <col min="13319" max="13319" width="10.875" style="3185" customWidth="1"/>
    <col min="13320" max="13320" width="7.875" style="3185" customWidth="1"/>
    <col min="13321" max="13321" width="9" style="3185" customWidth="1"/>
    <col min="13322" max="13323" width="10.625" style="3185" customWidth="1"/>
    <col min="13324" max="13324" width="14.375" style="3185" customWidth="1"/>
    <col min="13325" max="13325" width="6.25" style="3185" customWidth="1"/>
    <col min="13326" max="13326" width="65.125" style="3185" customWidth="1"/>
    <col min="13327" max="13569" width="9" style="3185"/>
    <col min="13570" max="13570" width="39.375" style="3185" customWidth="1"/>
    <col min="13571" max="13571" width="6.25" style="3185" customWidth="1"/>
    <col min="13572" max="13574" width="13.875" style="3185" customWidth="1"/>
    <col min="13575" max="13575" width="10.875" style="3185" customWidth="1"/>
    <col min="13576" max="13576" width="7.875" style="3185" customWidth="1"/>
    <col min="13577" max="13577" width="9" style="3185" customWidth="1"/>
    <col min="13578" max="13579" width="10.625" style="3185" customWidth="1"/>
    <col min="13580" max="13580" width="14.375" style="3185" customWidth="1"/>
    <col min="13581" max="13581" width="6.25" style="3185" customWidth="1"/>
    <col min="13582" max="13582" width="65.125" style="3185" customWidth="1"/>
    <col min="13583" max="13825" width="9" style="3185"/>
    <col min="13826" max="13826" width="39.375" style="3185" customWidth="1"/>
    <col min="13827" max="13827" width="6.25" style="3185" customWidth="1"/>
    <col min="13828" max="13830" width="13.875" style="3185" customWidth="1"/>
    <col min="13831" max="13831" width="10.875" style="3185" customWidth="1"/>
    <col min="13832" max="13832" width="7.875" style="3185" customWidth="1"/>
    <col min="13833" max="13833" width="9" style="3185" customWidth="1"/>
    <col min="13834" max="13835" width="10.625" style="3185" customWidth="1"/>
    <col min="13836" max="13836" width="14.375" style="3185" customWidth="1"/>
    <col min="13837" max="13837" width="6.25" style="3185" customWidth="1"/>
    <col min="13838" max="13838" width="65.125" style="3185" customWidth="1"/>
    <col min="13839" max="14081" width="9" style="3185"/>
    <col min="14082" max="14082" width="39.375" style="3185" customWidth="1"/>
    <col min="14083" max="14083" width="6.25" style="3185" customWidth="1"/>
    <col min="14084" max="14086" width="13.875" style="3185" customWidth="1"/>
    <col min="14087" max="14087" width="10.875" style="3185" customWidth="1"/>
    <col min="14088" max="14088" width="7.875" style="3185" customWidth="1"/>
    <col min="14089" max="14089" width="9" style="3185" customWidth="1"/>
    <col min="14090" max="14091" width="10.625" style="3185" customWidth="1"/>
    <col min="14092" max="14092" width="14.375" style="3185" customWidth="1"/>
    <col min="14093" max="14093" width="6.25" style="3185" customWidth="1"/>
    <col min="14094" max="14094" width="65.125" style="3185" customWidth="1"/>
    <col min="14095" max="14337" width="9" style="3185"/>
    <col min="14338" max="14338" width="39.375" style="3185" customWidth="1"/>
    <col min="14339" max="14339" width="6.25" style="3185" customWidth="1"/>
    <col min="14340" max="14342" width="13.875" style="3185" customWidth="1"/>
    <col min="14343" max="14343" width="10.875" style="3185" customWidth="1"/>
    <col min="14344" max="14344" width="7.875" style="3185" customWidth="1"/>
    <col min="14345" max="14345" width="9" style="3185" customWidth="1"/>
    <col min="14346" max="14347" width="10.625" style="3185" customWidth="1"/>
    <col min="14348" max="14348" width="14.375" style="3185" customWidth="1"/>
    <col min="14349" max="14349" width="6.25" style="3185" customWidth="1"/>
    <col min="14350" max="14350" width="65.125" style="3185" customWidth="1"/>
    <col min="14351" max="14593" width="9" style="3185"/>
    <col min="14594" max="14594" width="39.375" style="3185" customWidth="1"/>
    <col min="14595" max="14595" width="6.25" style="3185" customWidth="1"/>
    <col min="14596" max="14598" width="13.875" style="3185" customWidth="1"/>
    <col min="14599" max="14599" width="10.875" style="3185" customWidth="1"/>
    <col min="14600" max="14600" width="7.875" style="3185" customWidth="1"/>
    <col min="14601" max="14601" width="9" style="3185" customWidth="1"/>
    <col min="14602" max="14603" width="10.625" style="3185" customWidth="1"/>
    <col min="14604" max="14604" width="14.375" style="3185" customWidth="1"/>
    <col min="14605" max="14605" width="6.25" style="3185" customWidth="1"/>
    <col min="14606" max="14606" width="65.125" style="3185" customWidth="1"/>
    <col min="14607" max="14849" width="9" style="3185"/>
    <col min="14850" max="14850" width="39.375" style="3185" customWidth="1"/>
    <col min="14851" max="14851" width="6.25" style="3185" customWidth="1"/>
    <col min="14852" max="14854" width="13.875" style="3185" customWidth="1"/>
    <col min="14855" max="14855" width="10.875" style="3185" customWidth="1"/>
    <col min="14856" max="14856" width="7.875" style="3185" customWidth="1"/>
    <col min="14857" max="14857" width="9" style="3185" customWidth="1"/>
    <col min="14858" max="14859" width="10.625" style="3185" customWidth="1"/>
    <col min="14860" max="14860" width="14.375" style="3185" customWidth="1"/>
    <col min="14861" max="14861" width="6.25" style="3185" customWidth="1"/>
    <col min="14862" max="14862" width="65.125" style="3185" customWidth="1"/>
    <col min="14863" max="15105" width="9" style="3185"/>
    <col min="15106" max="15106" width="39.375" style="3185" customWidth="1"/>
    <col min="15107" max="15107" width="6.25" style="3185" customWidth="1"/>
    <col min="15108" max="15110" width="13.875" style="3185" customWidth="1"/>
    <col min="15111" max="15111" width="10.875" style="3185" customWidth="1"/>
    <col min="15112" max="15112" width="7.875" style="3185" customWidth="1"/>
    <col min="15113" max="15113" width="9" style="3185" customWidth="1"/>
    <col min="15114" max="15115" width="10.625" style="3185" customWidth="1"/>
    <col min="15116" max="15116" width="14.375" style="3185" customWidth="1"/>
    <col min="15117" max="15117" width="6.25" style="3185" customWidth="1"/>
    <col min="15118" max="15118" width="65.125" style="3185" customWidth="1"/>
    <col min="15119" max="15361" width="9" style="3185"/>
    <col min="15362" max="15362" width="39.375" style="3185" customWidth="1"/>
    <col min="15363" max="15363" width="6.25" style="3185" customWidth="1"/>
    <col min="15364" max="15366" width="13.875" style="3185" customWidth="1"/>
    <col min="15367" max="15367" width="10.875" style="3185" customWidth="1"/>
    <col min="15368" max="15368" width="7.875" style="3185" customWidth="1"/>
    <col min="15369" max="15369" width="9" style="3185" customWidth="1"/>
    <col min="15370" max="15371" width="10.625" style="3185" customWidth="1"/>
    <col min="15372" max="15372" width="14.375" style="3185" customWidth="1"/>
    <col min="15373" max="15373" width="6.25" style="3185" customWidth="1"/>
    <col min="15374" max="15374" width="65.125" style="3185" customWidth="1"/>
    <col min="15375" max="15617" width="9" style="3185"/>
    <col min="15618" max="15618" width="39.375" style="3185" customWidth="1"/>
    <col min="15619" max="15619" width="6.25" style="3185" customWidth="1"/>
    <col min="15620" max="15622" width="13.875" style="3185" customWidth="1"/>
    <col min="15623" max="15623" width="10.875" style="3185" customWidth="1"/>
    <col min="15624" max="15624" width="7.875" style="3185" customWidth="1"/>
    <col min="15625" max="15625" width="9" style="3185" customWidth="1"/>
    <col min="15626" max="15627" width="10.625" style="3185" customWidth="1"/>
    <col min="15628" max="15628" width="14.375" style="3185" customWidth="1"/>
    <col min="15629" max="15629" width="6.25" style="3185" customWidth="1"/>
    <col min="15630" max="15630" width="65.125" style="3185" customWidth="1"/>
    <col min="15631" max="15873" width="9" style="3185"/>
    <col min="15874" max="15874" width="39.375" style="3185" customWidth="1"/>
    <col min="15875" max="15875" width="6.25" style="3185" customWidth="1"/>
    <col min="15876" max="15878" width="13.875" style="3185" customWidth="1"/>
    <col min="15879" max="15879" width="10.875" style="3185" customWidth="1"/>
    <col min="15880" max="15880" width="7.875" style="3185" customWidth="1"/>
    <col min="15881" max="15881" width="9" style="3185" customWidth="1"/>
    <col min="15882" max="15883" width="10.625" style="3185" customWidth="1"/>
    <col min="15884" max="15884" width="14.375" style="3185" customWidth="1"/>
    <col min="15885" max="15885" width="6.25" style="3185" customWidth="1"/>
    <col min="15886" max="15886" width="65.125" style="3185" customWidth="1"/>
    <col min="15887" max="16129" width="9" style="3185"/>
    <col min="16130" max="16130" width="39.375" style="3185" customWidth="1"/>
    <col min="16131" max="16131" width="6.25" style="3185" customWidth="1"/>
    <col min="16132" max="16134" width="13.875" style="3185" customWidth="1"/>
    <col min="16135" max="16135" width="10.875" style="3185" customWidth="1"/>
    <col min="16136" max="16136" width="7.875" style="3185" customWidth="1"/>
    <col min="16137" max="16137" width="9" style="3185" customWidth="1"/>
    <col min="16138" max="16139" width="10.625" style="3185" customWidth="1"/>
    <col min="16140" max="16140" width="14.375" style="3185" customWidth="1"/>
    <col min="16141" max="16141" width="6.25" style="3185" customWidth="1"/>
    <col min="16142" max="16142" width="65.125" style="3185" customWidth="1"/>
    <col min="16143" max="16384" width="9" style="3185"/>
  </cols>
  <sheetData>
    <row r="1" spans="1:14">
      <c r="A1" s="3185" t="s">
        <v>2987</v>
      </c>
      <c r="B1" s="3185" t="s">
        <v>2988</v>
      </c>
      <c r="C1" s="3185" t="s">
        <v>2989</v>
      </c>
      <c r="D1" s="3185" t="s">
        <v>2990</v>
      </c>
      <c r="E1" s="3185" t="s">
        <v>2991</v>
      </c>
      <c r="F1" s="3185" t="s">
        <v>2033</v>
      </c>
      <c r="G1" s="3185" t="s">
        <v>2992</v>
      </c>
      <c r="H1" s="3185" t="s">
        <v>2993</v>
      </c>
      <c r="I1" s="3185" t="s">
        <v>2994</v>
      </c>
      <c r="J1" s="3185" t="s">
        <v>2995</v>
      </c>
      <c r="K1" s="3185" t="s">
        <v>2996</v>
      </c>
      <c r="L1" s="3185" t="s">
        <v>3234</v>
      </c>
      <c r="M1" s="3185" t="s">
        <v>2997</v>
      </c>
      <c r="N1" s="3185" t="s">
        <v>2998</v>
      </c>
    </row>
    <row r="2" spans="1:14">
      <c r="A2" s="3185" t="s">
        <v>3082</v>
      </c>
      <c r="B2" s="3185" t="s">
        <v>3083</v>
      </c>
      <c r="C2" s="3185" t="s">
        <v>3001</v>
      </c>
      <c r="D2" s="3185">
        <v>105444</v>
      </c>
      <c r="E2" s="3185">
        <v>231976.8</v>
      </c>
      <c r="F2" s="3185" t="s">
        <v>3084</v>
      </c>
      <c r="G2" s="3185" t="s">
        <v>3000</v>
      </c>
      <c r="H2" s="3185" t="s">
        <v>3085</v>
      </c>
      <c r="I2" s="3185">
        <v>75625</v>
      </c>
      <c r="J2" s="3185">
        <v>75625</v>
      </c>
      <c r="K2" s="3185">
        <v>3260.01</v>
      </c>
      <c r="L2" s="3185">
        <f>ROUND(J2*10000/D2,0)</f>
        <v>7172</v>
      </c>
      <c r="M2" s="3185">
        <v>0</v>
      </c>
      <c r="N2" s="3185" t="s">
        <v>3086</v>
      </c>
    </row>
    <row r="3" spans="1:14">
      <c r="A3" s="3185" t="s">
        <v>3087</v>
      </c>
      <c r="B3" s="3185" t="s">
        <v>3083</v>
      </c>
      <c r="C3" s="3185" t="s">
        <v>3001</v>
      </c>
      <c r="D3" s="3185">
        <v>37142</v>
      </c>
      <c r="E3" s="3185">
        <v>81712.399999999994</v>
      </c>
      <c r="F3" s="3185" t="s">
        <v>3084</v>
      </c>
      <c r="G3" s="3185" t="s">
        <v>3088</v>
      </c>
      <c r="H3" s="3185" t="s">
        <v>3089</v>
      </c>
      <c r="I3" s="3185">
        <v>26639</v>
      </c>
      <c r="J3" s="3185">
        <v>34200</v>
      </c>
      <c r="K3" s="3185">
        <v>4185.3999999999996</v>
      </c>
      <c r="L3" s="3185">
        <f t="shared" ref="L3:L51" si="0">ROUND(J3*10000/D3,0)</f>
        <v>9208</v>
      </c>
      <c r="M3" s="3185">
        <v>28.38</v>
      </c>
      <c r="N3" s="3185" t="s">
        <v>3090</v>
      </c>
    </row>
    <row r="4" spans="1:14">
      <c r="A4" s="3185" t="s">
        <v>3091</v>
      </c>
      <c r="B4" s="3185" t="s">
        <v>3083</v>
      </c>
      <c r="C4" s="3185" t="s">
        <v>3001</v>
      </c>
      <c r="D4" s="3185">
        <v>183367</v>
      </c>
      <c r="E4" s="3185">
        <v>332609.5</v>
      </c>
      <c r="F4" s="3185" t="s">
        <v>3092</v>
      </c>
      <c r="G4" s="3185" t="s">
        <v>3088</v>
      </c>
      <c r="H4" s="3185" t="s">
        <v>3093</v>
      </c>
      <c r="I4" s="3185">
        <v>160266</v>
      </c>
      <c r="J4" s="3185">
        <v>177000</v>
      </c>
      <c r="K4" s="3185">
        <v>5321.56</v>
      </c>
      <c r="L4" s="3185">
        <f t="shared" si="0"/>
        <v>9653</v>
      </c>
      <c r="M4" s="3185">
        <v>10.44</v>
      </c>
      <c r="N4" s="3185" t="s">
        <v>3094</v>
      </c>
    </row>
    <row r="5" spans="1:14">
      <c r="A5" s="3185" t="s">
        <v>3095</v>
      </c>
      <c r="B5" s="3185" t="s">
        <v>3083</v>
      </c>
      <c r="C5" s="3185" t="s">
        <v>3001</v>
      </c>
      <c r="D5" s="3185">
        <v>116662</v>
      </c>
      <c r="E5" s="3185">
        <v>291655</v>
      </c>
      <c r="F5" s="3185" t="s">
        <v>3003</v>
      </c>
      <c r="G5" s="3185" t="s">
        <v>3088</v>
      </c>
      <c r="H5" s="3185" t="s">
        <v>3096</v>
      </c>
      <c r="I5" s="3185">
        <v>116662</v>
      </c>
      <c r="J5" s="3185">
        <v>142000</v>
      </c>
      <c r="K5" s="3185">
        <v>4868.7700000000004</v>
      </c>
      <c r="L5" s="3185">
        <f t="shared" si="0"/>
        <v>12172</v>
      </c>
      <c r="M5" s="3185">
        <v>21.72</v>
      </c>
      <c r="N5" s="3185" t="s">
        <v>3097</v>
      </c>
    </row>
    <row r="6" spans="1:14" s="3207" customFormat="1">
      <c r="A6" s="3207" t="s">
        <v>3098</v>
      </c>
      <c r="B6" s="3207" t="s">
        <v>3083</v>
      </c>
      <c r="C6" s="3207" t="s">
        <v>3001</v>
      </c>
      <c r="D6" s="3207">
        <v>57045</v>
      </c>
      <c r="E6" s="3207">
        <v>114090</v>
      </c>
      <c r="F6" s="3207" t="s">
        <v>3099</v>
      </c>
      <c r="G6" s="3207" t="s">
        <v>3088</v>
      </c>
      <c r="H6" s="3207" t="s">
        <v>3100</v>
      </c>
      <c r="I6" s="3207">
        <v>28533</v>
      </c>
      <c r="J6" s="3207">
        <v>34200</v>
      </c>
      <c r="K6" s="3207">
        <v>2997.63</v>
      </c>
      <c r="L6" s="3207">
        <f t="shared" si="0"/>
        <v>5995</v>
      </c>
      <c r="M6" s="3207">
        <v>19.86</v>
      </c>
      <c r="N6" s="3207" t="s">
        <v>3101</v>
      </c>
    </row>
    <row r="7" spans="1:14" s="3186" customFormat="1">
      <c r="A7" s="3186" t="s">
        <v>3102</v>
      </c>
      <c r="B7" s="3186" t="s">
        <v>3083</v>
      </c>
      <c r="C7" s="3186" t="s">
        <v>3001</v>
      </c>
      <c r="D7" s="3186">
        <v>92020</v>
      </c>
      <c r="E7" s="3186">
        <v>230050</v>
      </c>
      <c r="F7" s="3186" t="s">
        <v>3003</v>
      </c>
      <c r="G7" s="3186" t="s">
        <v>3000</v>
      </c>
      <c r="H7" s="3186" t="s">
        <v>3100</v>
      </c>
      <c r="I7" s="3186">
        <v>58167</v>
      </c>
      <c r="J7" s="3186">
        <v>58167</v>
      </c>
      <c r="K7" s="3186">
        <v>2528.44</v>
      </c>
      <c r="L7" s="3186">
        <f t="shared" si="0"/>
        <v>6321</v>
      </c>
      <c r="M7" s="3186">
        <v>0</v>
      </c>
      <c r="N7" s="3186" t="s">
        <v>3103</v>
      </c>
    </row>
    <row r="8" spans="1:14">
      <c r="A8" s="3185" t="s">
        <v>3104</v>
      </c>
      <c r="B8" s="3185" t="s">
        <v>3083</v>
      </c>
      <c r="C8" s="3185" t="s">
        <v>2999</v>
      </c>
      <c r="D8" s="3185">
        <v>129333.7</v>
      </c>
      <c r="E8" s="3185">
        <v>279497</v>
      </c>
      <c r="F8" s="3185" t="s">
        <v>3092</v>
      </c>
      <c r="G8" s="3185" t="s">
        <v>3000</v>
      </c>
      <c r="H8" s="3185" t="s">
        <v>3105</v>
      </c>
      <c r="I8" s="3185">
        <v>111799</v>
      </c>
      <c r="J8" s="3185">
        <v>111799</v>
      </c>
      <c r="K8" s="3185">
        <v>4000.01</v>
      </c>
      <c r="L8" s="3185">
        <f t="shared" si="0"/>
        <v>8644</v>
      </c>
      <c r="M8" s="3185">
        <v>0</v>
      </c>
      <c r="N8" s="3185" t="s">
        <v>3106</v>
      </c>
    </row>
    <row r="9" spans="1:14">
      <c r="A9" s="3185" t="s">
        <v>3107</v>
      </c>
      <c r="B9" s="3185" t="s">
        <v>3083</v>
      </c>
      <c r="C9" s="3185" t="s">
        <v>3001</v>
      </c>
      <c r="D9" s="3185">
        <v>83413</v>
      </c>
      <c r="E9" s="3185">
        <v>150143.4</v>
      </c>
      <c r="F9" s="3185" t="s">
        <v>3092</v>
      </c>
      <c r="G9" s="3185" t="s">
        <v>3088</v>
      </c>
      <c r="H9" s="3185" t="s">
        <v>3105</v>
      </c>
      <c r="I9" s="3185">
        <v>62283</v>
      </c>
      <c r="J9" s="3185">
        <v>80500</v>
      </c>
      <c r="K9" s="3185">
        <v>5361.53</v>
      </c>
      <c r="L9" s="3185">
        <f t="shared" si="0"/>
        <v>9651</v>
      </c>
      <c r="M9" s="3185">
        <v>29.25</v>
      </c>
      <c r="N9" s="3185" t="s">
        <v>3108</v>
      </c>
    </row>
    <row r="10" spans="1:14">
      <c r="A10" s="3185" t="s">
        <v>3109</v>
      </c>
      <c r="B10" s="3185" t="s">
        <v>3083</v>
      </c>
      <c r="C10" s="3185" t="s">
        <v>2999</v>
      </c>
      <c r="D10" s="3185">
        <v>200222</v>
      </c>
      <c r="E10" s="3185">
        <v>389517.5</v>
      </c>
      <c r="F10" s="3185" t="s">
        <v>3110</v>
      </c>
      <c r="G10" s="3185" t="s">
        <v>3088</v>
      </c>
      <c r="H10" s="3185" t="s">
        <v>3111</v>
      </c>
      <c r="I10" s="3185">
        <v>115319</v>
      </c>
      <c r="J10" s="3185">
        <v>162000</v>
      </c>
      <c r="K10" s="3185">
        <v>4158.9799999999996</v>
      </c>
      <c r="L10" s="3185">
        <f t="shared" si="0"/>
        <v>8091</v>
      </c>
      <c r="M10" s="3185">
        <v>40.479999999999997</v>
      </c>
      <c r="N10" s="3185" t="s">
        <v>3112</v>
      </c>
    </row>
    <row r="11" spans="1:14">
      <c r="A11" s="3185" t="s">
        <v>3113</v>
      </c>
      <c r="B11" s="3185" t="s">
        <v>3083</v>
      </c>
      <c r="C11" s="3185" t="s">
        <v>3001</v>
      </c>
      <c r="D11" s="3185">
        <v>70549</v>
      </c>
      <c r="E11" s="3185">
        <v>156635.5</v>
      </c>
      <c r="F11" s="3185" t="s">
        <v>3114</v>
      </c>
      <c r="G11" s="3185" t="s">
        <v>3088</v>
      </c>
      <c r="H11" s="3185" t="s">
        <v>3115</v>
      </c>
      <c r="I11" s="3185">
        <v>39253</v>
      </c>
      <c r="J11" s="3185">
        <v>56600</v>
      </c>
      <c r="K11" s="3185">
        <v>3613.48</v>
      </c>
      <c r="L11" s="3185">
        <f t="shared" si="0"/>
        <v>8023</v>
      </c>
      <c r="M11" s="3185">
        <v>44.19</v>
      </c>
      <c r="N11" s="3185" t="s">
        <v>3116</v>
      </c>
    </row>
    <row r="12" spans="1:14">
      <c r="A12" s="3185" t="s">
        <v>3117</v>
      </c>
      <c r="B12" s="3185" t="s">
        <v>3083</v>
      </c>
      <c r="C12" s="3185" t="s">
        <v>2999</v>
      </c>
      <c r="D12" s="3185">
        <v>275420</v>
      </c>
      <c r="E12" s="3185">
        <v>816669.2</v>
      </c>
      <c r="F12" s="3185" t="s">
        <v>3118</v>
      </c>
      <c r="G12" s="3185" t="s">
        <v>3088</v>
      </c>
      <c r="H12" s="3185" t="s">
        <v>3119</v>
      </c>
      <c r="I12" s="3185">
        <v>322721</v>
      </c>
      <c r="J12" s="3185">
        <v>376000</v>
      </c>
      <c r="K12" s="3185">
        <v>4604.0600000000004</v>
      </c>
      <c r="L12" s="3185">
        <f t="shared" si="0"/>
        <v>13652</v>
      </c>
      <c r="M12" s="3185">
        <v>16.510000000000002</v>
      </c>
      <c r="N12" s="3185" t="s">
        <v>3094</v>
      </c>
    </row>
    <row r="13" spans="1:14">
      <c r="A13" s="3185" t="s">
        <v>3120</v>
      </c>
      <c r="B13" s="3185" t="s">
        <v>3083</v>
      </c>
      <c r="C13" s="3185" t="s">
        <v>3001</v>
      </c>
      <c r="D13" s="3185">
        <v>91572.4</v>
      </c>
      <c r="E13" s="3185">
        <v>157742.9</v>
      </c>
      <c r="F13" s="3185" t="s">
        <v>3121</v>
      </c>
      <c r="G13" s="3185" t="s">
        <v>3088</v>
      </c>
      <c r="H13" s="3185" t="s">
        <v>3119</v>
      </c>
      <c r="I13" s="3185">
        <v>55211</v>
      </c>
      <c r="J13" s="3185">
        <v>77500</v>
      </c>
      <c r="K13" s="3185">
        <v>4913.0600000000004</v>
      </c>
      <c r="L13" s="3185">
        <f t="shared" si="0"/>
        <v>8463</v>
      </c>
      <c r="M13" s="3185">
        <v>40.369999999999997</v>
      </c>
      <c r="N13" s="3185" t="s">
        <v>3122</v>
      </c>
    </row>
    <row r="14" spans="1:14" s="3186" customFormat="1">
      <c r="A14" s="3186" t="s">
        <v>3123</v>
      </c>
      <c r="B14" s="3186" t="s">
        <v>3083</v>
      </c>
      <c r="C14" s="3186" t="s">
        <v>3001</v>
      </c>
      <c r="D14" s="3186">
        <v>105068</v>
      </c>
      <c r="E14" s="3186">
        <v>193592</v>
      </c>
      <c r="F14" s="3186" t="s">
        <v>3124</v>
      </c>
      <c r="G14" s="3186" t="s">
        <v>3088</v>
      </c>
      <c r="H14" s="3186" t="s">
        <v>3125</v>
      </c>
      <c r="I14" s="3186">
        <v>26436</v>
      </c>
      <c r="J14" s="3186">
        <v>38800</v>
      </c>
      <c r="K14" s="3186">
        <v>2004.22</v>
      </c>
      <c r="L14" s="3186">
        <f t="shared" si="0"/>
        <v>3693</v>
      </c>
      <c r="M14" s="3186">
        <v>46.77</v>
      </c>
      <c r="N14" s="3186" t="s">
        <v>3126</v>
      </c>
    </row>
    <row r="15" spans="1:14">
      <c r="A15" s="3185" t="s">
        <v>3127</v>
      </c>
      <c r="B15" s="3185" t="s">
        <v>3083</v>
      </c>
      <c r="C15" s="3185" t="s">
        <v>3001</v>
      </c>
      <c r="D15" s="3185">
        <v>42511</v>
      </c>
      <c r="E15" s="3185">
        <v>119030.8</v>
      </c>
      <c r="F15" s="3185" t="s">
        <v>3128</v>
      </c>
      <c r="G15" s="3185" t="s">
        <v>3088</v>
      </c>
      <c r="H15" s="3185" t="s">
        <v>3125</v>
      </c>
      <c r="I15" s="3185">
        <v>36258</v>
      </c>
      <c r="J15" s="3185">
        <v>36800</v>
      </c>
      <c r="K15" s="3185">
        <v>3091.63</v>
      </c>
      <c r="L15" s="3185">
        <f t="shared" si="0"/>
        <v>8657</v>
      </c>
      <c r="M15" s="3185">
        <v>1.49</v>
      </c>
      <c r="N15" s="3185" t="s">
        <v>3129</v>
      </c>
    </row>
    <row r="16" spans="1:14">
      <c r="A16" s="3185" t="s">
        <v>3130</v>
      </c>
      <c r="B16" s="3185" t="s">
        <v>3083</v>
      </c>
      <c r="C16" s="3185" t="s">
        <v>2999</v>
      </c>
      <c r="D16" s="3185">
        <v>171831</v>
      </c>
      <c r="E16" s="3185">
        <v>515493</v>
      </c>
      <c r="F16" s="3185" t="s">
        <v>3131</v>
      </c>
      <c r="G16" s="3185" t="s">
        <v>3000</v>
      </c>
      <c r="H16" s="3185" t="s">
        <v>3132</v>
      </c>
      <c r="I16" s="3185">
        <v>251022</v>
      </c>
      <c r="J16" s="3185">
        <v>251022</v>
      </c>
      <c r="K16" s="3185">
        <v>4869.55</v>
      </c>
      <c r="L16" s="3185">
        <f t="shared" si="0"/>
        <v>14609</v>
      </c>
      <c r="M16" s="3185">
        <v>0</v>
      </c>
      <c r="N16" s="3185" t="s">
        <v>3133</v>
      </c>
    </row>
    <row r="17" spans="1:14">
      <c r="A17" s="3185" t="s">
        <v>3134</v>
      </c>
      <c r="B17" s="3185" t="s">
        <v>3083</v>
      </c>
      <c r="C17" s="3185" t="s">
        <v>2999</v>
      </c>
      <c r="D17" s="3185">
        <v>229516</v>
      </c>
      <c r="E17" s="3185">
        <v>562314.19999999995</v>
      </c>
      <c r="F17" s="3185" t="s">
        <v>3135</v>
      </c>
      <c r="G17" s="3185" t="s">
        <v>3000</v>
      </c>
      <c r="H17" s="3185" t="s">
        <v>3136</v>
      </c>
      <c r="I17" s="3185">
        <v>268394</v>
      </c>
      <c r="J17" s="3185">
        <v>268394</v>
      </c>
      <c r="K17" s="3185">
        <v>4773.0200000000004</v>
      </c>
      <c r="L17" s="3185">
        <f t="shared" si="0"/>
        <v>11694</v>
      </c>
      <c r="M17" s="3185">
        <v>0</v>
      </c>
      <c r="N17" s="3185" t="s">
        <v>3137</v>
      </c>
    </row>
    <row r="18" spans="1:14">
      <c r="A18" s="3185" t="s">
        <v>3138</v>
      </c>
      <c r="B18" s="3185" t="s">
        <v>3083</v>
      </c>
      <c r="C18" s="3185" t="s">
        <v>2999</v>
      </c>
      <c r="D18" s="3185">
        <v>136794</v>
      </c>
      <c r="E18" s="3185">
        <v>346812</v>
      </c>
      <c r="F18" s="3185" t="s">
        <v>3003</v>
      </c>
      <c r="G18" s="3185" t="s">
        <v>3088</v>
      </c>
      <c r="H18" s="3185" t="s">
        <v>3139</v>
      </c>
      <c r="I18" s="3185">
        <v>183800</v>
      </c>
      <c r="J18" s="3185">
        <v>209000</v>
      </c>
      <c r="K18" s="3185">
        <v>6026.31</v>
      </c>
      <c r="L18" s="3185">
        <f t="shared" si="0"/>
        <v>15278</v>
      </c>
      <c r="M18" s="3185">
        <v>13.71</v>
      </c>
      <c r="N18" s="3185" t="s">
        <v>3140</v>
      </c>
    </row>
    <row r="19" spans="1:14">
      <c r="A19" s="3185" t="s">
        <v>3141</v>
      </c>
      <c r="B19" s="3185" t="s">
        <v>3083</v>
      </c>
      <c r="C19" s="3185" t="s">
        <v>3001</v>
      </c>
      <c r="D19" s="3185">
        <v>23169</v>
      </c>
      <c r="E19" s="3185">
        <v>69507</v>
      </c>
      <c r="F19" s="3185" t="s">
        <v>3004</v>
      </c>
      <c r="G19" s="3185" t="s">
        <v>3088</v>
      </c>
      <c r="H19" s="3185" t="s">
        <v>3142</v>
      </c>
      <c r="I19" s="3185">
        <v>27192</v>
      </c>
      <c r="J19" s="3185">
        <v>34800</v>
      </c>
      <c r="K19" s="3185">
        <v>5006.68</v>
      </c>
      <c r="L19" s="3185">
        <f t="shared" si="0"/>
        <v>15020</v>
      </c>
      <c r="M19" s="3185">
        <v>27.98</v>
      </c>
      <c r="N19" s="3185" t="s">
        <v>3143</v>
      </c>
    </row>
    <row r="20" spans="1:14">
      <c r="A20" s="3185" t="s">
        <v>3144</v>
      </c>
      <c r="B20" s="3185" t="s">
        <v>3083</v>
      </c>
      <c r="C20" s="3185" t="s">
        <v>2999</v>
      </c>
      <c r="D20" s="3185">
        <v>151229</v>
      </c>
      <c r="E20" s="3185">
        <v>548083</v>
      </c>
      <c r="F20" s="3185" t="s">
        <v>3145</v>
      </c>
      <c r="G20" s="3185" t="s">
        <v>3000</v>
      </c>
      <c r="H20" s="3185" t="s">
        <v>3146</v>
      </c>
      <c r="I20" s="3185">
        <v>274042</v>
      </c>
      <c r="J20" s="3185">
        <v>274042</v>
      </c>
      <c r="K20" s="3185">
        <v>5000.01</v>
      </c>
      <c r="L20" s="3185">
        <f t="shared" si="0"/>
        <v>18121</v>
      </c>
      <c r="M20" s="3185">
        <v>0</v>
      </c>
      <c r="N20" s="3185" t="s">
        <v>3147</v>
      </c>
    </row>
    <row r="21" spans="1:14">
      <c r="A21" s="3185" t="s">
        <v>3148</v>
      </c>
      <c r="B21" s="3185" t="s">
        <v>3083</v>
      </c>
      <c r="C21" s="3185" t="s">
        <v>3001</v>
      </c>
      <c r="D21" s="3185">
        <v>129351</v>
      </c>
      <c r="E21" s="3185">
        <v>258702</v>
      </c>
      <c r="F21" s="3185" t="s">
        <v>3149</v>
      </c>
      <c r="G21" s="3185" t="s">
        <v>3000</v>
      </c>
      <c r="H21" s="3185" t="s">
        <v>3150</v>
      </c>
      <c r="I21" s="3185">
        <v>32080</v>
      </c>
      <c r="J21" s="3185">
        <v>32080</v>
      </c>
      <c r="K21" s="3185">
        <v>1240.03</v>
      </c>
      <c r="L21" s="3185">
        <f t="shared" si="0"/>
        <v>2480</v>
      </c>
      <c r="M21" s="3185">
        <v>0</v>
      </c>
      <c r="N21" s="3185" t="s">
        <v>3126</v>
      </c>
    </row>
    <row r="22" spans="1:14">
      <c r="A22" s="3185" t="s">
        <v>3151</v>
      </c>
      <c r="B22" s="3185" t="s">
        <v>3083</v>
      </c>
      <c r="C22" s="3185" t="s">
        <v>3001</v>
      </c>
      <c r="D22" s="3185">
        <v>39603</v>
      </c>
      <c r="E22" s="3185">
        <v>79206</v>
      </c>
      <c r="F22" s="3185" t="s">
        <v>3149</v>
      </c>
      <c r="G22" s="3185" t="s">
        <v>3000</v>
      </c>
      <c r="H22" s="3185" t="s">
        <v>3150</v>
      </c>
      <c r="I22" s="3185">
        <v>10060</v>
      </c>
      <c r="J22" s="3185">
        <v>10060</v>
      </c>
      <c r="K22" s="3185">
        <v>1270.0999999999999</v>
      </c>
      <c r="L22" s="3185">
        <f t="shared" si="0"/>
        <v>2540</v>
      </c>
      <c r="M22" s="3185">
        <v>0</v>
      </c>
      <c r="N22" s="3185" t="s">
        <v>3126</v>
      </c>
    </row>
    <row r="23" spans="1:14">
      <c r="A23" s="3185" t="s">
        <v>3152</v>
      </c>
      <c r="B23" s="3185" t="s">
        <v>3083</v>
      </c>
      <c r="C23" s="3185" t="s">
        <v>3001</v>
      </c>
      <c r="D23" s="3185">
        <v>9359</v>
      </c>
      <c r="E23" s="3185">
        <v>18718</v>
      </c>
      <c r="F23" s="3185" t="s">
        <v>3149</v>
      </c>
      <c r="G23" s="3185" t="s">
        <v>3000</v>
      </c>
      <c r="H23" s="3185" t="s">
        <v>3150</v>
      </c>
      <c r="I23" s="3185">
        <v>2331</v>
      </c>
      <c r="J23" s="3185">
        <v>2331</v>
      </c>
      <c r="K23" s="3185">
        <v>1245.32</v>
      </c>
      <c r="L23" s="3185">
        <f t="shared" si="0"/>
        <v>2491</v>
      </c>
      <c r="M23" s="3185">
        <v>0</v>
      </c>
      <c r="N23" s="3185" t="s">
        <v>3126</v>
      </c>
    </row>
    <row r="24" spans="1:14">
      <c r="A24" s="3185" t="s">
        <v>3153</v>
      </c>
      <c r="B24" s="3185" t="s">
        <v>3083</v>
      </c>
      <c r="C24" s="3185" t="s">
        <v>3001</v>
      </c>
      <c r="D24" s="3185">
        <v>42744</v>
      </c>
      <c r="E24" s="3185">
        <v>85488</v>
      </c>
      <c r="F24" s="3185" t="s">
        <v>3149</v>
      </c>
      <c r="G24" s="3185" t="s">
        <v>3000</v>
      </c>
      <c r="H24" s="3185" t="s">
        <v>3150</v>
      </c>
      <c r="I24" s="3185">
        <v>10644</v>
      </c>
      <c r="J24" s="3185">
        <v>10644</v>
      </c>
      <c r="K24" s="3185">
        <v>1245.08</v>
      </c>
      <c r="L24" s="3185">
        <f t="shared" si="0"/>
        <v>2490</v>
      </c>
      <c r="M24" s="3185">
        <v>0</v>
      </c>
      <c r="N24" s="3185" t="s">
        <v>3126</v>
      </c>
    </row>
    <row r="25" spans="1:14" s="3186" customFormat="1">
      <c r="A25" s="3186" t="s">
        <v>3154</v>
      </c>
      <c r="B25" s="3186" t="s">
        <v>3083</v>
      </c>
      <c r="C25" s="3186" t="s">
        <v>2999</v>
      </c>
      <c r="D25" s="3186">
        <v>46746</v>
      </c>
      <c r="E25" s="3186">
        <v>168286</v>
      </c>
      <c r="F25" s="3186" t="s">
        <v>3155</v>
      </c>
      <c r="G25" s="3186" t="s">
        <v>3000</v>
      </c>
      <c r="H25" s="3186" t="s">
        <v>3150</v>
      </c>
      <c r="I25" s="3186">
        <v>42072</v>
      </c>
      <c r="J25" s="3186">
        <v>42072</v>
      </c>
      <c r="K25" s="3186">
        <v>2500.0300000000002</v>
      </c>
      <c r="L25" s="3186">
        <f t="shared" si="0"/>
        <v>9000</v>
      </c>
      <c r="M25" s="3186">
        <v>0</v>
      </c>
      <c r="N25" s="3186" t="s">
        <v>3156</v>
      </c>
    </row>
    <row r="26" spans="1:14">
      <c r="A26" s="3185" t="s">
        <v>3157</v>
      </c>
      <c r="B26" s="3185" t="s">
        <v>3083</v>
      </c>
      <c r="C26" s="3185" t="s">
        <v>3001</v>
      </c>
      <c r="D26" s="3185">
        <v>89257</v>
      </c>
      <c r="E26" s="3185">
        <v>223142.5</v>
      </c>
      <c r="F26" s="3185" t="s">
        <v>3158</v>
      </c>
      <c r="G26" s="3185" t="s">
        <v>3088</v>
      </c>
      <c r="H26" s="3185" t="s">
        <v>3159</v>
      </c>
      <c r="I26" s="3185">
        <v>71540</v>
      </c>
      <c r="J26" s="3185">
        <v>72000</v>
      </c>
      <c r="K26" s="3185">
        <v>3226.63</v>
      </c>
      <c r="L26" s="3185">
        <f t="shared" si="0"/>
        <v>8067</v>
      </c>
      <c r="M26" s="3185">
        <v>0.64</v>
      </c>
      <c r="N26" s="3185" t="s">
        <v>3129</v>
      </c>
    </row>
    <row r="27" spans="1:14">
      <c r="A27" s="3185" t="s">
        <v>3160</v>
      </c>
      <c r="B27" s="3185" t="s">
        <v>3083</v>
      </c>
      <c r="C27" s="3185" t="s">
        <v>2999</v>
      </c>
      <c r="D27" s="3185">
        <v>63909</v>
      </c>
      <c r="E27" s="3185">
        <v>121816</v>
      </c>
      <c r="F27" s="3185" t="s">
        <v>3161</v>
      </c>
      <c r="G27" s="3185" t="s">
        <v>3088</v>
      </c>
      <c r="H27" s="3185" t="s">
        <v>3159</v>
      </c>
      <c r="I27" s="3185">
        <v>39055</v>
      </c>
      <c r="J27" s="3185">
        <v>39400</v>
      </c>
      <c r="K27" s="3185">
        <v>3234.38</v>
      </c>
      <c r="L27" s="3185">
        <f t="shared" si="0"/>
        <v>6165</v>
      </c>
      <c r="M27" s="3185">
        <v>0.88</v>
      </c>
      <c r="N27" s="3185" t="s">
        <v>3162</v>
      </c>
    </row>
    <row r="28" spans="1:14">
      <c r="A28" s="3185" t="s">
        <v>3163</v>
      </c>
      <c r="B28" s="3185" t="s">
        <v>3083</v>
      </c>
      <c r="C28" s="3185" t="s">
        <v>2999</v>
      </c>
      <c r="D28" s="3185">
        <v>157427</v>
      </c>
      <c r="E28" s="3185">
        <v>366953</v>
      </c>
      <c r="F28" s="3185" t="s">
        <v>3164</v>
      </c>
      <c r="G28" s="3185" t="s">
        <v>3088</v>
      </c>
      <c r="H28" s="3185" t="s">
        <v>3159</v>
      </c>
      <c r="I28" s="3185">
        <v>112526</v>
      </c>
      <c r="J28" s="3185">
        <v>113500</v>
      </c>
      <c r="K28" s="3185">
        <v>3093.03</v>
      </c>
      <c r="L28" s="3185">
        <f t="shared" si="0"/>
        <v>7210</v>
      </c>
      <c r="M28" s="3185">
        <v>0.87</v>
      </c>
      <c r="N28" s="3185" t="s">
        <v>3165</v>
      </c>
    </row>
    <row r="29" spans="1:14">
      <c r="A29" s="3185" t="s">
        <v>3166</v>
      </c>
      <c r="B29" s="3185" t="s">
        <v>3083</v>
      </c>
      <c r="C29" s="3185" t="s">
        <v>2999</v>
      </c>
      <c r="D29" s="3185">
        <v>148251</v>
      </c>
      <c r="E29" s="3185">
        <v>427467</v>
      </c>
      <c r="F29" s="3185" t="s">
        <v>3167</v>
      </c>
      <c r="G29" s="3185" t="s">
        <v>3000</v>
      </c>
      <c r="H29" s="3185" t="s">
        <v>3002</v>
      </c>
      <c r="I29" s="3185">
        <v>192361</v>
      </c>
      <c r="J29" s="3185">
        <v>192361</v>
      </c>
      <c r="K29" s="3185">
        <v>4500.0200000000004</v>
      </c>
      <c r="L29" s="3185">
        <f t="shared" si="0"/>
        <v>12975</v>
      </c>
      <c r="M29" s="3185">
        <v>0</v>
      </c>
      <c r="N29" s="3185" t="s">
        <v>3168</v>
      </c>
    </row>
    <row r="30" spans="1:14">
      <c r="A30" s="3185" t="s">
        <v>3169</v>
      </c>
      <c r="B30" s="3185" t="s">
        <v>3083</v>
      </c>
      <c r="C30" s="3185" t="s">
        <v>2999</v>
      </c>
      <c r="D30" s="3185">
        <v>131528</v>
      </c>
      <c r="E30" s="3185">
        <v>263056</v>
      </c>
      <c r="F30" s="3185" t="s">
        <v>3149</v>
      </c>
      <c r="G30" s="3185" t="s">
        <v>3088</v>
      </c>
      <c r="H30" s="3185" t="s">
        <v>3002</v>
      </c>
      <c r="I30" s="3185">
        <v>78917</v>
      </c>
      <c r="J30" s="3185">
        <v>79500</v>
      </c>
      <c r="K30" s="3185">
        <v>3022.17</v>
      </c>
      <c r="L30" s="3185">
        <f t="shared" si="0"/>
        <v>6044</v>
      </c>
      <c r="M30" s="3185">
        <v>0.74</v>
      </c>
      <c r="N30" s="3185" t="s">
        <v>3170</v>
      </c>
    </row>
    <row r="31" spans="1:14">
      <c r="A31" s="3185" t="s">
        <v>3171</v>
      </c>
      <c r="B31" s="3185" t="s">
        <v>3083</v>
      </c>
      <c r="C31" s="3185" t="s">
        <v>2999</v>
      </c>
      <c r="D31" s="3185">
        <v>179607</v>
      </c>
      <c r="E31" s="3185">
        <v>419754</v>
      </c>
      <c r="F31" s="3185" t="s">
        <v>3172</v>
      </c>
      <c r="G31" s="3185" t="s">
        <v>3088</v>
      </c>
      <c r="H31" s="3185" t="s">
        <v>3173</v>
      </c>
      <c r="I31" s="3185">
        <v>209877</v>
      </c>
      <c r="J31" s="3185">
        <v>211000</v>
      </c>
      <c r="K31" s="3185">
        <v>5026.75</v>
      </c>
      <c r="L31" s="3185">
        <f t="shared" si="0"/>
        <v>11748</v>
      </c>
      <c r="M31" s="3185">
        <v>0.54</v>
      </c>
      <c r="N31" s="3185" t="s">
        <v>3174</v>
      </c>
    </row>
    <row r="32" spans="1:14">
      <c r="A32" s="3185" t="s">
        <v>3175</v>
      </c>
      <c r="B32" s="3185" t="s">
        <v>3083</v>
      </c>
      <c r="C32" s="3185" t="s">
        <v>2999</v>
      </c>
      <c r="D32" s="3185">
        <v>113365</v>
      </c>
      <c r="E32" s="3185">
        <v>340095</v>
      </c>
      <c r="F32" s="3185" t="s">
        <v>3176</v>
      </c>
      <c r="G32" s="3185" t="s">
        <v>3088</v>
      </c>
      <c r="H32" s="3185" t="s">
        <v>3173</v>
      </c>
      <c r="I32" s="3185">
        <v>153043</v>
      </c>
      <c r="J32" s="3185">
        <v>154000</v>
      </c>
      <c r="K32" s="3185">
        <v>4528.1400000000003</v>
      </c>
      <c r="L32" s="3185">
        <f t="shared" si="0"/>
        <v>13584</v>
      </c>
      <c r="M32" s="3185">
        <v>0.63</v>
      </c>
      <c r="N32" s="3185" t="s">
        <v>3129</v>
      </c>
    </row>
    <row r="33" spans="1:14">
      <c r="A33" s="3185" t="s">
        <v>3177</v>
      </c>
      <c r="B33" s="3185" t="s">
        <v>3083</v>
      </c>
      <c r="C33" s="3185" t="s">
        <v>3001</v>
      </c>
      <c r="D33" s="3185">
        <v>24736</v>
      </c>
      <c r="E33" s="3185">
        <v>72305.350000000006</v>
      </c>
      <c r="F33" s="3185" t="s">
        <v>3178</v>
      </c>
      <c r="G33" s="3185" t="s">
        <v>3000</v>
      </c>
      <c r="H33" s="3185" t="s">
        <v>3173</v>
      </c>
      <c r="I33" s="3185">
        <v>25306.86</v>
      </c>
      <c r="J33" s="3185">
        <v>25306.86</v>
      </c>
      <c r="K33" s="3185">
        <v>3500</v>
      </c>
      <c r="L33" s="3185">
        <f t="shared" si="0"/>
        <v>10231</v>
      </c>
      <c r="M33" s="3185">
        <v>0</v>
      </c>
      <c r="N33" s="3185" t="s">
        <v>3162</v>
      </c>
    </row>
    <row r="34" spans="1:14">
      <c r="A34" s="3185" t="s">
        <v>3179</v>
      </c>
      <c r="B34" s="3185" t="s">
        <v>3083</v>
      </c>
      <c r="C34" s="3185" t="s">
        <v>3001</v>
      </c>
      <c r="D34" s="3185">
        <v>134793</v>
      </c>
      <c r="E34" s="3185">
        <v>322793</v>
      </c>
      <c r="F34" s="3185" t="s">
        <v>3180</v>
      </c>
      <c r="G34" s="3185" t="s">
        <v>3088</v>
      </c>
      <c r="H34" s="3185" t="s">
        <v>3173</v>
      </c>
      <c r="I34" s="3185">
        <v>161397</v>
      </c>
      <c r="J34" s="3185">
        <v>163000</v>
      </c>
      <c r="K34" s="3185">
        <v>5049.68</v>
      </c>
      <c r="L34" s="3185">
        <f t="shared" si="0"/>
        <v>12093</v>
      </c>
      <c r="M34" s="3185">
        <v>0.99</v>
      </c>
      <c r="N34" s="3185" t="s">
        <v>3108</v>
      </c>
    </row>
    <row r="35" spans="1:14">
      <c r="A35" s="3185" t="s">
        <v>3181</v>
      </c>
      <c r="B35" s="3185" t="s">
        <v>3083</v>
      </c>
      <c r="C35" s="3185" t="s">
        <v>3001</v>
      </c>
      <c r="D35" s="3185">
        <v>77280</v>
      </c>
      <c r="E35" s="3185">
        <v>77281</v>
      </c>
      <c r="F35" s="3185" t="s">
        <v>3182</v>
      </c>
      <c r="G35" s="3185" t="s">
        <v>3000</v>
      </c>
      <c r="H35" s="3185" t="s">
        <v>3173</v>
      </c>
      <c r="I35" s="3185">
        <v>42504.55</v>
      </c>
      <c r="J35" s="3185">
        <v>42504.55</v>
      </c>
      <c r="K35" s="3185">
        <v>5500</v>
      </c>
      <c r="L35" s="3185">
        <f t="shared" si="0"/>
        <v>5500</v>
      </c>
      <c r="M35" s="3185">
        <v>0</v>
      </c>
      <c r="N35" s="3185" t="s">
        <v>3183</v>
      </c>
    </row>
    <row r="36" spans="1:14">
      <c r="A36" s="3185" t="s">
        <v>3184</v>
      </c>
      <c r="B36" s="3185" t="s">
        <v>3083</v>
      </c>
      <c r="C36" s="3185" t="s">
        <v>2999</v>
      </c>
      <c r="D36" s="3185">
        <v>63884</v>
      </c>
      <c r="E36" s="3185">
        <v>208169</v>
      </c>
      <c r="F36" s="3185" t="s">
        <v>3185</v>
      </c>
      <c r="G36" s="3185" t="s">
        <v>3088</v>
      </c>
      <c r="H36" s="3185" t="s">
        <v>3173</v>
      </c>
      <c r="I36" s="3185">
        <v>83268</v>
      </c>
      <c r="J36" s="3185">
        <v>84000</v>
      </c>
      <c r="K36" s="3185">
        <v>4035.17</v>
      </c>
      <c r="L36" s="3185">
        <f t="shared" si="0"/>
        <v>13149</v>
      </c>
      <c r="M36" s="3185">
        <v>0.88</v>
      </c>
      <c r="N36" s="3185" t="s">
        <v>3186</v>
      </c>
    </row>
    <row r="37" spans="1:14" s="3206" customFormat="1">
      <c r="A37" s="3206" t="s">
        <v>3235</v>
      </c>
      <c r="B37" s="3206" t="s">
        <v>3083</v>
      </c>
      <c r="C37" s="3206" t="s">
        <v>2999</v>
      </c>
      <c r="D37" s="3206">
        <v>40290</v>
      </c>
      <c r="E37" s="3206">
        <v>100725</v>
      </c>
      <c r="F37" s="3206" t="s">
        <v>3158</v>
      </c>
      <c r="G37" s="3206" t="s">
        <v>3088</v>
      </c>
      <c r="H37" s="3206" t="s">
        <v>3187</v>
      </c>
      <c r="I37" s="3206">
        <v>6935</v>
      </c>
      <c r="J37" s="3206">
        <v>7000</v>
      </c>
      <c r="K37" s="3206">
        <v>694.96</v>
      </c>
      <c r="L37" s="3206">
        <f t="shared" si="0"/>
        <v>1737</v>
      </c>
      <c r="M37" s="3206">
        <v>0.94</v>
      </c>
      <c r="N37" s="3206" t="s">
        <v>3188</v>
      </c>
    </row>
    <row r="38" spans="1:14">
      <c r="A38" s="3185" t="s">
        <v>3189</v>
      </c>
      <c r="B38" s="3185" t="s">
        <v>3083</v>
      </c>
      <c r="C38" s="3185" t="s">
        <v>3001</v>
      </c>
      <c r="D38" s="3185">
        <v>55336</v>
      </c>
      <c r="E38" s="3185">
        <v>127273</v>
      </c>
      <c r="F38" s="3185" t="s">
        <v>3190</v>
      </c>
      <c r="G38" s="3185" t="s">
        <v>3088</v>
      </c>
      <c r="H38" s="3185" t="s">
        <v>3191</v>
      </c>
      <c r="I38" s="3185">
        <v>19091</v>
      </c>
      <c r="J38" s="3185">
        <v>41800</v>
      </c>
      <c r="K38" s="3185">
        <v>3284.28</v>
      </c>
      <c r="L38" s="3185">
        <f t="shared" si="0"/>
        <v>7554</v>
      </c>
      <c r="M38" s="3185">
        <v>118.95</v>
      </c>
      <c r="N38" s="3185" t="s">
        <v>3192</v>
      </c>
    </row>
    <row r="39" spans="1:14">
      <c r="A39" s="3185" t="s">
        <v>3193</v>
      </c>
      <c r="B39" s="3185" t="s">
        <v>3083</v>
      </c>
      <c r="C39" s="3185" t="s">
        <v>3001</v>
      </c>
      <c r="D39" s="3185">
        <v>117541</v>
      </c>
      <c r="E39" s="3185">
        <v>235082</v>
      </c>
      <c r="F39" s="3185" t="s">
        <v>3099</v>
      </c>
      <c r="G39" s="3185" t="s">
        <v>3088</v>
      </c>
      <c r="H39" s="3185" t="s">
        <v>3191</v>
      </c>
      <c r="I39" s="3185">
        <v>77578</v>
      </c>
      <c r="J39" s="3185">
        <v>145500</v>
      </c>
      <c r="K39" s="3185">
        <v>6189.32</v>
      </c>
      <c r="L39" s="3185">
        <f t="shared" si="0"/>
        <v>12379</v>
      </c>
      <c r="M39" s="3185">
        <v>87.55</v>
      </c>
      <c r="N39" s="3185" t="s">
        <v>3194</v>
      </c>
    </row>
    <row r="40" spans="1:14">
      <c r="A40" s="3185" t="s">
        <v>3195</v>
      </c>
      <c r="B40" s="3185" t="s">
        <v>3083</v>
      </c>
      <c r="C40" s="3185" t="s">
        <v>3001</v>
      </c>
      <c r="D40" s="3185">
        <v>6859</v>
      </c>
      <c r="E40" s="3185">
        <v>9603</v>
      </c>
      <c r="F40" s="3185">
        <v>1.4</v>
      </c>
      <c r="G40" s="3185" t="s">
        <v>3088</v>
      </c>
      <c r="H40" s="3185" t="s">
        <v>3196</v>
      </c>
      <c r="I40" s="3185">
        <v>2347</v>
      </c>
      <c r="J40" s="3185">
        <v>3600</v>
      </c>
      <c r="K40" s="3185">
        <v>3748.82</v>
      </c>
      <c r="L40" s="3185">
        <f t="shared" si="0"/>
        <v>5249</v>
      </c>
      <c r="M40" s="3185">
        <v>53.39</v>
      </c>
      <c r="N40" s="3185" t="s">
        <v>3197</v>
      </c>
    </row>
    <row r="41" spans="1:14">
      <c r="A41" s="3185" t="s">
        <v>3198</v>
      </c>
      <c r="B41" s="3185" t="s">
        <v>3083</v>
      </c>
      <c r="C41" s="3185" t="s">
        <v>2999</v>
      </c>
      <c r="D41" s="3185">
        <v>35104</v>
      </c>
      <c r="E41" s="3185">
        <v>70208</v>
      </c>
      <c r="F41" s="3185" t="s">
        <v>3199</v>
      </c>
      <c r="G41" s="3185" t="s">
        <v>3088</v>
      </c>
      <c r="H41" s="3185" t="s">
        <v>3200</v>
      </c>
      <c r="I41" s="3185">
        <v>4432</v>
      </c>
      <c r="J41" s="3185">
        <v>4432</v>
      </c>
      <c r="K41" s="3185">
        <v>631.26</v>
      </c>
      <c r="L41" s="3185">
        <f t="shared" si="0"/>
        <v>1263</v>
      </c>
      <c r="M41" s="3185">
        <v>0</v>
      </c>
      <c r="N41" s="3185" t="s">
        <v>3201</v>
      </c>
    </row>
    <row r="42" spans="1:14">
      <c r="A42" s="3185" t="s">
        <v>3202</v>
      </c>
      <c r="B42" s="3185" t="s">
        <v>3083</v>
      </c>
      <c r="C42" s="3185" t="s">
        <v>3001</v>
      </c>
      <c r="D42" s="3185">
        <v>153710</v>
      </c>
      <c r="E42" s="3185">
        <v>353533</v>
      </c>
      <c r="F42" s="3185" t="s">
        <v>3203</v>
      </c>
      <c r="G42" s="3185" t="s">
        <v>3088</v>
      </c>
      <c r="H42" s="3185" t="s">
        <v>3204</v>
      </c>
      <c r="I42" s="3185">
        <v>63992</v>
      </c>
      <c r="J42" s="3185">
        <v>68500</v>
      </c>
      <c r="K42" s="3185">
        <v>1937.57</v>
      </c>
      <c r="L42" s="3185">
        <f t="shared" si="0"/>
        <v>4456</v>
      </c>
      <c r="M42" s="3185">
        <v>7.04</v>
      </c>
      <c r="N42" s="3185" t="s">
        <v>3205</v>
      </c>
    </row>
    <row r="43" spans="1:14">
      <c r="A43" s="3185" t="s">
        <v>3206</v>
      </c>
      <c r="B43" s="3185" t="s">
        <v>3083</v>
      </c>
      <c r="C43" s="3185" t="s">
        <v>3001</v>
      </c>
      <c r="D43" s="3185">
        <v>99713</v>
      </c>
      <c r="E43" s="3185">
        <v>229340</v>
      </c>
      <c r="F43" s="3185" t="s">
        <v>3203</v>
      </c>
      <c r="G43" s="3185" t="s">
        <v>3088</v>
      </c>
      <c r="H43" s="3185" t="s">
        <v>3204</v>
      </c>
      <c r="I43" s="3185">
        <v>41363</v>
      </c>
      <c r="J43" s="3185">
        <v>44500</v>
      </c>
      <c r="K43" s="3185">
        <v>1940.34</v>
      </c>
      <c r="L43" s="3185">
        <f t="shared" si="0"/>
        <v>4463</v>
      </c>
      <c r="M43" s="3185">
        <v>7.58</v>
      </c>
      <c r="N43" s="3185" t="s">
        <v>3205</v>
      </c>
    </row>
    <row r="44" spans="1:14">
      <c r="A44" s="3185" t="s">
        <v>3207</v>
      </c>
      <c r="B44" s="3185" t="s">
        <v>3083</v>
      </c>
      <c r="C44" s="3185" t="s">
        <v>2999</v>
      </c>
      <c r="D44" s="3185">
        <v>34787</v>
      </c>
      <c r="E44" s="3185">
        <v>86968</v>
      </c>
      <c r="F44" s="3185" t="s">
        <v>3208</v>
      </c>
      <c r="G44" s="3185" t="s">
        <v>3088</v>
      </c>
      <c r="H44" s="3185" t="s">
        <v>3204</v>
      </c>
      <c r="I44" s="3185">
        <v>17498</v>
      </c>
      <c r="J44" s="3185">
        <v>17498</v>
      </c>
      <c r="K44" s="3185">
        <v>2012</v>
      </c>
      <c r="L44" s="3185">
        <f t="shared" si="0"/>
        <v>5030</v>
      </c>
      <c r="M44" s="3185">
        <v>0</v>
      </c>
      <c r="N44" s="3185" t="s">
        <v>3209</v>
      </c>
    </row>
    <row r="45" spans="1:14">
      <c r="A45" s="3185" t="s">
        <v>3210</v>
      </c>
      <c r="B45" s="3185" t="s">
        <v>3083</v>
      </c>
      <c r="C45" s="3185" t="s">
        <v>2999</v>
      </c>
      <c r="D45" s="3185">
        <v>280043</v>
      </c>
      <c r="E45" s="3185">
        <v>539057</v>
      </c>
      <c r="F45" s="3185" t="s">
        <v>3211</v>
      </c>
      <c r="G45" s="3185" t="s">
        <v>3088</v>
      </c>
      <c r="H45" s="3185" t="s">
        <v>3212</v>
      </c>
      <c r="I45" s="3185">
        <v>117232</v>
      </c>
      <c r="J45" s="3185">
        <v>117232</v>
      </c>
      <c r="K45" s="3185">
        <v>2174.7600000000002</v>
      </c>
      <c r="L45" s="3185">
        <f t="shared" si="0"/>
        <v>4186</v>
      </c>
      <c r="M45" s="3185">
        <v>0</v>
      </c>
      <c r="N45" s="3185" t="s">
        <v>3213</v>
      </c>
    </row>
    <row r="46" spans="1:14">
      <c r="A46" s="3185" t="s">
        <v>3214</v>
      </c>
      <c r="B46" s="3185" t="s">
        <v>3083</v>
      </c>
      <c r="C46" s="3185" t="s">
        <v>3001</v>
      </c>
      <c r="D46" s="3185">
        <v>138364</v>
      </c>
      <c r="E46" s="3185">
        <v>308271</v>
      </c>
      <c r="F46" s="3185" t="s">
        <v>3215</v>
      </c>
      <c r="G46" s="3185" t="s">
        <v>3088</v>
      </c>
      <c r="H46" s="3185" t="s">
        <v>3212</v>
      </c>
      <c r="I46" s="3185">
        <v>70320</v>
      </c>
      <c r="J46" s="3185">
        <v>88000</v>
      </c>
      <c r="K46" s="3185">
        <v>2854.63</v>
      </c>
      <c r="L46" s="3185">
        <f t="shared" si="0"/>
        <v>6360</v>
      </c>
      <c r="M46" s="3185">
        <v>25.14</v>
      </c>
      <c r="N46" s="3185" t="s">
        <v>3213</v>
      </c>
    </row>
    <row r="47" spans="1:14">
      <c r="A47" s="3185" t="s">
        <v>3216</v>
      </c>
      <c r="B47" s="3185" t="s">
        <v>3083</v>
      </c>
      <c r="C47" s="3185" t="s">
        <v>2999</v>
      </c>
      <c r="D47" s="3185">
        <v>209198</v>
      </c>
      <c r="E47" s="3185">
        <v>402188</v>
      </c>
      <c r="F47" s="3185" t="s">
        <v>3217</v>
      </c>
      <c r="G47" s="3185" t="s">
        <v>3088</v>
      </c>
      <c r="H47" s="3185" t="s">
        <v>3218</v>
      </c>
      <c r="I47" s="3185">
        <v>96524</v>
      </c>
      <c r="J47" s="3185">
        <v>106500</v>
      </c>
      <c r="K47" s="3185">
        <v>2648.01</v>
      </c>
      <c r="L47" s="3185">
        <f t="shared" si="0"/>
        <v>5091</v>
      </c>
      <c r="M47" s="3185">
        <v>10.34</v>
      </c>
      <c r="N47" s="3185" t="s">
        <v>3219</v>
      </c>
    </row>
    <row r="48" spans="1:14">
      <c r="A48" s="3185" t="s">
        <v>3220</v>
      </c>
      <c r="B48" s="3185" t="s">
        <v>3083</v>
      </c>
      <c r="C48" s="3185" t="s">
        <v>2999</v>
      </c>
      <c r="D48" s="3185">
        <v>25205</v>
      </c>
      <c r="E48" s="3185">
        <v>37808</v>
      </c>
      <c r="F48" s="3185" t="s">
        <v>3221</v>
      </c>
      <c r="G48" s="3185" t="s">
        <v>3088</v>
      </c>
      <c r="H48" s="3185" t="s">
        <v>3222</v>
      </c>
      <c r="I48" s="3185">
        <v>7563</v>
      </c>
      <c r="J48" s="3185">
        <v>7563</v>
      </c>
      <c r="K48" s="3185">
        <v>2000.36</v>
      </c>
      <c r="L48" s="3185">
        <f t="shared" si="0"/>
        <v>3001</v>
      </c>
      <c r="M48" s="3185">
        <v>0</v>
      </c>
      <c r="N48" s="3185" t="s">
        <v>3223</v>
      </c>
    </row>
    <row r="49" spans="1:14">
      <c r="A49" s="3185" t="s">
        <v>3224</v>
      </c>
      <c r="B49" s="3185" t="s">
        <v>3083</v>
      </c>
      <c r="C49" s="3185" t="s">
        <v>3001</v>
      </c>
      <c r="D49" s="3185">
        <v>178836</v>
      </c>
      <c r="E49" s="3185">
        <v>375556</v>
      </c>
      <c r="F49" s="3185" t="s">
        <v>3225</v>
      </c>
      <c r="G49" s="3185" t="s">
        <v>3088</v>
      </c>
      <c r="H49" s="3185" t="s">
        <v>3222</v>
      </c>
      <c r="I49" s="3185">
        <v>46006</v>
      </c>
      <c r="J49" s="3185">
        <v>46006</v>
      </c>
      <c r="K49" s="3185">
        <v>1225</v>
      </c>
      <c r="L49" s="3185">
        <f t="shared" si="0"/>
        <v>2573</v>
      </c>
      <c r="M49" s="3185">
        <v>0</v>
      </c>
      <c r="N49" s="3185" t="s">
        <v>3226</v>
      </c>
    </row>
    <row r="50" spans="1:14">
      <c r="A50" s="3185" t="s">
        <v>3227</v>
      </c>
      <c r="B50" s="3185" t="s">
        <v>3083</v>
      </c>
      <c r="C50" s="3185" t="s">
        <v>2999</v>
      </c>
      <c r="D50" s="3185">
        <v>38695</v>
      </c>
      <c r="E50" s="3185">
        <v>123037</v>
      </c>
      <c r="F50" s="3185" t="s">
        <v>3228</v>
      </c>
      <c r="G50" s="3185" t="s">
        <v>3088</v>
      </c>
      <c r="H50" s="3185" t="s">
        <v>3229</v>
      </c>
      <c r="I50" s="3185">
        <v>24081</v>
      </c>
      <c r="J50" s="3185">
        <v>32000</v>
      </c>
      <c r="K50" s="3185">
        <v>2600.84</v>
      </c>
      <c r="L50" s="3185">
        <f t="shared" si="0"/>
        <v>8270</v>
      </c>
      <c r="M50" s="3185">
        <v>32.880000000000003</v>
      </c>
      <c r="N50" s="3185" t="s">
        <v>3230</v>
      </c>
    </row>
    <row r="51" spans="1:14">
      <c r="A51" s="3185" t="s">
        <v>3231</v>
      </c>
      <c r="B51" s="3185" t="s">
        <v>3083</v>
      </c>
      <c r="C51" s="3185" t="s">
        <v>3001</v>
      </c>
      <c r="D51" s="3185">
        <v>149452</v>
      </c>
      <c r="E51" s="3185">
        <v>298904</v>
      </c>
      <c r="F51" s="3185" t="s">
        <v>3199</v>
      </c>
      <c r="G51" s="3185" t="s">
        <v>3000</v>
      </c>
      <c r="H51" s="3185" t="s">
        <v>3232</v>
      </c>
      <c r="I51" s="3185">
        <v>23913</v>
      </c>
      <c r="J51" s="3185">
        <v>23913</v>
      </c>
      <c r="K51" s="3185">
        <v>800.01</v>
      </c>
      <c r="L51" s="3185">
        <f t="shared" si="0"/>
        <v>1600</v>
      </c>
      <c r="M51" s="3185">
        <v>0</v>
      </c>
      <c r="N51" s="3185" t="s">
        <v>3233</v>
      </c>
    </row>
  </sheetData>
  <phoneticPr fontId="233" type="noConversion"/>
  <pageMargins left="0.75" right="0.75" top="1" bottom="1" header="0.5" footer="0.5"/>
  <pageSetup orientation="portrait" horizontalDpi="300" verticalDpi="30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1900</v>
      </c>
      <c r="B36" s="1655" t="s">
        <v>1901</v>
      </c>
    </row>
    <row r="37" spans="1:9" ht="28.5" customHeight="1">
      <c r="A37" s="1655"/>
      <c r="B37" s="3212" t="str">
        <f>项目基本情况!B1</f>
        <v>出让国有建设用地使用权抵押价格预评估</v>
      </c>
      <c r="C37" s="3212"/>
      <c r="D37" s="3212"/>
      <c r="E37" s="3212"/>
      <c r="F37" s="3212"/>
      <c r="G37" s="3212"/>
      <c r="H37" s="3212"/>
      <c r="I37" s="3212"/>
    </row>
    <row r="38" spans="1:9">
      <c r="A38" s="1657"/>
      <c r="B38" s="1657"/>
    </row>
    <row r="39" spans="1:9">
      <c r="A39" s="1655" t="s">
        <v>1900</v>
      </c>
      <c r="B39" s="1655" t="s">
        <v>2047</v>
      </c>
    </row>
    <row r="40" spans="1:9">
      <c r="A40" s="1655"/>
      <c r="B40" s="1655">
        <f>项目基本情况!B5</f>
        <v>0</v>
      </c>
    </row>
    <row r="41" spans="1:9">
      <c r="A41" s="1655"/>
      <c r="B41" s="1655"/>
    </row>
    <row r="42" spans="1:9">
      <c r="A42" s="1655" t="s">
        <v>1900</v>
      </c>
      <c r="B42" s="1655" t="s">
        <v>2048</v>
      </c>
    </row>
    <row r="43" spans="1:9">
      <c r="A43" s="1655"/>
      <c r="B43" s="1655" t="s">
        <v>1902</v>
      </c>
    </row>
    <row r="44" spans="1:9">
      <c r="A44" s="1655"/>
      <c r="B44" s="1655"/>
    </row>
    <row r="45" spans="1:9">
      <c r="A45" s="1655" t="s">
        <v>1900</v>
      </c>
      <c r="B45" s="1655" t="s">
        <v>2046</v>
      </c>
    </row>
    <row r="46" spans="1:9" s="1655" customFormat="1" ht="12.75">
      <c r="B46" s="1655" t="str">
        <f>项目基本情况!K4</f>
        <v>土地估价师、土地估价师</v>
      </c>
    </row>
    <row r="47" spans="1:9">
      <c r="A47" s="1655"/>
      <c r="B47" s="1655"/>
    </row>
    <row r="48" spans="1:9">
      <c r="A48" s="1655" t="s">
        <v>1900</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10" sqref="C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11"/>
      <c r="C1" s="2106"/>
      <c r="D1" s="2106"/>
      <c r="E1" s="2106"/>
      <c r="F1" s="2106"/>
      <c r="G1" s="2106"/>
      <c r="H1" s="2106"/>
      <c r="I1" s="2106"/>
      <c r="J1" s="2106"/>
      <c r="K1" s="422">
        <f>MATCH(B1,'数据-取费表'!A6:A16,0)+5</f>
        <v>8</v>
      </c>
    </row>
    <row r="2" spans="1:31" s="2043" customFormat="1" ht="18" customHeight="1">
      <c r="A2" s="2103" t="s">
        <v>466</v>
      </c>
      <c r="B2" s="2107">
        <f ca="1">C36</f>
        <v>21251</v>
      </c>
      <c r="C2" s="2106"/>
      <c r="D2" s="2106"/>
      <c r="E2" s="2106"/>
      <c r="F2" s="2106"/>
      <c r="G2" s="2106"/>
      <c r="H2" s="2106"/>
      <c r="I2" s="2106"/>
      <c r="J2" s="2106"/>
      <c r="K2" s="2106"/>
    </row>
    <row r="3" spans="1:31" s="2043" customFormat="1" ht="18" customHeight="1">
      <c r="A3" s="2108" t="s">
        <v>1683</v>
      </c>
      <c r="B3" s="2109">
        <f ca="1">ROUND(B2*10000/IF(B1="",'数据-汇总表'!E3,INDIRECT("'数据-取费表'!K"&amp;$K$1)),0)</f>
        <v>2110</v>
      </c>
      <c r="C3" s="2106"/>
      <c r="D3" s="2106"/>
      <c r="E3" s="2106"/>
      <c r="F3" s="2106"/>
      <c r="G3" s="2106"/>
      <c r="H3" s="2106"/>
      <c r="I3" s="2106"/>
      <c r="J3" s="2106"/>
      <c r="K3" s="2106"/>
    </row>
    <row r="4" spans="1:31" s="2043" customFormat="1" ht="18" customHeight="1">
      <c r="A4" s="426" t="s">
        <v>467</v>
      </c>
      <c r="B4" s="427">
        <f ca="1">ROUND(B2*10000/IF(B1="",'数据-汇总表'!D3,INDIRECT("'数据-取费表'!R"&amp;$K$1)),0)</f>
        <v>5275</v>
      </c>
      <c r="C4" s="428"/>
      <c r="D4" s="422"/>
      <c r="E4" s="422"/>
      <c r="F4" s="422"/>
      <c r="G4" s="422"/>
      <c r="H4" s="422"/>
      <c r="I4" s="422"/>
      <c r="J4" s="422"/>
      <c r="K4" s="422"/>
    </row>
    <row r="5" spans="1:31" s="2043" customFormat="1" ht="18" customHeight="1" thickBot="1">
      <c r="A5" s="429"/>
      <c r="B5" s="430">
        <f ca="1">ROUND(B2/(IF(B1="",'数据-汇总表'!D3,INDIRECT("'数据-取费表'!R"&amp;$K$1))/666.67),0)</f>
        <v>352</v>
      </c>
      <c r="C5" s="431" t="s">
        <v>468</v>
      </c>
      <c r="D5" s="422"/>
      <c r="E5" s="422"/>
      <c r="F5" s="422"/>
      <c r="G5" s="422"/>
      <c r="H5" s="422"/>
      <c r="I5" s="422"/>
      <c r="J5" s="422"/>
      <c r="K5" s="422"/>
    </row>
    <row r="6" spans="1:31" s="2113" customFormat="1" ht="16.5" customHeight="1">
      <c r="A6" s="2830" t="s">
        <v>1841</v>
      </c>
      <c r="B6" s="2831"/>
      <c r="C6" s="2832">
        <f ca="1">SUM(C10:K10)</f>
        <v>70387</v>
      </c>
      <c r="D6" s="2831"/>
      <c r="E6" s="2831"/>
      <c r="F6" s="2831"/>
      <c r="G6" s="2831"/>
      <c r="H6" s="2831"/>
      <c r="I6" s="2831"/>
      <c r="J6" s="2831"/>
      <c r="K6" s="2833"/>
    </row>
    <row r="7" spans="1:31" s="2115" customFormat="1" ht="15">
      <c r="A7" s="2834" t="s">
        <v>469</v>
      </c>
      <c r="B7" s="2835" t="s">
        <v>470</v>
      </c>
      <c r="C7" s="436" t="s">
        <v>922</v>
      </c>
      <c r="D7" s="436" t="s">
        <v>3030</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1844</v>
      </c>
      <c r="B8" s="261" t="s">
        <v>471</v>
      </c>
      <c r="C8" s="2836">
        <f>'不动产比较法-住宅'!B3</f>
        <v>6935</v>
      </c>
      <c r="D8" s="2836">
        <f ca="1">不动产收益法商业!B3</f>
        <v>7112</v>
      </c>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1845</v>
      </c>
      <c r="B9" s="261" t="s">
        <v>472</v>
      </c>
      <c r="C9" s="441">
        <f>SUMIF('数据-汇总表'!$C19:$C33,'剩余法-待开发'!C7,'数据-汇总表'!$E19:$E33)</f>
        <v>70507.5</v>
      </c>
      <c r="D9" s="441">
        <f>SUMIF('数据-汇总表'!$C19:$C33,'剩余法-待开发'!D7,'数据-汇总表'!$E19:$E33)</f>
        <v>30217.5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1846</v>
      </c>
      <c r="B10" s="2824" t="s">
        <v>473</v>
      </c>
      <c r="C10" s="3031">
        <f>'不动产比较法-住宅'!B2</f>
        <v>48897</v>
      </c>
      <c r="D10" s="3031">
        <f ca="1">不动产收益法商业!B2</f>
        <v>21490</v>
      </c>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1842</v>
      </c>
      <c r="B11" s="2831"/>
      <c r="C11" s="2831"/>
      <c r="D11" s="2831"/>
      <c r="E11" s="2831"/>
      <c r="F11" s="2831"/>
      <c r="G11" s="2831"/>
      <c r="H11" s="2831"/>
      <c r="I11" s="2831"/>
      <c r="J11" s="2831"/>
      <c r="K11" s="2833"/>
    </row>
    <row r="12" spans="1:31" s="2087" customFormat="1" ht="13.5" customHeight="1">
      <c r="A12" s="2842" t="s">
        <v>469</v>
      </c>
      <c r="B12" s="2814" t="s">
        <v>470</v>
      </c>
      <c r="C12" s="2843" t="s">
        <v>474</v>
      </c>
      <c r="D12" s="2810" t="s">
        <v>475</v>
      </c>
      <c r="E12" s="2810" t="s">
        <v>476</v>
      </c>
      <c r="F12" s="2810" t="s">
        <v>477</v>
      </c>
      <c r="G12" s="2814"/>
      <c r="H12" s="2815"/>
      <c r="I12" s="2815"/>
      <c r="J12" s="2815"/>
      <c r="K12" s="2816"/>
    </row>
    <row r="13" spans="1:31" s="2118" customFormat="1" ht="13.5" customHeight="1">
      <c r="A13" s="2844" t="s">
        <v>1847</v>
      </c>
      <c r="B13" s="2845" t="s">
        <v>478</v>
      </c>
      <c r="C13" s="450">
        <f ca="1">IF(B1="",'数据-取费表'!P16,INDIRECT("'数据-取费表'!p"&amp;$K$1)+INDIRECT("'数据-取费表'!t"&amp;$K$1))</f>
        <v>23973</v>
      </c>
      <c r="D13" s="2846"/>
      <c r="E13" s="2847"/>
      <c r="F13" s="2848"/>
      <c r="G13" s="2814"/>
      <c r="H13" s="2815"/>
      <c r="I13" s="2815"/>
      <c r="J13" s="2815"/>
      <c r="K13" s="2816"/>
    </row>
    <row r="14" spans="1:31" s="2118" customFormat="1" ht="13.5" customHeight="1">
      <c r="A14" s="2844" t="s">
        <v>1848</v>
      </c>
      <c r="B14" s="2845" t="s">
        <v>479</v>
      </c>
      <c r="C14" s="53">
        <f ca="1">ROUND(C13*F14,0)</f>
        <v>1199</v>
      </c>
      <c r="D14" s="2846"/>
      <c r="E14" s="2847"/>
      <c r="F14" s="2849">
        <f>'数据-取费表'!B33</f>
        <v>0.05</v>
      </c>
      <c r="G14" s="2814" t="s">
        <v>480</v>
      </c>
      <c r="H14" s="2815"/>
      <c r="I14" s="2815"/>
      <c r="J14" s="2815"/>
      <c r="K14" s="2816"/>
    </row>
    <row r="15" spans="1:31" s="2118" customFormat="1" ht="13.5" customHeight="1">
      <c r="A15" s="2844" t="s">
        <v>1849</v>
      </c>
      <c r="B15" s="2845" t="s">
        <v>481</v>
      </c>
      <c r="C15" s="53">
        <f ca="1">ROUND(IF(B1="",SUMIF('数据-取费表'!C:C,"住宅",'数据-取费表'!P:P)*F15,IF(INDIRECT("'数据-取费表'!c"&amp;$K$1)="住宅",INDIRECT("'数据-取费表'!P"&amp;$K$1)*F15,0)),0)</f>
        <v>776</v>
      </c>
      <c r="D15" s="2846"/>
      <c r="E15" s="2847"/>
      <c r="F15" s="2849">
        <f>'数据-取费表'!B34</f>
        <v>0.05</v>
      </c>
      <c r="G15" s="2814" t="s">
        <v>482</v>
      </c>
      <c r="H15" s="2815"/>
      <c r="I15" s="2815"/>
      <c r="J15" s="2815"/>
      <c r="K15" s="2816"/>
    </row>
    <row r="16" spans="1:31" s="2119" customFormat="1" ht="13.5" customHeight="1">
      <c r="A16" s="2844" t="s">
        <v>1850</v>
      </c>
      <c r="B16" s="2845" t="s">
        <v>483</v>
      </c>
      <c r="C16" s="53">
        <f ca="1">ROUND(D16*E16/10000,0)</f>
        <v>2015</v>
      </c>
      <c r="D16" s="2846">
        <f ca="1">IF(B1="",'数据-汇总表'!E3,INDIRECT("'数据-取费表'!K"&amp;$K$1)+INDIRECT("'数据-取费表'!S"&amp;$K$1))</f>
        <v>100725</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1851</v>
      </c>
      <c r="B17" s="2845" t="s">
        <v>484</v>
      </c>
      <c r="C17" s="2850">
        <f ca="1">ROUND(C13*F17,0)</f>
        <v>360</v>
      </c>
      <c r="D17" s="475"/>
      <c r="E17" s="2850"/>
      <c r="F17" s="2851">
        <f>'数据-取费表'!B36</f>
        <v>1.4999999999999999E-2</v>
      </c>
      <c r="G17" s="261" t="s">
        <v>485</v>
      </c>
      <c r="H17" s="2817"/>
      <c r="I17" s="2817"/>
      <c r="J17" s="2817"/>
      <c r="K17" s="279"/>
    </row>
    <row r="18" spans="1:14" s="2118" customFormat="1" ht="13.5" customHeight="1">
      <c r="A18" s="2852" t="s">
        <v>1852</v>
      </c>
      <c r="B18" s="2853" t="s">
        <v>486</v>
      </c>
      <c r="C18" s="2854">
        <f ca="1">SUM(C13:C17)</f>
        <v>28323</v>
      </c>
      <c r="D18" s="2855"/>
      <c r="E18" s="468"/>
      <c r="F18" s="468"/>
      <c r="G18" s="2818" t="s">
        <v>2430</v>
      </c>
      <c r="H18" s="2819"/>
      <c r="I18" s="2819"/>
      <c r="J18" s="2819"/>
      <c r="K18" s="2820"/>
    </row>
    <row r="19" spans="1:14" s="2118" customFormat="1" ht="13.5" customHeight="1">
      <c r="A19" s="2852" t="s">
        <v>1853</v>
      </c>
      <c r="B19" s="2853" t="s">
        <v>487</v>
      </c>
      <c r="C19" s="2810">
        <f ca="1">ROUND(D19*E19/10000,0)</f>
        <v>604</v>
      </c>
      <c r="D19" s="2856">
        <f ca="1">D16</f>
        <v>100725</v>
      </c>
      <c r="E19" s="2810">
        <f>'数据-取费表'!B32</f>
        <v>60</v>
      </c>
      <c r="F19" s="468"/>
      <c r="G19" s="2814" t="s">
        <v>488</v>
      </c>
      <c r="H19" s="2815"/>
      <c r="I19" s="2819"/>
      <c r="J19" s="2819"/>
      <c r="K19" s="2820"/>
    </row>
    <row r="20" spans="1:14" s="2118" customFormat="1" ht="13.5" customHeight="1">
      <c r="A20" s="2852" t="s">
        <v>1854</v>
      </c>
      <c r="B20" s="2853" t="s">
        <v>489</v>
      </c>
      <c r="C20" s="2810">
        <f ca="1">C21+C22-IF(B1="",'数据-取费表'!B29,IF(G20="已全部缴纳",C21+C22,H20))</f>
        <v>1914</v>
      </c>
      <c r="D20" s="2856"/>
      <c r="E20" s="2810"/>
      <c r="F20" s="2857"/>
      <c r="G20" s="3089"/>
      <c r="H20" s="2812"/>
      <c r="I20" s="2813" t="s">
        <v>2649</v>
      </c>
      <c r="J20" s="2819"/>
      <c r="K20" s="2820"/>
    </row>
    <row r="21" spans="1:14" s="2118" customFormat="1" ht="13.5" customHeight="1">
      <c r="A21" s="2844" t="s">
        <v>1855</v>
      </c>
      <c r="B21" s="2845" t="s">
        <v>490</v>
      </c>
      <c r="C21" s="53">
        <f ca="1">ROUND(D21*E21/10000,0)</f>
        <v>1340</v>
      </c>
      <c r="D21" s="2846">
        <f ca="1">IF(B1="",'数据-汇总表'!E5,IF(INDIRECT("'数据-取费表'!c"&amp;$K$1)="住宅",INDIRECT("'数据-取费表'!k"&amp;$K$1),0))</f>
        <v>70507.5</v>
      </c>
      <c r="E21" s="53">
        <f>'数据-取费表'!B27</f>
        <v>190</v>
      </c>
      <c r="F21" s="2849"/>
      <c r="G21" s="26"/>
      <c r="H21" s="51"/>
      <c r="I21" s="51"/>
      <c r="J21" s="51"/>
      <c r="K21" s="2821"/>
    </row>
    <row r="22" spans="1:14" s="2118" customFormat="1" ht="13.5" customHeight="1">
      <c r="A22" s="2844" t="s">
        <v>1856</v>
      </c>
      <c r="B22" s="2845" t="s">
        <v>491</v>
      </c>
      <c r="C22" s="53">
        <f ca="1">ROUND(D22*E22/10000,0)</f>
        <v>574</v>
      </c>
      <c r="D22" s="2846">
        <f ca="1">IF(B1="",'数据-汇总表'!E6,IF(INDIRECT("'数据-取费表'!c"&amp;$K$1)="住宅",INDIRECT("'数据-取费表'!s"&amp;$K$1),INDIRECT("'数据-取费表'!k"&amp;$K$1)+INDIRECT("'数据-取费表'!s"&amp;$K$1)))</f>
        <v>30217.5</v>
      </c>
      <c r="E22" s="53">
        <f>'数据-取费表'!B28</f>
        <v>190</v>
      </c>
      <c r="F22" s="2849"/>
      <c r="G22" s="26"/>
      <c r="H22" s="51"/>
      <c r="I22" s="51"/>
      <c r="J22" s="51"/>
      <c r="K22" s="2821"/>
    </row>
    <row r="23" spans="1:14" s="2118" customFormat="1" ht="13.5" customHeight="1">
      <c r="A23" s="2852" t="s">
        <v>1857</v>
      </c>
      <c r="B23" s="3037" t="s">
        <v>2832</v>
      </c>
      <c r="C23" s="2854">
        <f ca="1">ROUND((C18+C19+C20)*F23,0)</f>
        <v>617</v>
      </c>
      <c r="D23" s="468"/>
      <c r="E23" s="468"/>
      <c r="F23" s="2858">
        <f>'数据-取费表'!B37</f>
        <v>0.02</v>
      </c>
      <c r="G23" s="2814" t="s">
        <v>2431</v>
      </c>
      <c r="H23" s="2815"/>
      <c r="I23" s="2815"/>
      <c r="J23" s="2815"/>
      <c r="K23" s="2816"/>
      <c r="L23" s="2120"/>
      <c r="M23" s="2120"/>
      <c r="N23" s="2120"/>
    </row>
    <row r="24" spans="1:14" s="2118" customFormat="1" ht="13.5" customHeight="1">
      <c r="A24" s="2852" t="s">
        <v>1858</v>
      </c>
      <c r="B24" s="3037" t="s">
        <v>2835</v>
      </c>
      <c r="C24" s="2854">
        <f ca="1">ROUND(C6*F24,0)</f>
        <v>1408</v>
      </c>
      <c r="D24" s="475"/>
      <c r="E24" s="473"/>
      <c r="F24" s="2858">
        <f>'数据-取费表'!B38</f>
        <v>0.02</v>
      </c>
      <c r="G24" s="2823" t="s">
        <v>498</v>
      </c>
      <c r="H24" s="2817"/>
      <c r="I24" s="2817"/>
      <c r="J24" s="2817"/>
      <c r="K24" s="279"/>
      <c r="L24" s="2120"/>
      <c r="M24" s="2120"/>
      <c r="N24" s="2120"/>
    </row>
    <row r="25" spans="1:14" s="2121" customFormat="1" ht="13.5" customHeight="1">
      <c r="A25" s="2852" t="s">
        <v>1859</v>
      </c>
      <c r="B25" s="3037" t="s">
        <v>2833</v>
      </c>
      <c r="C25" s="467">
        <f>ROUND(F25/(1+'数据-取费表'!C42),4)</f>
        <v>2.9000000000000001E-2</v>
      </c>
      <c r="D25" s="462" t="s">
        <v>2827</v>
      </c>
      <c r="E25" s="469"/>
      <c r="F25" s="2858">
        <f>'数据-取费表'!B48+'数据-取费表'!B49</f>
        <v>3.0499999999999999E-2</v>
      </c>
      <c r="G25" s="2822" t="s">
        <v>2289</v>
      </c>
      <c r="H25" s="2815"/>
      <c r="I25" s="2815"/>
      <c r="J25" s="2815"/>
      <c r="K25" s="2816"/>
    </row>
    <row r="26" spans="1:14" s="2120" customFormat="1" ht="13.5" customHeight="1">
      <c r="A26" s="2852" t="s">
        <v>1860</v>
      </c>
      <c r="B26" s="3038" t="s">
        <v>2834</v>
      </c>
      <c r="C26" s="2859">
        <f ca="1">C28</f>
        <v>1561</v>
      </c>
      <c r="D26" s="467">
        <f ca="1">C27</f>
        <v>0.10009999999999999</v>
      </c>
      <c r="E26" s="469" t="s">
        <v>494</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1855</v>
      </c>
      <c r="B27" s="2860" t="s">
        <v>495</v>
      </c>
      <c r="C27" s="2861">
        <f ca="1">ROUND(IF('数据-取费表'!B22&lt;=1,(1+C25)*F26*'数据-取费表'!B24,(1+C25)*(POWER((1+F26),'数据-取费表'!B24)-1)),4)</f>
        <v>0.10009999999999999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1856</v>
      </c>
      <c r="B28" s="2860" t="s">
        <v>2836</v>
      </c>
      <c r="C28" s="2862">
        <f ca="1">ROUND(IF('数据-取费表'!B22&lt;=1,(C18+C19+C20+C23+C24)*F26*'数据-取费表'!B24/2,(C18+C19+C20+C23+C24)*(POWER((1+F26),'数据-取费表'!B24/2)-1)),0)</f>
        <v>1561</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1861</v>
      </c>
      <c r="B29" s="2853" t="s">
        <v>496</v>
      </c>
      <c r="C29" s="2854">
        <f ca="1">ROUND(C6*F29/(1+'数据-取费表'!C42),0)</f>
        <v>3754</v>
      </c>
      <c r="D29" s="468"/>
      <c r="E29" s="468"/>
      <c r="F29" s="3039">
        <f>'数据-取费表'!B41</f>
        <v>5.6000000000000001E-2</v>
      </c>
      <c r="G29" s="2823" t="s">
        <v>497</v>
      </c>
      <c r="H29" s="2815"/>
      <c r="I29" s="2815"/>
      <c r="J29" s="2815"/>
      <c r="K29" s="2816"/>
    </row>
    <row r="30" spans="1:14" s="2123" customFormat="1" ht="13.5" customHeight="1">
      <c r="A30" s="1636" t="s">
        <v>1862</v>
      </c>
      <c r="B30" s="2864" t="s">
        <v>499</v>
      </c>
      <c r="C30" s="2859">
        <f ca="1">C31</f>
        <v>38181</v>
      </c>
      <c r="D30" s="477">
        <f ca="1">C32</f>
        <v>0.12909999999999999</v>
      </c>
      <c r="E30" s="469" t="s">
        <v>494</v>
      </c>
      <c r="F30" s="471"/>
      <c r="G30" s="2822" t="s">
        <v>2969</v>
      </c>
      <c r="H30" s="2815"/>
      <c r="I30" s="2815"/>
      <c r="J30" s="2815"/>
      <c r="K30" s="2816"/>
    </row>
    <row r="31" spans="1:14" s="2122" customFormat="1" ht="13.5" customHeight="1">
      <c r="A31" s="803" t="s">
        <v>1855</v>
      </c>
      <c r="B31" s="2860"/>
      <c r="C31" s="450">
        <f ca="1">C18+C19+C20+C23+C24+C26+C29</f>
        <v>38181</v>
      </c>
      <c r="D31" s="472"/>
      <c r="E31" s="473"/>
      <c r="F31" s="474"/>
      <c r="G31" s="261"/>
      <c r="H31" s="2817"/>
      <c r="I31" s="2817"/>
      <c r="J31" s="2817"/>
      <c r="K31" s="279"/>
    </row>
    <row r="32" spans="1:14" s="2122" customFormat="1" ht="13.5" customHeight="1">
      <c r="A32" s="803" t="s">
        <v>1856</v>
      </c>
      <c r="B32" s="2860"/>
      <c r="C32" s="53">
        <f ca="1">ROUND(C25+D26,4)</f>
        <v>0.12909999999999999</v>
      </c>
      <c r="D32" s="472"/>
      <c r="E32" s="473"/>
      <c r="F32" s="474"/>
      <c r="G32" s="261"/>
      <c r="H32" s="2817"/>
      <c r="I32" s="2817"/>
      <c r="J32" s="2817"/>
      <c r="K32" s="279"/>
    </row>
    <row r="33" spans="1:11" s="2124" customFormat="1" ht="13.5" customHeight="1">
      <c r="A33" s="3036" t="s">
        <v>2831</v>
      </c>
      <c r="B33" s="3034" t="s">
        <v>2829</v>
      </c>
      <c r="C33" s="478">
        <f ca="1">C35</f>
        <v>4930</v>
      </c>
      <c r="D33" s="467">
        <f ca="1">C34</f>
        <v>0.15440000000000001</v>
      </c>
      <c r="E33" s="469" t="s">
        <v>494</v>
      </c>
      <c r="F33" s="479">
        <f ca="1">IF(B1="",'数据-取费表'!Q16,INDIRECT("'数据-取费表'!q"&amp;$K$1))</f>
        <v>0.15</v>
      </c>
      <c r="G33" s="2818"/>
      <c r="H33" s="2819"/>
      <c r="I33" s="2819"/>
      <c r="J33" s="2819"/>
      <c r="K33" s="2820"/>
    </row>
    <row r="34" spans="1:11" s="2125" customFormat="1" ht="13.5" customHeight="1">
      <c r="A34" s="375" t="s">
        <v>1855</v>
      </c>
      <c r="B34" s="2865" t="s">
        <v>500</v>
      </c>
      <c r="C34" s="472">
        <f ca="1">ROUND((1+C25)*F33,4)</f>
        <v>0.15440000000000001</v>
      </c>
      <c r="D34" s="472"/>
      <c r="E34" s="473"/>
      <c r="F34" s="480"/>
      <c r="G34" s="261" t="s">
        <v>2290</v>
      </c>
      <c r="H34" s="2817"/>
      <c r="I34" s="2817"/>
      <c r="J34" s="2817"/>
      <c r="K34" s="279"/>
    </row>
    <row r="35" spans="1:11" s="2125" customFormat="1" ht="13.5" customHeight="1" thickBot="1">
      <c r="A35" s="1637" t="s">
        <v>1856</v>
      </c>
      <c r="B35" s="3035" t="s">
        <v>2837</v>
      </c>
      <c r="C35" s="1629">
        <f ca="1">ROUND((C18+C19+C20+C23+C24)*F33,0)</f>
        <v>4930</v>
      </c>
      <c r="D35" s="1630"/>
      <c r="E35" s="2866"/>
      <c r="F35" s="1631"/>
      <c r="G35" s="2824"/>
      <c r="H35" s="2825"/>
      <c r="I35" s="2825"/>
      <c r="J35" s="2825"/>
      <c r="K35" s="2826"/>
    </row>
    <row r="36" spans="1:11" s="2087" customFormat="1" ht="13.5" customHeight="1" thickBot="1">
      <c r="A36" s="284" t="s">
        <v>1843</v>
      </c>
      <c r="B36" s="2828"/>
      <c r="C36" s="2867">
        <f ca="1">ROUND((C6-C30-C33)/(1+D30+D33),0)</f>
        <v>21251</v>
      </c>
      <c r="D36" s="2828"/>
      <c r="E36" s="2828"/>
      <c r="F36" s="2828"/>
      <c r="G36" s="2827" t="s">
        <v>2838</v>
      </c>
      <c r="H36" s="2828"/>
      <c r="I36" s="2828"/>
      <c r="J36" s="2828"/>
      <c r="K36" s="2829"/>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11"/>
      <c r="C1" s="2106"/>
      <c r="D1" s="2106"/>
      <c r="E1" s="2106"/>
      <c r="F1" s="2106"/>
      <c r="G1" s="2106"/>
      <c r="H1" s="2106"/>
      <c r="I1" s="2106"/>
      <c r="J1" s="2106"/>
      <c r="K1" s="422">
        <f>MATCH(B1,'数据-取费表'!A6:A16,0)+5</f>
        <v>8</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1683</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2650</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1844</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1846</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1863</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1847</v>
      </c>
      <c r="B13" s="449" t="s">
        <v>478</v>
      </c>
      <c r="C13" s="450">
        <f ca="1">IF(B1="",'数据-取费表'!M16,INDIRECT("'数据-取费表'!M"&amp;$K$1)+INDIRECT("'数据-取费表'!t"&amp;$K$1))</f>
        <v>23973</v>
      </c>
      <c r="D13" s="451"/>
      <c r="E13" s="365"/>
      <c r="F13" s="452"/>
      <c r="G13" s="444"/>
      <c r="H13" s="447"/>
      <c r="I13" s="447"/>
      <c r="J13" s="447"/>
      <c r="K13" s="448"/>
    </row>
    <row r="14" spans="1:41" s="2118" customFormat="1" ht="13.5" customHeight="1">
      <c r="A14" s="1634" t="s">
        <v>1848</v>
      </c>
      <c r="B14" s="449" t="s">
        <v>479</v>
      </c>
      <c r="C14" s="53">
        <f ca="1">ROUND(C13*F14,0)</f>
        <v>1199</v>
      </c>
      <c r="D14" s="451"/>
      <c r="E14" s="365"/>
      <c r="F14" s="453">
        <f>'数据-取费表'!B33</f>
        <v>0.05</v>
      </c>
      <c r="G14" s="444" t="s">
        <v>501</v>
      </c>
      <c r="H14" s="447"/>
      <c r="I14" s="447"/>
      <c r="J14" s="447"/>
      <c r="K14" s="448"/>
    </row>
    <row r="15" spans="1:41" s="2118" customFormat="1" ht="13.5" customHeight="1">
      <c r="A15" s="1634" t="s">
        <v>1849</v>
      </c>
      <c r="B15" s="449" t="s">
        <v>481</v>
      </c>
      <c r="C15" s="53">
        <f ca="1">ROUND(IF(B1="",SUMIF('数据-取费表'!C:C,"住宅",'数据-取费表'!M:M)*F15,IF(INDIRECT("'数据-取费表'!c"&amp;$K$1)="住宅",INDIRECT("'数据-取费表'!M"&amp;$K$1)*F15,0)),0)</f>
        <v>776</v>
      </c>
      <c r="D15" s="451"/>
      <c r="E15" s="365"/>
      <c r="F15" s="453">
        <f>'数据-取费表'!B34</f>
        <v>0.05</v>
      </c>
      <c r="G15" s="444" t="s">
        <v>501</v>
      </c>
      <c r="H15" s="447"/>
      <c r="I15" s="447"/>
      <c r="J15" s="447"/>
      <c r="K15" s="448"/>
    </row>
    <row r="16" spans="1:41" s="2119" customFormat="1" ht="13.5" customHeight="1">
      <c r="A16" s="1634" t="s">
        <v>1850</v>
      </c>
      <c r="B16" s="449" t="s">
        <v>483</v>
      </c>
      <c r="C16" s="53">
        <f ca="1">ROUND(D16*E16/10000,0)</f>
        <v>2015</v>
      </c>
      <c r="D16" s="451">
        <f ca="1">IF(B1="",'数据-汇总表'!E3,INDIRECT("'数据-取费表'!K"&amp;$K$1)+INDIRECT("'数据-取费表'!S"&amp;$K$1))</f>
        <v>100725</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1851</v>
      </c>
      <c r="B17" s="449" t="s">
        <v>484</v>
      </c>
      <c r="C17" s="454">
        <f ca="1">ROUND(C13*F17,0)</f>
        <v>360</v>
      </c>
      <c r="D17" s="455"/>
      <c r="E17" s="454"/>
      <c r="F17" s="456">
        <f>'数据-取费表'!B36</f>
        <v>1.4999999999999999E-2</v>
      </c>
      <c r="G17" s="444" t="s">
        <v>501</v>
      </c>
      <c r="H17" s="457"/>
      <c r="I17" s="457"/>
      <c r="J17" s="457"/>
      <c r="K17" s="458"/>
    </row>
    <row r="18" spans="1:14" s="2121" customFormat="1" ht="13.5" customHeight="1">
      <c r="A18" s="1635" t="s">
        <v>1852</v>
      </c>
      <c r="B18" s="459" t="s">
        <v>486</v>
      </c>
      <c r="C18" s="460">
        <f ca="1">SUM(C13:C17)</f>
        <v>28323</v>
      </c>
      <c r="D18" s="461"/>
      <c r="E18" s="462"/>
      <c r="F18" s="462"/>
      <c r="G18" s="1327" t="s">
        <v>2432</v>
      </c>
      <c r="H18" s="447"/>
      <c r="I18" s="447"/>
      <c r="J18" s="447"/>
      <c r="K18" s="448"/>
    </row>
    <row r="19" spans="1:14" s="2121" customFormat="1" ht="13.5" customHeight="1">
      <c r="A19" s="1635" t="s">
        <v>1853</v>
      </c>
      <c r="B19" s="459" t="s">
        <v>492</v>
      </c>
      <c r="C19" s="460">
        <f ca="1">ROUND(C18*F19,0)</f>
        <v>566</v>
      </c>
      <c r="D19" s="462"/>
      <c r="E19" s="462"/>
      <c r="F19" s="466">
        <f>'数据-取费表'!B37</f>
        <v>0.02</v>
      </c>
      <c r="G19" s="444" t="s">
        <v>502</v>
      </c>
      <c r="H19" s="447"/>
      <c r="I19" s="447"/>
      <c r="J19" s="447"/>
      <c r="K19" s="448"/>
      <c r="L19" s="2123"/>
      <c r="M19" s="2123"/>
      <c r="N19" s="2123"/>
    </row>
    <row r="20" spans="1:14" s="2121" customFormat="1" ht="13.5" customHeight="1">
      <c r="A20" s="1635" t="s">
        <v>1854</v>
      </c>
      <c r="B20" s="459" t="s">
        <v>503</v>
      </c>
      <c r="C20" s="3032">
        <f>F20</f>
        <v>0.02</v>
      </c>
      <c r="D20" s="469" t="s">
        <v>504</v>
      </c>
      <c r="E20" s="469"/>
      <c r="F20" s="486">
        <f>'数据-取费表'!B38</f>
        <v>0.02</v>
      </c>
      <c r="G20" s="1327" t="s">
        <v>505</v>
      </c>
      <c r="H20" s="447"/>
      <c r="I20" s="447"/>
      <c r="J20" s="447"/>
      <c r="K20" s="448"/>
      <c r="L20" s="2123"/>
      <c r="M20" s="2123"/>
      <c r="N20" s="2123"/>
    </row>
    <row r="21" spans="1:14" s="2123" customFormat="1" ht="13.5" customHeight="1">
      <c r="A21" s="1635" t="s">
        <v>1857</v>
      </c>
      <c r="B21" s="461" t="s">
        <v>493</v>
      </c>
      <c r="C21" s="470">
        <f ca="1">C22</f>
        <v>1372</v>
      </c>
      <c r="D21" s="467">
        <f ca="1">C23</f>
        <v>1E-3</v>
      </c>
      <c r="E21" s="469" t="s">
        <v>506</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1847</v>
      </c>
      <c r="B22" s="1328" t="s">
        <v>2435</v>
      </c>
      <c r="C22" s="487">
        <f ca="1">ROUND(IF('数据-取费表'!B22&lt;=1,(C18+C19)*F21*'数据-取费表'!B20/2,(C18+C19)*(POWER((1+F21),'数据-取费表'!B20/2)-1)),0)</f>
        <v>1372</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1848</v>
      </c>
      <c r="B23" s="1328" t="s">
        <v>507</v>
      </c>
      <c r="C23" s="488">
        <f ca="1">ROUND(IF('数据-取费表'!B22&lt;=1,F20*F21*'数据-取费表'!B20/2,F20*(POWER((1+F21),'数据-取费表'!B20/2)-1)),4)</f>
        <v>1E-3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1858</v>
      </c>
      <c r="B24" s="3034" t="s">
        <v>2830</v>
      </c>
      <c r="C24" s="478">
        <f ca="1">C25</f>
        <v>4333</v>
      </c>
      <c r="D24" s="489">
        <f ca="1">C26</f>
        <v>3.0000000000000001E-3</v>
      </c>
      <c r="E24" s="469" t="s">
        <v>506</v>
      </c>
      <c r="F24" s="479">
        <f ca="1">IF(B1="",'数据-取费表'!Q16,INDIRECT("'数据-取费表'!q"&amp;$K$1))</f>
        <v>0.15</v>
      </c>
      <c r="G24" s="444"/>
      <c r="H24" s="447"/>
      <c r="I24" s="447"/>
      <c r="J24" s="447"/>
      <c r="K24" s="448"/>
    </row>
    <row r="25" spans="1:14" s="2122" customFormat="1" ht="13.5" customHeight="1">
      <c r="A25" s="1634" t="s">
        <v>1847</v>
      </c>
      <c r="B25" s="1328" t="s">
        <v>2436</v>
      </c>
      <c r="C25" s="490">
        <f ca="1">ROUND((C18+C19)*F24,0)</f>
        <v>4333</v>
      </c>
      <c r="D25" s="472"/>
      <c r="E25" s="473"/>
      <c r="F25" s="480"/>
      <c r="G25" s="1326" t="s">
        <v>2433</v>
      </c>
      <c r="H25" s="457"/>
      <c r="I25" s="457"/>
      <c r="J25" s="457"/>
      <c r="K25" s="458"/>
    </row>
    <row r="26" spans="1:14" s="2122" customFormat="1" ht="13.5" customHeight="1">
      <c r="A26" s="1634" t="s">
        <v>1848</v>
      </c>
      <c r="B26" s="1328" t="s">
        <v>508</v>
      </c>
      <c r="C26" s="491">
        <f ca="1">ROUND(F20*F24,4)</f>
        <v>3.0000000000000001E-3</v>
      </c>
      <c r="D26" s="472"/>
      <c r="E26" s="481"/>
      <c r="F26" s="480"/>
      <c r="G26" s="1326" t="s">
        <v>509</v>
      </c>
      <c r="H26" s="457"/>
      <c r="I26" s="457"/>
      <c r="J26" s="457"/>
      <c r="K26" s="458"/>
    </row>
    <row r="27" spans="1:14" s="2122" customFormat="1" ht="13.5" customHeight="1">
      <c r="A27" s="1638" t="s">
        <v>1866</v>
      </c>
      <c r="B27" s="459" t="s">
        <v>510</v>
      </c>
      <c r="C27" s="3033">
        <f>ROUND(F27/(1+'数据-取费表'!C42),4)</f>
        <v>5.33E-2</v>
      </c>
      <c r="D27" s="462" t="s">
        <v>2828</v>
      </c>
      <c r="E27" s="462"/>
      <c r="F27" s="466">
        <f>'数据-取费表'!B41</f>
        <v>5.6000000000000001E-2</v>
      </c>
      <c r="G27" s="1962" t="s">
        <v>2291</v>
      </c>
      <c r="H27" s="447"/>
      <c r="I27" s="447"/>
      <c r="J27" s="447"/>
      <c r="K27" s="448"/>
    </row>
    <row r="28" spans="1:14" s="2123" customFormat="1" ht="13.5" customHeight="1">
      <c r="A28" s="1638" t="s">
        <v>1867</v>
      </c>
      <c r="B28" s="476" t="s">
        <v>511</v>
      </c>
      <c r="C28" s="470">
        <f ca="1">ROUND((C18+C19+C21+C24)/(1-C20-D21-D24-C27),0)</f>
        <v>37492</v>
      </c>
      <c r="D28" s="477"/>
      <c r="E28" s="469"/>
      <c r="F28" s="471"/>
      <c r="G28" s="1327" t="s">
        <v>2434</v>
      </c>
      <c r="H28" s="447"/>
      <c r="I28" s="447"/>
      <c r="J28" s="447"/>
      <c r="K28" s="448"/>
    </row>
    <row r="29" spans="1:14" s="2123" customFormat="1" ht="13.5" customHeight="1">
      <c r="A29" s="1638" t="s">
        <v>1868</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484" t="s">
        <v>1864</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85"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F33" sqref="F33"/>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1684</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399" t="s">
        <v>521</v>
      </c>
      <c r="D6" s="3400"/>
      <c r="E6" s="3423" t="s">
        <v>522</v>
      </c>
      <c r="F6" s="3424"/>
      <c r="G6" s="3399" t="s">
        <v>523</v>
      </c>
      <c r="H6" s="3400"/>
      <c r="I6" s="3399" t="s">
        <v>524</v>
      </c>
      <c r="J6" s="3400"/>
      <c r="K6" s="514" t="s">
        <v>525</v>
      </c>
      <c r="L6" s="2135"/>
      <c r="M6" s="2136"/>
      <c r="N6" s="2136"/>
      <c r="O6" s="2136"/>
      <c r="P6" s="3401" t="s">
        <v>526</v>
      </c>
      <c r="Q6" s="3402"/>
      <c r="R6" s="3387" t="s">
        <v>522</v>
      </c>
      <c r="S6" s="3388"/>
      <c r="T6" s="3387" t="s">
        <v>523</v>
      </c>
      <c r="U6" s="3388"/>
      <c r="V6" s="3407" t="s">
        <v>524</v>
      </c>
      <c r="W6" s="3407"/>
      <c r="X6" s="1568"/>
      <c r="Y6" s="3387" t="s">
        <v>526</v>
      </c>
      <c r="Z6" s="3388"/>
      <c r="AA6" s="3382" t="s">
        <v>522</v>
      </c>
      <c r="AB6" s="3383" t="s">
        <v>523</v>
      </c>
      <c r="AC6" s="3382" t="s">
        <v>524</v>
      </c>
    </row>
    <row r="7" spans="1:29" ht="15">
      <c r="A7" s="515"/>
      <c r="B7" s="516"/>
      <c r="C7" s="3410" t="s">
        <v>2925</v>
      </c>
      <c r="D7" s="3411"/>
      <c r="E7" s="3425" t="s">
        <v>2926</v>
      </c>
      <c r="F7" s="3426"/>
      <c r="G7" s="3410" t="s">
        <v>2927</v>
      </c>
      <c r="H7" s="3411"/>
      <c r="I7" s="3410" t="s">
        <v>2928</v>
      </c>
      <c r="J7" s="3411"/>
      <c r="K7" s="514"/>
      <c r="L7" s="2135"/>
      <c r="M7" s="2136"/>
      <c r="N7" s="2136"/>
      <c r="O7" s="2136"/>
      <c r="P7" s="3403"/>
      <c r="Q7" s="3404"/>
      <c r="R7" s="3389"/>
      <c r="S7" s="3390"/>
      <c r="T7" s="3389"/>
      <c r="U7" s="3390"/>
      <c r="V7" s="3407"/>
      <c r="W7" s="3407"/>
      <c r="X7" s="1568"/>
      <c r="Y7" s="3389"/>
      <c r="Z7" s="3390"/>
      <c r="AA7" s="3383"/>
      <c r="AB7" s="3383"/>
      <c r="AC7" s="3383"/>
    </row>
    <row r="8" spans="1:29" ht="15.75" thickBot="1">
      <c r="A8" s="517"/>
      <c r="B8" s="518"/>
      <c r="C8" s="3408" t="s">
        <v>2929</v>
      </c>
      <c r="D8" s="3409"/>
      <c r="E8" s="3427" t="s">
        <v>2929</v>
      </c>
      <c r="F8" s="3428"/>
      <c r="G8" s="3408" t="s">
        <v>2929</v>
      </c>
      <c r="H8" s="3409"/>
      <c r="I8" s="3408" t="s">
        <v>2929</v>
      </c>
      <c r="J8" s="3409"/>
      <c r="K8" s="514" t="s">
        <v>527</v>
      </c>
      <c r="L8" s="2135"/>
      <c r="M8" s="2136"/>
      <c r="N8" s="2136"/>
      <c r="O8" s="2136"/>
      <c r="P8" s="3405"/>
      <c r="Q8" s="3406"/>
      <c r="R8" s="3389"/>
      <c r="S8" s="3390"/>
      <c r="T8" s="3391"/>
      <c r="U8" s="3392"/>
      <c r="V8" s="3407"/>
      <c r="W8" s="3407"/>
      <c r="X8" s="1568"/>
      <c r="Y8" s="3391"/>
      <c r="Z8" s="3392"/>
      <c r="AA8" s="3384"/>
      <c r="AB8" s="3384"/>
      <c r="AC8" s="3384"/>
    </row>
    <row r="9" spans="1:29" s="1220" customFormat="1" ht="15.75" thickBot="1">
      <c r="A9" s="2914"/>
      <c r="B9" s="2921" t="s">
        <v>528</v>
      </c>
      <c r="C9" s="519">
        <f>'数据-取费表'!B2</f>
        <v>43446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85" t="s">
        <v>529</v>
      </c>
      <c r="Q9" s="3394"/>
      <c r="R9" s="1569" t="s">
        <v>8</v>
      </c>
      <c r="S9" s="1570">
        <f t="shared" ref="S9:S17" si="0">F9</f>
        <v>0</v>
      </c>
      <c r="T9" s="1569" t="s">
        <v>8</v>
      </c>
      <c r="U9" s="1570">
        <f t="shared" ref="U9:U17" si="1">H9</f>
        <v>0</v>
      </c>
      <c r="V9" s="1569" t="s">
        <v>8</v>
      </c>
      <c r="W9" s="1570">
        <f t="shared" ref="W9:W17" si="2">J9</f>
        <v>0</v>
      </c>
      <c r="X9" s="1571"/>
      <c r="Y9" s="3385" t="s">
        <v>529</v>
      </c>
      <c r="Z9" s="3386"/>
      <c r="AA9" s="1572" t="e">
        <f>D9/F9</f>
        <v>#DIV/0!</v>
      </c>
      <c r="AB9" s="1572" t="e">
        <f>D9/H9</f>
        <v>#DIV/0!</v>
      </c>
      <c r="AC9" s="1572" t="e">
        <f>D9/J9</f>
        <v>#DIV/0!</v>
      </c>
    </row>
    <row r="10" spans="1:29" s="1220" customFormat="1" ht="15.75" thickBot="1">
      <c r="A10" s="2915"/>
      <c r="B10" s="292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85" t="s">
        <v>532</v>
      </c>
      <c r="Q10" s="3386"/>
      <c r="R10" s="1569" t="s">
        <v>8</v>
      </c>
      <c r="S10" s="1570">
        <f t="shared" si="0"/>
        <v>0</v>
      </c>
      <c r="T10" s="1569" t="s">
        <v>8</v>
      </c>
      <c r="U10" s="1570">
        <f t="shared" si="1"/>
        <v>0</v>
      </c>
      <c r="V10" s="1569" t="s">
        <v>8</v>
      </c>
      <c r="W10" s="1570">
        <f t="shared" si="2"/>
        <v>0</v>
      </c>
      <c r="X10" s="1571"/>
      <c r="Y10" s="3385" t="s">
        <v>532</v>
      </c>
      <c r="Z10" s="3386"/>
      <c r="AA10" s="1572" t="e">
        <f t="shared" ref="AA10:AA42" si="3">D10/F10</f>
        <v>#DIV/0!</v>
      </c>
      <c r="AB10" s="1572" t="e">
        <f t="shared" ref="AB10:AB42" si="4">D10/H10</f>
        <v>#DIV/0!</v>
      </c>
      <c r="AC10" s="1572" t="e">
        <f t="shared" ref="AC10:AC42" si="5">D10/J10</f>
        <v>#DIV/0!</v>
      </c>
    </row>
    <row r="11" spans="1:29" s="1220" customFormat="1" ht="15">
      <c r="A11" s="2916"/>
      <c r="B11" s="2923" t="s">
        <v>2754</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93" t="s">
        <v>534</v>
      </c>
      <c r="Q11" s="1151" t="str">
        <f t="shared" ref="Q11:Q17" si="6">B11</f>
        <v>用途</v>
      </c>
      <c r="R11" s="1569" t="s">
        <v>8</v>
      </c>
      <c r="S11" s="1570">
        <f t="shared" si="0"/>
        <v>100</v>
      </c>
      <c r="T11" s="1569" t="s">
        <v>8</v>
      </c>
      <c r="U11" s="1570">
        <f t="shared" si="1"/>
        <v>100</v>
      </c>
      <c r="V11" s="1569" t="s">
        <v>8</v>
      </c>
      <c r="W11" s="1570">
        <f t="shared" si="2"/>
        <v>100</v>
      </c>
      <c r="X11" s="1571"/>
      <c r="Y11" s="3350" t="s">
        <v>535</v>
      </c>
      <c r="Z11" s="1150" t="str">
        <f t="shared" ref="Z11:Z17" si="7">Q11</f>
        <v>用途</v>
      </c>
      <c r="AA11" s="1572">
        <f t="shared" si="3"/>
        <v>1</v>
      </c>
      <c r="AB11" s="1572">
        <f t="shared" si="4"/>
        <v>1</v>
      </c>
      <c r="AC11" s="1572">
        <f t="shared" si="5"/>
        <v>1</v>
      </c>
    </row>
    <row r="12" spans="1:29" s="1338" customFormat="1" ht="27">
      <c r="A12" s="2917"/>
      <c r="B12" s="2922" t="s">
        <v>2755</v>
      </c>
      <c r="C12" s="528"/>
      <c r="D12" s="255">
        <v>100</v>
      </c>
      <c r="E12" s="528"/>
      <c r="F12" s="255">
        <f>ROUND(100/'数据-取费表'!G16,0)</f>
        <v>106</v>
      </c>
      <c r="G12" s="528"/>
      <c r="H12" s="255">
        <f>ROUND(100/'数据-取费表'!G16,0)</f>
        <v>106</v>
      </c>
      <c r="I12" s="528"/>
      <c r="J12" s="255">
        <f>ROUND(100/'数据-取费表'!G16,0)</f>
        <v>106</v>
      </c>
      <c r="K12" s="531"/>
      <c r="L12" s="2140"/>
      <c r="M12" s="2180"/>
      <c r="N12" s="2180"/>
      <c r="O12" s="2141"/>
      <c r="P12" s="3393"/>
      <c r="Q12" s="1151" t="str">
        <f t="shared" si="6"/>
        <v>土地使用年限（年）</v>
      </c>
      <c r="R12" s="1569" t="s">
        <v>8</v>
      </c>
      <c r="S12" s="1570">
        <f t="shared" si="0"/>
        <v>106</v>
      </c>
      <c r="T12" s="1569" t="s">
        <v>8</v>
      </c>
      <c r="U12" s="1570">
        <f t="shared" si="1"/>
        <v>106</v>
      </c>
      <c r="V12" s="1569" t="s">
        <v>8</v>
      </c>
      <c r="W12" s="1570">
        <f t="shared" si="2"/>
        <v>106</v>
      </c>
      <c r="X12" s="1571"/>
      <c r="Y12" s="3350"/>
      <c r="Z12" s="1150" t="str">
        <f t="shared" si="7"/>
        <v>土地使用年限（年）</v>
      </c>
      <c r="AA12" s="1572">
        <f t="shared" si="3"/>
        <v>0.94339622641509435</v>
      </c>
      <c r="AB12" s="1572">
        <f t="shared" si="4"/>
        <v>0.94339622641509435</v>
      </c>
      <c r="AC12" s="1572">
        <f t="shared" si="5"/>
        <v>0.94339622641509435</v>
      </c>
    </row>
    <row r="13" spans="1:29" ht="15">
      <c r="A13" s="2918"/>
      <c r="B13" s="2922"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93"/>
      <c r="Q13" s="1151" t="str">
        <f t="shared" si="6"/>
        <v>容积率</v>
      </c>
      <c r="R13" s="1569" t="s">
        <v>8</v>
      </c>
      <c r="S13" s="1570" t="e">
        <f t="shared" si="0"/>
        <v>#N/A</v>
      </c>
      <c r="T13" s="1569" t="s">
        <v>8</v>
      </c>
      <c r="U13" s="1570" t="e">
        <f t="shared" si="1"/>
        <v>#N/A</v>
      </c>
      <c r="V13" s="1569" t="s">
        <v>8</v>
      </c>
      <c r="W13" s="1570" t="e">
        <f t="shared" si="2"/>
        <v>#N/A</v>
      </c>
      <c r="X13" s="1571"/>
      <c r="Y13" s="3350"/>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93"/>
      <c r="Q15" s="1151">
        <f t="shared" si="6"/>
        <v>111</v>
      </c>
      <c r="R15" s="1569" t="s">
        <v>8</v>
      </c>
      <c r="S15" s="1570">
        <f t="shared" si="0"/>
        <v>100</v>
      </c>
      <c r="T15" s="1569" t="s">
        <v>8</v>
      </c>
      <c r="U15" s="1570">
        <f t="shared" si="1"/>
        <v>100</v>
      </c>
      <c r="V15" s="1569" t="s">
        <v>8</v>
      </c>
      <c r="W15" s="1570">
        <f t="shared" si="2"/>
        <v>100</v>
      </c>
      <c r="X15" s="1571"/>
      <c r="Y15" s="3350"/>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93"/>
      <c r="Q16" s="1151">
        <f t="shared" si="6"/>
        <v>111</v>
      </c>
      <c r="R16" s="1569" t="s">
        <v>8</v>
      </c>
      <c r="S16" s="1570">
        <f t="shared" si="0"/>
        <v>100</v>
      </c>
      <c r="T16" s="1569" t="s">
        <v>8</v>
      </c>
      <c r="U16" s="1570">
        <f t="shared" si="1"/>
        <v>100</v>
      </c>
      <c r="V16" s="1569" t="s">
        <v>8</v>
      </c>
      <c r="W16" s="1570">
        <f t="shared" si="2"/>
        <v>100</v>
      </c>
      <c r="X16" s="1571"/>
      <c r="Y16" s="3350"/>
      <c r="Z16" s="1150">
        <f t="shared" si="7"/>
        <v>111</v>
      </c>
      <c r="AA16" s="1572">
        <f t="shared" si="3"/>
        <v>1</v>
      </c>
      <c r="AB16" s="1572">
        <f t="shared" si="4"/>
        <v>1</v>
      </c>
      <c r="AC16" s="1572">
        <f t="shared" si="5"/>
        <v>1</v>
      </c>
    </row>
    <row r="17" spans="1:29" ht="57">
      <c r="A17" s="2912" t="s">
        <v>2752</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395" t="s">
        <v>539</v>
      </c>
      <c r="Q17" s="1573" t="str">
        <f t="shared" si="6"/>
        <v>产业集聚程度</v>
      </c>
      <c r="R17" s="1574" t="s">
        <v>8</v>
      </c>
      <c r="S17" s="1575">
        <f t="shared" si="0"/>
        <v>100</v>
      </c>
      <c r="T17" s="1574" t="s">
        <v>8</v>
      </c>
      <c r="U17" s="1575">
        <f t="shared" si="1"/>
        <v>100</v>
      </c>
      <c r="V17" s="1574" t="s">
        <v>8</v>
      </c>
      <c r="W17" s="1575">
        <f t="shared" si="2"/>
        <v>100</v>
      </c>
      <c r="X17" s="1568"/>
      <c r="Y17" s="3395"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396"/>
      <c r="Q18" s="1573"/>
      <c r="R18" s="1574"/>
      <c r="S18" s="1575"/>
      <c r="T18" s="1574"/>
      <c r="U18" s="1575"/>
      <c r="V18" s="1574"/>
      <c r="W18" s="1575"/>
      <c r="X18" s="1568"/>
      <c r="Y18" s="3396"/>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396"/>
      <c r="Q19" s="1573" t="str">
        <f>B19</f>
        <v>交通便捷度</v>
      </c>
      <c r="R19" s="1574" t="s">
        <v>8</v>
      </c>
      <c r="S19" s="1575">
        <f>F19</f>
        <v>100</v>
      </c>
      <c r="T19" s="1574" t="s">
        <v>8</v>
      </c>
      <c r="U19" s="1575">
        <f>H19</f>
        <v>100</v>
      </c>
      <c r="V19" s="1574" t="s">
        <v>8</v>
      </c>
      <c r="W19" s="1575">
        <f>J19</f>
        <v>100</v>
      </c>
      <c r="X19" s="1568"/>
      <c r="Y19" s="3396"/>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396"/>
      <c r="Q20" s="1573"/>
      <c r="R20" s="1574"/>
      <c r="S20" s="1575"/>
      <c r="T20" s="1574"/>
      <c r="U20" s="1575"/>
      <c r="V20" s="1574"/>
      <c r="W20" s="1575"/>
      <c r="X20" s="1568"/>
      <c r="Y20" s="3396"/>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396"/>
      <c r="Q21" s="1573" t="str">
        <f t="shared" ref="Q21:Q35" si="8">B21</f>
        <v>区域土地利用方向</v>
      </c>
      <c r="R21" s="1574" t="s">
        <v>8</v>
      </c>
      <c r="S21" s="1575">
        <f>F21</f>
        <v>100</v>
      </c>
      <c r="T21" s="1574" t="s">
        <v>8</v>
      </c>
      <c r="U21" s="1575">
        <f>H21</f>
        <v>100</v>
      </c>
      <c r="V21" s="1574" t="s">
        <v>8</v>
      </c>
      <c r="W21" s="1575">
        <f>J21</f>
        <v>100</v>
      </c>
      <c r="X21" s="1568"/>
      <c r="Y21" s="3396"/>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396"/>
      <c r="Q22" s="1573"/>
      <c r="R22" s="1574"/>
      <c r="S22" s="1575"/>
      <c r="T22" s="1574"/>
      <c r="U22" s="1575"/>
      <c r="V22" s="1574"/>
      <c r="W22" s="1575"/>
      <c r="X22" s="1568"/>
      <c r="Y22" s="3396"/>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396"/>
      <c r="Q23" s="1573" t="str">
        <f t="shared" si="8"/>
        <v>环境状况</v>
      </c>
      <c r="R23" s="1574" t="s">
        <v>8</v>
      </c>
      <c r="S23" s="1575">
        <f>F23</f>
        <v>100</v>
      </c>
      <c r="T23" s="1574" t="s">
        <v>8</v>
      </c>
      <c r="U23" s="1575">
        <f>H23</f>
        <v>100</v>
      </c>
      <c r="V23" s="1574" t="s">
        <v>8</v>
      </c>
      <c r="W23" s="1575">
        <f>J23</f>
        <v>100</v>
      </c>
      <c r="X23" s="1568"/>
      <c r="Y23" s="3396"/>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396"/>
      <c r="Q24" s="1573"/>
      <c r="R24" s="1574"/>
      <c r="S24" s="1575"/>
      <c r="T24" s="1574"/>
      <c r="U24" s="1575"/>
      <c r="V24" s="1574"/>
      <c r="W24" s="1575"/>
      <c r="X24" s="1568"/>
      <c r="Y24" s="3396"/>
      <c r="Z24" s="1576"/>
      <c r="AA24" s="1577">
        <v>1</v>
      </c>
      <c r="AB24" s="1577">
        <v>1</v>
      </c>
      <c r="AC24" s="1577">
        <v>1</v>
      </c>
    </row>
    <row r="25" spans="1:29" s="1220" customFormat="1" ht="42.75">
      <c r="A25" s="577"/>
      <c r="B25" s="2595" t="s">
        <v>2546</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396"/>
      <c r="Q25" s="1151" t="str">
        <f t="shared" si="8"/>
        <v>公共配套设施</v>
      </c>
      <c r="R25" s="1569" t="s">
        <v>8</v>
      </c>
      <c r="S25" s="1570">
        <f>F25</f>
        <v>100</v>
      </c>
      <c r="T25" s="1569" t="s">
        <v>8</v>
      </c>
      <c r="U25" s="1570">
        <f>H25</f>
        <v>100</v>
      </c>
      <c r="V25" s="1569" t="s">
        <v>8</v>
      </c>
      <c r="W25" s="1570">
        <f>J25</f>
        <v>100</v>
      </c>
      <c r="X25" s="1571"/>
      <c r="Y25" s="3396"/>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396"/>
      <c r="Q26" s="1151"/>
      <c r="R26" s="1569"/>
      <c r="S26" s="1570"/>
      <c r="T26" s="1569"/>
      <c r="U26" s="1570"/>
      <c r="V26" s="1569"/>
      <c r="W26" s="1570"/>
      <c r="X26" s="1571"/>
      <c r="Y26" s="3396"/>
      <c r="Z26" s="1150"/>
      <c r="AA26" s="1572">
        <v>1</v>
      </c>
      <c r="AB26" s="1572">
        <v>1</v>
      </c>
      <c r="AC26" s="1572">
        <v>1</v>
      </c>
    </row>
    <row r="27" spans="1:29" s="1220" customFormat="1" ht="28.5">
      <c r="A27" s="577"/>
      <c r="B27" s="2595" t="s">
        <v>2547</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396"/>
      <c r="Q27" s="2580" t="str">
        <f t="shared" ref="Q27" si="9">B27</f>
        <v>基础设施水平</v>
      </c>
      <c r="R27" s="1569" t="s">
        <v>8</v>
      </c>
      <c r="S27" s="1570">
        <f>F27</f>
        <v>100</v>
      </c>
      <c r="T27" s="1569" t="s">
        <v>8</v>
      </c>
      <c r="U27" s="1570">
        <f>H27</f>
        <v>100</v>
      </c>
      <c r="V27" s="1569" t="s">
        <v>8</v>
      </c>
      <c r="W27" s="1570">
        <f>J27</f>
        <v>100</v>
      </c>
      <c r="X27" s="1571"/>
      <c r="Y27" s="3396"/>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396"/>
      <c r="Q28" s="2580"/>
      <c r="R28" s="1569"/>
      <c r="S28" s="1570"/>
      <c r="T28" s="1569"/>
      <c r="U28" s="1570"/>
      <c r="V28" s="1569"/>
      <c r="W28" s="1570"/>
      <c r="X28" s="1571"/>
      <c r="Y28" s="3396"/>
      <c r="Z28" s="2577"/>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396"/>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6"/>
      <c r="Z29" s="1576" t="str">
        <f t="shared" ref="Z29:Z42" si="13">Q29</f>
        <v>临街状况</v>
      </c>
      <c r="AA29" s="1577">
        <f t="shared" si="3"/>
        <v>1</v>
      </c>
      <c r="AB29" s="1577">
        <f t="shared" si="4"/>
        <v>1</v>
      </c>
      <c r="AC29" s="1577">
        <f t="shared" si="5"/>
        <v>1</v>
      </c>
    </row>
    <row r="30" spans="1:29" ht="27">
      <c r="A30" s="532"/>
      <c r="B30" s="922" t="s">
        <v>547</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396"/>
      <c r="Q30" s="1573" t="str">
        <f t="shared" si="8"/>
        <v>毗邻道路的类型与等级</v>
      </c>
      <c r="R30" s="1574" t="s">
        <v>8</v>
      </c>
      <c r="S30" s="1575">
        <f t="shared" si="10"/>
        <v>100</v>
      </c>
      <c r="T30" s="1574" t="s">
        <v>8</v>
      </c>
      <c r="U30" s="1575">
        <f t="shared" si="11"/>
        <v>100</v>
      </c>
      <c r="V30" s="1574" t="s">
        <v>8</v>
      </c>
      <c r="W30" s="1575">
        <f t="shared" si="12"/>
        <v>100</v>
      </c>
      <c r="X30" s="1568"/>
      <c r="Y30" s="3396"/>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396"/>
      <c r="Q31" s="1573"/>
      <c r="R31" s="1574"/>
      <c r="S31" s="1575"/>
      <c r="T31" s="1574"/>
      <c r="U31" s="1575"/>
      <c r="V31" s="1574"/>
      <c r="W31" s="1575"/>
      <c r="X31" s="1568"/>
      <c r="Y31" s="3396"/>
      <c r="Z31" s="1576"/>
      <c r="AA31" s="1577">
        <v>1</v>
      </c>
      <c r="AB31" s="1577">
        <v>1</v>
      </c>
      <c r="AC31" s="1577">
        <v>1</v>
      </c>
    </row>
    <row r="32" spans="1:29" ht="15">
      <c r="A32" s="532"/>
      <c r="B32" s="527" t="s">
        <v>548</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396"/>
      <c r="Q32" s="1573" t="str">
        <f t="shared" si="8"/>
        <v>土地级别</v>
      </c>
      <c r="R32" s="1574" t="s">
        <v>8</v>
      </c>
      <c r="S32" s="1575">
        <f t="shared" si="10"/>
        <v>100</v>
      </c>
      <c r="T32" s="1574" t="s">
        <v>8</v>
      </c>
      <c r="U32" s="1575">
        <f t="shared" si="11"/>
        <v>100</v>
      </c>
      <c r="V32" s="1574" t="s">
        <v>8</v>
      </c>
      <c r="W32" s="1575">
        <f t="shared" si="12"/>
        <v>100</v>
      </c>
      <c r="X32" s="1568"/>
      <c r="Y32" s="3396"/>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396"/>
      <c r="Q33" s="1573">
        <f t="shared" si="8"/>
        <v>111</v>
      </c>
      <c r="R33" s="1574" t="s">
        <v>8</v>
      </c>
      <c r="S33" s="1575">
        <f t="shared" si="10"/>
        <v>100</v>
      </c>
      <c r="T33" s="1574" t="s">
        <v>8</v>
      </c>
      <c r="U33" s="1575">
        <f t="shared" si="11"/>
        <v>100</v>
      </c>
      <c r="V33" s="1574" t="s">
        <v>8</v>
      </c>
      <c r="W33" s="1575">
        <f t="shared" si="12"/>
        <v>100</v>
      </c>
      <c r="X33" s="1568"/>
      <c r="Y33" s="3396"/>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397" t="s">
        <v>549</v>
      </c>
      <c r="Q34" s="1573">
        <f t="shared" si="8"/>
        <v>111</v>
      </c>
      <c r="R34" s="1574" t="s">
        <v>8</v>
      </c>
      <c r="S34" s="1575">
        <f t="shared" si="10"/>
        <v>100</v>
      </c>
      <c r="T34" s="1574" t="s">
        <v>8</v>
      </c>
      <c r="U34" s="1575">
        <f t="shared" si="11"/>
        <v>100</v>
      </c>
      <c r="V34" s="1574" t="s">
        <v>8</v>
      </c>
      <c r="W34" s="1575">
        <f t="shared" si="12"/>
        <v>100</v>
      </c>
      <c r="X34" s="1568"/>
      <c r="Y34" s="3398" t="s">
        <v>549</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398"/>
      <c r="Q35" s="1573">
        <f t="shared" si="8"/>
        <v>111</v>
      </c>
      <c r="R35" s="1578" t="s">
        <v>8</v>
      </c>
      <c r="S35" s="1579">
        <f t="shared" si="10"/>
        <v>100</v>
      </c>
      <c r="T35" s="1578" t="s">
        <v>8</v>
      </c>
      <c r="U35" s="1579">
        <f t="shared" si="11"/>
        <v>100</v>
      </c>
      <c r="V35" s="1578" t="s">
        <v>8</v>
      </c>
      <c r="W35" s="1579">
        <f t="shared" si="12"/>
        <v>100</v>
      </c>
      <c r="X35" s="1580"/>
      <c r="Y35" s="3398"/>
      <c r="Z35" s="1581">
        <f t="shared" si="13"/>
        <v>111</v>
      </c>
      <c r="AA35" s="1577">
        <f t="shared" si="3"/>
        <v>1</v>
      </c>
      <c r="AB35" s="1577">
        <f t="shared" si="4"/>
        <v>1</v>
      </c>
      <c r="AC35" s="1577">
        <f t="shared" si="5"/>
        <v>1</v>
      </c>
    </row>
    <row r="36" spans="1:29" ht="15">
      <c r="A36" s="2909" t="s">
        <v>2753</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398"/>
      <c r="Q36" s="1573" t="str">
        <f>B36</f>
        <v>宗地面积</v>
      </c>
      <c r="R36" s="1574" t="s">
        <v>8</v>
      </c>
      <c r="S36" s="1575" t="e">
        <f t="shared" si="10"/>
        <v>#N/A</v>
      </c>
      <c r="T36" s="1574" t="s">
        <v>8</v>
      </c>
      <c r="U36" s="1575" t="e">
        <f t="shared" si="11"/>
        <v>#N/A</v>
      </c>
      <c r="V36" s="1574" t="s">
        <v>8</v>
      </c>
      <c r="W36" s="1575" t="e">
        <f t="shared" si="12"/>
        <v>#N/A</v>
      </c>
      <c r="X36" s="1568"/>
      <c r="Y36" s="3398"/>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398"/>
      <c r="Q37" s="1573" t="str">
        <f t="shared" ref="Q37:Q42" si="14">B37</f>
        <v>宗地形状</v>
      </c>
      <c r="R37" s="1574" t="s">
        <v>8</v>
      </c>
      <c r="S37" s="1575">
        <f t="shared" si="10"/>
        <v>100</v>
      </c>
      <c r="T37" s="1574" t="s">
        <v>8</v>
      </c>
      <c r="U37" s="1575">
        <f t="shared" si="11"/>
        <v>100</v>
      </c>
      <c r="V37" s="1574" t="s">
        <v>8</v>
      </c>
      <c r="W37" s="1575">
        <f t="shared" si="12"/>
        <v>100</v>
      </c>
      <c r="X37" s="1568"/>
      <c r="Y37" s="3398"/>
      <c r="Z37" s="1576" t="str">
        <f t="shared" si="13"/>
        <v>宗地形状</v>
      </c>
      <c r="AA37" s="1577">
        <f t="shared" si="3"/>
        <v>1</v>
      </c>
      <c r="AB37" s="1577">
        <f t="shared" si="4"/>
        <v>1</v>
      </c>
      <c r="AC37" s="1577">
        <f t="shared" si="5"/>
        <v>1</v>
      </c>
    </row>
    <row r="38" spans="1:29" s="1220" customFormat="1" ht="15">
      <c r="A38" s="600"/>
      <c r="B38" s="1897"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398"/>
      <c r="Q38" s="1573" t="str">
        <f t="shared" si="14"/>
        <v>宗地开发程度</v>
      </c>
      <c r="R38" s="1569" t="s">
        <v>8</v>
      </c>
      <c r="S38" s="1570">
        <f t="shared" si="10"/>
        <v>100</v>
      </c>
      <c r="T38" s="1569" t="s">
        <v>8</v>
      </c>
      <c r="U38" s="1570">
        <f t="shared" si="11"/>
        <v>100</v>
      </c>
      <c r="V38" s="1569" t="s">
        <v>8</v>
      </c>
      <c r="W38" s="1570">
        <f t="shared" si="12"/>
        <v>100</v>
      </c>
      <c r="X38" s="1571"/>
      <c r="Y38" s="3398"/>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8" t="s">
        <v>600</v>
      </c>
      <c r="Q39" s="1573" t="str">
        <f t="shared" si="14"/>
        <v>工程地质条件</v>
      </c>
      <c r="R39" s="1574" t="s">
        <v>8</v>
      </c>
      <c r="S39" s="1575">
        <f t="shared" si="10"/>
        <v>100</v>
      </c>
      <c r="T39" s="1574" t="s">
        <v>8</v>
      </c>
      <c r="U39" s="1575">
        <f t="shared" si="11"/>
        <v>100</v>
      </c>
      <c r="V39" s="1574" t="s">
        <v>8</v>
      </c>
      <c r="W39" s="1575">
        <f t="shared" si="12"/>
        <v>100</v>
      </c>
      <c r="X39" s="1568"/>
      <c r="Y39" s="3398"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398"/>
      <c r="Q40" s="1573">
        <f t="shared" si="14"/>
        <v>111</v>
      </c>
      <c r="R40" s="1574" t="s">
        <v>8</v>
      </c>
      <c r="S40" s="1575">
        <f t="shared" si="10"/>
        <v>100</v>
      </c>
      <c r="T40" s="1574" t="s">
        <v>8</v>
      </c>
      <c r="U40" s="1575">
        <f t="shared" si="11"/>
        <v>100</v>
      </c>
      <c r="V40" s="1574" t="s">
        <v>8</v>
      </c>
      <c r="W40" s="1575">
        <f t="shared" si="12"/>
        <v>100</v>
      </c>
      <c r="X40" s="1568"/>
      <c r="Y40" s="3398"/>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398"/>
      <c r="Q41" s="1573">
        <f t="shared" si="14"/>
        <v>111</v>
      </c>
      <c r="R41" s="1574" t="s">
        <v>8</v>
      </c>
      <c r="S41" s="1575">
        <f t="shared" si="10"/>
        <v>100</v>
      </c>
      <c r="T41" s="1574" t="s">
        <v>8</v>
      </c>
      <c r="U41" s="1575">
        <f t="shared" si="11"/>
        <v>100</v>
      </c>
      <c r="V41" s="1574" t="s">
        <v>8</v>
      </c>
      <c r="W41" s="1575">
        <f t="shared" si="12"/>
        <v>100</v>
      </c>
      <c r="X41" s="1568"/>
      <c r="Y41" s="3398"/>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398"/>
      <c r="Q42" s="1573">
        <f t="shared" si="14"/>
        <v>111</v>
      </c>
      <c r="R42" s="1578" t="s">
        <v>8</v>
      </c>
      <c r="S42" s="1579">
        <f t="shared" si="10"/>
        <v>100</v>
      </c>
      <c r="T42" s="1578" t="s">
        <v>8</v>
      </c>
      <c r="U42" s="1579">
        <f t="shared" si="11"/>
        <v>100</v>
      </c>
      <c r="V42" s="1578" t="s">
        <v>8</v>
      </c>
      <c r="W42" s="1579">
        <f t="shared" si="12"/>
        <v>100</v>
      </c>
      <c r="X42" s="1580"/>
      <c r="Y42" s="3398"/>
      <c r="Z42" s="1581">
        <f t="shared" si="13"/>
        <v>111</v>
      </c>
      <c r="AA42" s="1577">
        <f t="shared" si="3"/>
        <v>1</v>
      </c>
      <c r="AB42" s="1577">
        <f t="shared" si="4"/>
        <v>1</v>
      </c>
      <c r="AC42" s="1577">
        <f t="shared" si="5"/>
        <v>1</v>
      </c>
    </row>
    <row r="43" spans="1:29" ht="15">
      <c r="A43" s="607" t="s">
        <v>555</v>
      </c>
      <c r="B43" s="608" t="s">
        <v>2930</v>
      </c>
      <c r="C43" s="609" t="s">
        <v>1</v>
      </c>
      <c r="D43" s="610"/>
      <c r="E43" s="611"/>
      <c r="F43" s="612"/>
      <c r="G43" s="613"/>
      <c r="H43" s="614"/>
      <c r="I43" s="611"/>
      <c r="J43" s="614"/>
      <c r="K43" s="1340"/>
      <c r="L43" s="2146"/>
      <c r="M43" s="2136"/>
      <c r="N43" s="2136"/>
      <c r="O43" s="2147"/>
      <c r="P43" s="3393" t="str">
        <f>A43</f>
        <v>成交单价</v>
      </c>
      <c r="Q43" s="3393"/>
      <c r="R43" s="3407">
        <f>E43</f>
        <v>0</v>
      </c>
      <c r="S43" s="3407"/>
      <c r="T43" s="3407">
        <f>G43</f>
        <v>0</v>
      </c>
      <c r="U43" s="3407"/>
      <c r="V43" s="3407">
        <f>I43</f>
        <v>0</v>
      </c>
      <c r="W43" s="3407"/>
      <c r="X43" s="1560"/>
      <c r="Y43" s="1582"/>
      <c r="Z43" s="1560"/>
      <c r="AA43" s="1560"/>
      <c r="AB43" s="1560"/>
      <c r="AC43" s="1560"/>
    </row>
    <row r="44" spans="1:29" ht="15.75" thickBot="1">
      <c r="A44" s="615" t="s">
        <v>2691</v>
      </c>
      <c r="B44" s="616"/>
      <c r="C44" s="617" t="e">
        <f>R45</f>
        <v>#DIV/0!</v>
      </c>
      <c r="D44" s="618"/>
      <c r="E44" s="617" t="e">
        <f>R44</f>
        <v>#DIV/0!</v>
      </c>
      <c r="F44" s="619"/>
      <c r="G44" s="620" t="e">
        <f>T44</f>
        <v>#DIV/0!</v>
      </c>
      <c r="H44" s="618"/>
      <c r="I44" s="617" t="e">
        <f>V44</f>
        <v>#DIV/0!</v>
      </c>
      <c r="J44" s="618"/>
      <c r="K44" s="1341"/>
      <c r="L44" s="2146"/>
      <c r="M44" s="2136"/>
      <c r="N44" s="2136"/>
      <c r="O44" s="2147"/>
      <c r="P44" s="3393" t="str">
        <f>A44</f>
        <v>比较价格（元/平方米）</v>
      </c>
      <c r="Q44" s="3393"/>
      <c r="R44" s="3417" t="e">
        <f>ROUND(PRODUCT(R43,AA9:AA42),0)</f>
        <v>#DIV/0!</v>
      </c>
      <c r="S44" s="3417"/>
      <c r="T44" s="3417" t="e">
        <f>ROUND(PRODUCT(T43,AB9:AB42),0)</f>
        <v>#DIV/0!</v>
      </c>
      <c r="U44" s="3417"/>
      <c r="V44" s="3417" t="e">
        <f>ROUND(PRODUCT(V43,AC9:AC42),0)</f>
        <v>#DIV/0!</v>
      </c>
      <c r="W44" s="3417"/>
      <c r="X44" s="1560"/>
      <c r="Y44" s="1560"/>
      <c r="Z44" s="1560"/>
      <c r="AA44" s="1560"/>
      <c r="AB44" s="1560"/>
      <c r="AC44" s="1560"/>
    </row>
    <row r="45" spans="1:29" ht="15.75" thickBot="1">
      <c r="A45" s="621" t="s">
        <v>2931</v>
      </c>
      <c r="B45" s="622"/>
      <c r="C45" s="623" t="e">
        <f>R45</f>
        <v>#DIV/0!</v>
      </c>
      <c r="D45" s="623"/>
      <c r="E45" s="623"/>
      <c r="F45" s="623"/>
      <c r="G45" s="623"/>
      <c r="H45" s="623"/>
      <c r="I45" s="623"/>
      <c r="J45" s="623"/>
      <c r="K45" s="1342"/>
      <c r="L45" s="2146"/>
      <c r="M45" s="2136"/>
      <c r="N45" s="2136"/>
      <c r="O45" s="2147"/>
      <c r="P45" s="3414" t="str">
        <f>A45</f>
        <v>估价对象XX用房的比较价格（楼面单价，元/平方米）</v>
      </c>
      <c r="Q45" s="3415"/>
      <c r="R45" s="3416" t="e">
        <f>ROUND(AVERAGE(R44:V44),0)</f>
        <v>#DIV/0!</v>
      </c>
      <c r="S45" s="3416"/>
      <c r="T45" s="3416"/>
      <c r="U45" s="3416"/>
      <c r="V45" s="3416"/>
      <c r="W45" s="341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1723</v>
      </c>
      <c r="D52" s="2229" t="s">
        <v>2293</v>
      </c>
      <c r="E52" s="631" t="s">
        <v>561</v>
      </c>
      <c r="F52" s="1953" t="s">
        <v>562</v>
      </c>
      <c r="G52" s="3418" t="s">
        <v>2284</v>
      </c>
      <c r="H52" s="3419"/>
      <c r="I52" s="1954" t="s">
        <v>1946</v>
      </c>
      <c r="J52" s="1556">
        <f>项目基本情况!F41</f>
        <v>0</v>
      </c>
      <c r="K52" s="2156" t="s">
        <v>1722</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100725</v>
      </c>
      <c r="F53" s="1952" t="e">
        <f t="shared" ref="F53:F62" si="15">ROUND(B53*E53/10000,0)</f>
        <v>#DIV/0!</v>
      </c>
      <c r="G53" s="3420"/>
      <c r="H53" s="3421"/>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22"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22"/>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22"/>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22"/>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2328</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2294</v>
      </c>
      <c r="E63" s="643">
        <f>IF(B43="楼面地价",SUM(E53:E62),'数据-汇总表'!D3)</f>
        <v>40290</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2018-12-1</v>
      </c>
      <c r="D65" s="2801">
        <f>EDATE(C65,-3)</f>
        <v>43344</v>
      </c>
      <c r="E65" s="2801">
        <f t="shared" ref="E65:N65" si="18">EDATE(D65,-3)</f>
        <v>43252</v>
      </c>
      <c r="F65" s="2801">
        <f t="shared" si="18"/>
        <v>43160</v>
      </c>
      <c r="G65" s="2801">
        <f t="shared" si="18"/>
        <v>43070</v>
      </c>
      <c r="H65" s="2801">
        <f t="shared" si="18"/>
        <v>42979</v>
      </c>
      <c r="I65" s="2801">
        <f t="shared" si="18"/>
        <v>42887</v>
      </c>
      <c r="J65" s="2801">
        <f t="shared" si="18"/>
        <v>42795</v>
      </c>
      <c r="K65" s="2801">
        <f t="shared" si="18"/>
        <v>42705</v>
      </c>
      <c r="L65" s="2801">
        <f t="shared" si="18"/>
        <v>42614</v>
      </c>
      <c r="M65" s="2801">
        <f t="shared" si="18"/>
        <v>42522</v>
      </c>
      <c r="N65" s="2801">
        <f t="shared" si="18"/>
        <v>42430</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2531</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2647</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2546</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2548</v>
      </c>
      <c r="C95" s="2600" t="s">
        <v>2549</v>
      </c>
      <c r="D95" s="2600" t="s">
        <v>2550</v>
      </c>
      <c r="E95" s="2600" t="s">
        <v>2551</v>
      </c>
      <c r="F95" s="2600" t="s">
        <v>2552</v>
      </c>
      <c r="G95" s="2600" t="s">
        <v>2553</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2425</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F33" sqref="F33"/>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1693</v>
      </c>
      <c r="B1" s="1401"/>
      <c r="C1" s="1407" t="s">
        <v>2426</v>
      </c>
      <c r="D1" s="1522">
        <f>SUM(D29:D30,D33:D39)</f>
        <v>0</v>
      </c>
      <c r="E1" s="1407" t="s">
        <v>2427</v>
      </c>
      <c r="F1" s="2454"/>
      <c r="G1" s="1402"/>
      <c r="H1" s="1402"/>
      <c r="I1" s="1402"/>
      <c r="J1" s="1402"/>
      <c r="K1" s="1402"/>
      <c r="L1" s="1884" t="s">
        <v>2239</v>
      </c>
      <c r="M1" s="1885">
        <f>SUMPRODUCT((区片价!B5:B9=I2)*(区片价!C3:F3=E2)*(区片价!C5:F9))</f>
        <v>0</v>
      </c>
      <c r="N1" s="1886">
        <f>SUMPRODUCT((因素修正幅度!B5:B9=I2)*(因素修正幅度!C3:F3=E2)*(因素修正幅度!C5:F9))</f>
        <v>0</v>
      </c>
      <c r="O1" s="2191"/>
      <c r="P1" s="2191"/>
      <c r="Q1" s="2191"/>
      <c r="R1" s="2938" t="s">
        <v>2760</v>
      </c>
      <c r="S1" s="2938" t="s">
        <v>2761</v>
      </c>
      <c r="T1" s="2938" t="s">
        <v>2782</v>
      </c>
      <c r="U1" s="2938" t="s">
        <v>2783</v>
      </c>
      <c r="V1" s="2938" t="s">
        <v>2784</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2240</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1686</v>
      </c>
      <c r="B3" s="1038" t="e">
        <f>ROUND(B2*10000/D1,0)</f>
        <v>#DIV/0!</v>
      </c>
      <c r="C3" s="1408" t="s">
        <v>926</v>
      </c>
      <c r="D3" s="1409" t="s">
        <v>927</v>
      </c>
      <c r="E3" s="1413"/>
      <c r="F3" s="1414" t="s">
        <v>2932</v>
      </c>
      <c r="G3" s="1039">
        <f>IF(F3="宗地容积率",'数据-汇总表'!I4,IF(F3="估价对象容积率",'数据-汇总表'!I6,'数据-汇总表'!I7))</f>
        <v>2.5</v>
      </c>
      <c r="H3" s="1415" t="s">
        <v>928</v>
      </c>
      <c r="I3" s="1040">
        <v>8</v>
      </c>
      <c r="J3" s="1411" t="s">
        <v>929</v>
      </c>
      <c r="K3" s="1402"/>
      <c r="L3" s="1887" t="s">
        <v>2241</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2280</v>
      </c>
      <c r="B4" s="2455" t="e">
        <f>ROUND(B2*10000/F1,0)</f>
        <v>#DIV/0!</v>
      </c>
      <c r="C4" s="1896" t="s">
        <v>2255</v>
      </c>
      <c r="D4" s="1896" t="e">
        <f>ROUND(B2/(F1/666.67),0)</f>
        <v>#DIV/0!</v>
      </c>
      <c r="E4" s="1896" t="s">
        <v>2256</v>
      </c>
      <c r="F4" s="1894"/>
      <c r="G4" s="1894"/>
      <c r="H4" s="1894"/>
      <c r="I4" s="1894"/>
      <c r="J4" s="1895"/>
      <c r="K4" s="1402"/>
      <c r="L4" s="1887" t="s">
        <v>2242</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1822</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2243</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1869</v>
      </c>
      <c r="B6" s="1423" t="s">
        <v>930</v>
      </c>
      <c r="C6" s="1042">
        <f>SUMIF(L1:L12,基准地价!G2,M1:M12)</f>
        <v>0</v>
      </c>
      <c r="D6" s="1424" t="s">
        <v>1694</v>
      </c>
      <c r="E6" s="1425"/>
      <c r="F6" s="1425"/>
      <c r="G6" s="1426"/>
      <c r="H6" s="1426"/>
      <c r="I6" s="1426"/>
      <c r="J6" s="1427"/>
      <c r="K6" s="1596"/>
      <c r="L6" s="1887" t="s">
        <v>2244</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30" t="str">
        <f>IF(E2="商业",IF(C8="不临58条商业街","",2),"")</f>
        <v/>
      </c>
      <c r="B7" s="1428" t="s">
        <v>931</v>
      </c>
      <c r="C7" s="1043" t="e">
        <f>IF(C8="不临58条商业街",1,ROUND(1+(1.6*E8+1.2*E9+0.8*E10+0.4*E11)*C9,4))</f>
        <v>#DIV/0!</v>
      </c>
      <c r="D7" s="1429" t="s">
        <v>932</v>
      </c>
      <c r="E7" s="1044"/>
      <c r="F7" s="1430"/>
      <c r="G7" s="1431"/>
      <c r="H7" s="1431"/>
      <c r="I7" s="1431"/>
      <c r="J7" s="1432"/>
      <c r="K7" s="1596"/>
      <c r="L7" s="1887" t="s">
        <v>2245</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2763</v>
      </c>
      <c r="X7" s="2929">
        <f>G2</f>
        <v>0</v>
      </c>
      <c r="Y7" s="2929" t="s">
        <v>2764</v>
      </c>
      <c r="Z7" s="2930">
        <f>G3</f>
        <v>2.5</v>
      </c>
      <c r="AA7" s="2194"/>
      <c r="AB7" s="2194"/>
      <c r="AC7" s="2195"/>
      <c r="AD7" s="2931"/>
      <c r="AE7" s="2931"/>
      <c r="AF7" s="2931"/>
      <c r="AG7" s="2931"/>
      <c r="AH7" s="2931"/>
      <c r="AI7" s="2931"/>
      <c r="AJ7" s="2932"/>
    </row>
    <row r="8" spans="1:39" ht="15">
      <c r="A8" s="3431"/>
      <c r="B8" s="1415" t="s">
        <v>933</v>
      </c>
      <c r="C8" s="1530"/>
      <c r="D8" s="1045" t="s">
        <v>934</v>
      </c>
      <c r="E8" s="1046" t="e">
        <f>ROUND(C11/E7,4)</f>
        <v>#DIV/0!</v>
      </c>
      <c r="F8" s="1433" t="s">
        <v>935</v>
      </c>
      <c r="G8" s="1434"/>
      <c r="H8" s="1434"/>
      <c r="I8" s="1434"/>
      <c r="J8" s="1435"/>
      <c r="K8" s="1402"/>
      <c r="L8" s="1887" t="s">
        <v>2246</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40" t="s">
        <v>2781</v>
      </c>
      <c r="X8" s="3441"/>
      <c r="Y8" s="1851" t="s">
        <v>2765</v>
      </c>
      <c r="Z8" s="1851" t="s">
        <v>2766</v>
      </c>
      <c r="AA8" s="1851" t="s">
        <v>2767</v>
      </c>
      <c r="AB8" s="1851" t="s">
        <v>2768</v>
      </c>
      <c r="AC8" s="1851" t="s">
        <v>2769</v>
      </c>
      <c r="AD8" s="1851" t="s">
        <v>2770</v>
      </c>
      <c r="AE8" s="1851" t="s">
        <v>2771</v>
      </c>
      <c r="AF8" s="1851" t="s">
        <v>2772</v>
      </c>
      <c r="AG8" s="1851" t="s">
        <v>2773</v>
      </c>
      <c r="AH8" s="1851" t="s">
        <v>2774</v>
      </c>
      <c r="AI8" s="1851" t="s">
        <v>2775</v>
      </c>
      <c r="AJ8" s="1851" t="s">
        <v>2776</v>
      </c>
    </row>
    <row r="9" spans="1:39" ht="15">
      <c r="A9" s="3431"/>
      <c r="B9" s="1415" t="s">
        <v>936</v>
      </c>
      <c r="C9" s="1047">
        <f>SUMIF(修正!C59:C119,C8,修正!E59:E119)</f>
        <v>0</v>
      </c>
      <c r="D9" s="1048" t="s">
        <v>937</v>
      </c>
      <c r="E9" s="1048" t="e">
        <f>ROUND(C11/E7,4)</f>
        <v>#DIV/0!</v>
      </c>
      <c r="F9" s="1433" t="s">
        <v>938</v>
      </c>
      <c r="G9" s="1434"/>
      <c r="H9" s="1434"/>
      <c r="I9" s="1434"/>
      <c r="J9" s="1435"/>
      <c r="K9" s="1402"/>
      <c r="L9" s="1887" t="s">
        <v>2247</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39" t="s">
        <v>2777</v>
      </c>
      <c r="X9" s="2933" t="s">
        <v>2778</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31"/>
      <c r="B10" s="1415" t="s">
        <v>939</v>
      </c>
      <c r="C10" s="1048">
        <f>SUMIF(修正!C59:C119,C8,修正!F59:F119)</f>
        <v>0</v>
      </c>
      <c r="D10" s="1048" t="s">
        <v>940</v>
      </c>
      <c r="E10" s="1048" t="e">
        <f>ROUND(C11/E7,4)</f>
        <v>#DIV/0!</v>
      </c>
      <c r="F10" s="1433" t="s">
        <v>941</v>
      </c>
      <c r="G10" s="1434"/>
      <c r="H10" s="1434"/>
      <c r="I10" s="1434"/>
      <c r="J10" s="1435"/>
      <c r="K10" s="1402"/>
      <c r="L10" s="1887" t="s">
        <v>2248</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39"/>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31"/>
      <c r="B11" s="1436" t="s">
        <v>942</v>
      </c>
      <c r="C11" s="1049">
        <f>C10/4</f>
        <v>0</v>
      </c>
      <c r="D11" s="1049" t="s">
        <v>943</v>
      </c>
      <c r="E11" s="1049" t="e">
        <f>ROUND(C11/E7,4)</f>
        <v>#DIV/0!</v>
      </c>
      <c r="F11" s="1437" t="s">
        <v>944</v>
      </c>
      <c r="G11" s="1438"/>
      <c r="H11" s="1438"/>
      <c r="I11" s="1438"/>
      <c r="J11" s="1439"/>
      <c r="K11" s="1402"/>
      <c r="L11" s="1887" t="s">
        <v>2249</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39" t="s">
        <v>2779</v>
      </c>
      <c r="X11" s="1048" t="s">
        <v>2764</v>
      </c>
      <c r="Y11" s="1654">
        <f>$G$3</f>
        <v>2.5</v>
      </c>
      <c r="Z11" s="1654">
        <f t="shared" ref="Z11:AJ11" si="3">$G$3</f>
        <v>2.5</v>
      </c>
      <c r="AA11" s="1654">
        <f t="shared" si="3"/>
        <v>2.5</v>
      </c>
      <c r="AB11" s="1654">
        <f t="shared" si="3"/>
        <v>2.5</v>
      </c>
      <c r="AC11" s="1654">
        <f t="shared" si="3"/>
        <v>2.5</v>
      </c>
      <c r="AD11" s="1654">
        <f t="shared" si="3"/>
        <v>2.5</v>
      </c>
      <c r="AE11" s="1654">
        <f t="shared" si="3"/>
        <v>2.5</v>
      </c>
      <c r="AF11" s="1654">
        <f t="shared" si="3"/>
        <v>2.5</v>
      </c>
      <c r="AG11" s="1654">
        <f t="shared" si="3"/>
        <v>2.5</v>
      </c>
      <c r="AH11" s="1654">
        <f t="shared" si="3"/>
        <v>2.5</v>
      </c>
      <c r="AI11" s="1654">
        <f t="shared" si="3"/>
        <v>2.5</v>
      </c>
      <c r="AJ11" s="1654">
        <f t="shared" si="3"/>
        <v>2.5</v>
      </c>
    </row>
    <row r="12" spans="1:39" ht="25.5" thickBot="1">
      <c r="A12" s="3430" t="s">
        <v>1870</v>
      </c>
      <c r="B12" s="1440" t="s">
        <v>945</v>
      </c>
      <c r="C12" s="1043">
        <f>ROUND(C15*D15*E15*F15*G15*H15*I15*J15,4)</f>
        <v>1</v>
      </c>
      <c r="D12" s="1441" t="s">
        <v>946</v>
      </c>
      <c r="E12" s="1442"/>
      <c r="F12" s="1442"/>
      <c r="G12" s="1443"/>
      <c r="H12" s="1443"/>
      <c r="I12" s="1443"/>
      <c r="J12" s="1444"/>
      <c r="K12" s="1402"/>
      <c r="L12" s="1890" t="s">
        <v>2250</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39"/>
      <c r="X12" s="2936" t="s">
        <v>2780</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32"/>
      <c r="B13" s="1445" t="s">
        <v>1695</v>
      </c>
      <c r="C13" s="1446" t="s">
        <v>1696</v>
      </c>
      <c r="D13" s="1089" t="s">
        <v>1697</v>
      </c>
      <c r="E13" s="1089" t="s">
        <v>1698</v>
      </c>
      <c r="F13" s="1447" t="s">
        <v>947</v>
      </c>
      <c r="G13" s="1448" t="s">
        <v>1642</v>
      </c>
      <c r="H13" s="1449" t="s">
        <v>1642</v>
      </c>
      <c r="I13" s="1450" t="s">
        <v>1642</v>
      </c>
      <c r="J13" s="1451" t="s">
        <v>1642</v>
      </c>
      <c r="K13" s="1402"/>
      <c r="L13" s="2191"/>
      <c r="M13" s="2191"/>
      <c r="N13" s="2191"/>
      <c r="O13" s="2191"/>
      <c r="P13" s="2191"/>
      <c r="Q13" s="2191"/>
      <c r="R13" s="2939">
        <v>12</v>
      </c>
      <c r="S13" s="2928"/>
      <c r="T13" s="2939" t="e">
        <f t="shared" si="0"/>
        <v>#DIV/0!</v>
      </c>
      <c r="U13" s="2928"/>
      <c r="V13" s="2939" t="e">
        <f t="shared" si="1"/>
        <v>#DIV/0!</v>
      </c>
      <c r="W13" s="3439"/>
      <c r="X13" s="2936"/>
      <c r="Y13" s="2935">
        <f>(-0.163*(Y12^2)-0.59*Y12+7617)*(10^(-4))/Y11</f>
        <v>0.30468000000000001</v>
      </c>
      <c r="Z13" s="2935">
        <f t="shared" ref="Z13:AJ13" si="5">(-0.163*(Z12^2)-0.59*Z12+7617)*(10^(-4))/Z11</f>
        <v>0.30468000000000001</v>
      </c>
      <c r="AA13" s="2935">
        <f t="shared" si="5"/>
        <v>0.30468000000000001</v>
      </c>
      <c r="AB13" s="2935">
        <f t="shared" si="5"/>
        <v>0.30468000000000001</v>
      </c>
      <c r="AC13" s="2935">
        <f t="shared" si="5"/>
        <v>0.30468000000000001</v>
      </c>
      <c r="AD13" s="2935">
        <f t="shared" si="5"/>
        <v>0.30468000000000001</v>
      </c>
      <c r="AE13" s="2935">
        <f t="shared" si="5"/>
        <v>0.30468000000000001</v>
      </c>
      <c r="AF13" s="2935">
        <f t="shared" si="5"/>
        <v>0.30468000000000001</v>
      </c>
      <c r="AG13" s="2935">
        <f t="shared" si="5"/>
        <v>0.30468000000000001</v>
      </c>
      <c r="AH13" s="2935">
        <f t="shared" si="5"/>
        <v>0.30468000000000001</v>
      </c>
      <c r="AI13" s="2935">
        <f t="shared" si="5"/>
        <v>0.30468000000000001</v>
      </c>
      <c r="AJ13" s="2935">
        <f t="shared" si="5"/>
        <v>0.30468000000000001</v>
      </c>
    </row>
    <row r="14" spans="1:39" ht="12.75" customHeight="1" thickBot="1">
      <c r="A14" s="3432"/>
      <c r="B14" s="1452"/>
      <c r="C14" s="1453"/>
      <c r="D14" s="1454"/>
      <c r="E14" s="1454"/>
      <c r="F14" s="1455"/>
      <c r="G14" s="1456" t="s">
        <v>948</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33"/>
      <c r="B15" s="1460" t="s">
        <v>1699</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9">
        <v>14</v>
      </c>
      <c r="S15" s="2928"/>
      <c r="T15" s="2939" t="e">
        <f t="shared" si="0"/>
        <v>#DIV/0!</v>
      </c>
      <c r="U15" s="2928"/>
      <c r="V15" s="2939" t="e">
        <f t="shared" si="1"/>
        <v>#DIV/0!</v>
      </c>
      <c r="W15" s="2191"/>
      <c r="X15" s="2191"/>
      <c r="Y15" s="2191"/>
      <c r="Z15" s="2191"/>
      <c r="AA15" s="2191"/>
      <c r="AB15" s="2191"/>
      <c r="AC15" s="2192"/>
    </row>
    <row r="16" spans="1:39" ht="24">
      <c r="A16" s="3430" t="s">
        <v>1837</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31"/>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1828</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1834</v>
      </c>
      <c r="B19" s="1471" t="s">
        <v>956</v>
      </c>
      <c r="C19" s="1057" t="e">
        <f>ROUND(IF(H19="按公示增长率计算",SUMPRODUCT((地价!A3:A24=YEAR(G19)&amp;"-"&amp;ROUNDUP(MONTH(G19)/3,0))*(地价!X2:AB2=E2)*(地价!X3:AB24)),IF(H19="地价指数",M20/M19,(1+I19)^O19)),4)</f>
        <v>#DIV/0!</v>
      </c>
      <c r="D19" s="1475" t="s">
        <v>957</v>
      </c>
      <c r="E19" s="1058">
        <v>41640</v>
      </c>
      <c r="F19" s="1475" t="s">
        <v>958</v>
      </c>
      <c r="G19" s="1059">
        <f>'数据-取费表'!B2</f>
        <v>43446</v>
      </c>
      <c r="H19" s="1476" t="s">
        <v>2933</v>
      </c>
      <c r="I19" s="2786" t="str">
        <f>IF(H19="季度增幅（自定义）",SUMIF(N21:N24,E2,O21:O24),"")</f>
        <v/>
      </c>
      <c r="J19" s="1472"/>
      <c r="K19" s="1482"/>
      <c r="L19" s="3042" t="s">
        <v>2839</v>
      </c>
      <c r="M19" s="3043">
        <f>ROUND(SUMIF(地价!B2:F2,E2,地价!B24:F24),0)</f>
        <v>0</v>
      </c>
      <c r="N19" s="2788" t="s">
        <v>1676</v>
      </c>
      <c r="O19" s="2787">
        <f>ROUNDDOWN(DATEDIF(E19,G19,"M")/3,0)</f>
        <v>19</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1835</v>
      </c>
      <c r="B20" s="2781" t="s">
        <v>971</v>
      </c>
      <c r="C20" s="2782" t="e">
        <f>ROUND(POWER(1+G20,J20-I20)*(POWER(1+G20,I20)-1)/(POWER(1+G20,J20)-1),4)</f>
        <v>#DIV/0!</v>
      </c>
      <c r="D20" s="2783" t="s">
        <v>972</v>
      </c>
      <c r="E20" s="3096">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4" t="s">
        <v>2840</v>
      </c>
      <c r="M20" s="3045">
        <f>ROUND(SUMPRODUCT((地价!A4:A24=YEAR(G19)&amp;"-"&amp;ROUNDUP(MONTH(G19)/3,0))*(地价!B2:F2=E2)*(地价!B4:F24)),0)</f>
        <v>0</v>
      </c>
      <c r="N20" s="2791" t="s">
        <v>2643</v>
      </c>
      <c r="O20" s="2789" t="s">
        <v>2642</v>
      </c>
      <c r="P20" s="2790" t="s">
        <v>2648</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1836</v>
      </c>
      <c r="B21" s="1481" t="s">
        <v>2759</v>
      </c>
      <c r="C21" s="1158">
        <f>IF(B21="容积率修正",IF(G3&lt;=10,D22,J22),C23)</f>
        <v>0</v>
      </c>
      <c r="D21" s="1482"/>
      <c r="E21" s="1482"/>
      <c r="F21" s="1482"/>
      <c r="G21" s="1482"/>
      <c r="H21" s="1482"/>
      <c r="I21" s="1482"/>
      <c r="J21" s="1483"/>
      <c r="K21" s="1482"/>
      <c r="L21" s="1482"/>
      <c r="M21" s="1482"/>
      <c r="N21" s="1479" t="s">
        <v>975</v>
      </c>
      <c r="O21" s="1543"/>
      <c r="P21" s="2771">
        <f>SUMPRODUCT((地价!A3:A24=YEAR(G19)&amp;"-"&amp;ROUNDUP(MONTH(G19)/3,0))*(地价!AD2:AH2=N21)*(地价!AD3:AH24))</f>
        <v>1.5299999999999999E-2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1869</v>
      </c>
      <c r="B22" s="1484" t="s">
        <v>976</v>
      </c>
      <c r="C22" s="1060" t="s">
        <v>1701</v>
      </c>
      <c r="D22" s="1060" t="b">
        <f>IF(E22=G22,F22,IF(G3&lt;=10,ROUND(F22+(H22-F22)*(G3-E22)/(G22-E22),4),"——"))</f>
        <v>0</v>
      </c>
      <c r="E22" s="1039">
        <f>ROUNDDOWN(G3,1)</f>
        <v>2.5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2.5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SUMPRODUCT((地价!A3:A24=YEAR(G19)&amp;"-"&amp;ROUNDUP(MONTH(G19)/3,0))*(地价!AD2:AH2=N22)*(地价!AD3:AH24))</f>
        <v>1.5299999999999999E-2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1870</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SUMPRODUCT((地价!A3:A24=YEAR(G19)&amp;"-"&amp;ROUNDUP(MONTH(G19)/3,0))*(地价!AD2:AH2=N23)*(地价!AD3:AH24))</f>
        <v>2.41E-2</v>
      </c>
      <c r="R23" s="2927"/>
      <c r="S23" s="2927"/>
      <c r="T23" s="2927"/>
      <c r="U23" s="2927"/>
      <c r="V23" s="2927"/>
      <c r="W23" s="2197"/>
      <c r="X23" s="2197"/>
      <c r="Y23" s="2197"/>
      <c r="Z23" s="2197"/>
      <c r="AA23" s="2197"/>
      <c r="AB23" s="2197"/>
      <c r="AC23" s="2197"/>
      <c r="AN23" s="1405"/>
    </row>
    <row r="24" spans="1:40" s="1422" customFormat="1" ht="15.75" thickBot="1">
      <c r="A24" s="1642" t="s">
        <v>1871</v>
      </c>
      <c r="B24" s="1416" t="s">
        <v>980</v>
      </c>
      <c r="C24" s="1062">
        <f>SUMIF(A44:A87,E2,B44:B87)</f>
        <v>0</v>
      </c>
      <c r="D24" s="1536"/>
      <c r="E24" s="1537"/>
      <c r="F24" s="1537"/>
      <c r="G24" s="1537"/>
      <c r="H24" s="1537"/>
      <c r="I24" s="1537"/>
      <c r="J24" s="1537"/>
      <c r="K24" s="1482"/>
      <c r="L24" s="1482"/>
      <c r="M24" s="1482"/>
      <c r="N24" s="1485" t="s">
        <v>981</v>
      </c>
      <c r="O24" s="1544"/>
      <c r="P24" s="1542">
        <f>SUMPRODUCT((地价!A3:A24=YEAR(G19)&amp;"-"&amp;ROUNDUP(MONTH(G19)/3,0))*(地价!AD2:AH2=N24)*(地价!AD3:AH24))</f>
        <v>1.4200000000000001E-2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1872</v>
      </c>
      <c r="B25" s="1487" t="s">
        <v>982</v>
      </c>
      <c r="C25" s="1488"/>
      <c r="D25" s="1431"/>
      <c r="E25" s="1431"/>
      <c r="F25" s="1489"/>
      <c r="G25" s="1431"/>
      <c r="H25" s="1431"/>
      <c r="I25" s="1431"/>
      <c r="J25" s="1432"/>
      <c r="K25" s="1402"/>
      <c r="L25" s="2197"/>
      <c r="M25" s="2197"/>
      <c r="N25" s="2799" t="s">
        <v>2646</v>
      </c>
      <c r="O25" s="2197"/>
      <c r="P25" s="1542">
        <f>SUMPRODUCT((地价!A3:A24=YEAR(G19)&amp;"-"&amp;ROUNDUP(MONTH(G19)/3,0))*(地价!AD2:AH2=N25)*(地价!AD3:AH24))</f>
        <v>2.1899999999999999E-2</v>
      </c>
      <c r="R25" s="2927"/>
      <c r="S25" s="2927"/>
      <c r="T25" s="2927"/>
      <c r="U25" s="2927"/>
      <c r="V25" s="2927"/>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1700</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36" t="s">
        <v>2959</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37"/>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37"/>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38"/>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1702</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1704</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1703</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2251</v>
      </c>
      <c r="G46" s="2433" t="s">
        <v>1014</v>
      </c>
      <c r="H46" s="2416" t="s">
        <v>2418</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13" t="str">
        <f>估价对象房地状况!C16</f>
        <v>估价对象周边商业氛围较差，人流量较小，商业繁华度一般</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1021</v>
      </c>
      <c r="B48" s="2410" t="str">
        <f>估价对象房地状况!C18</f>
        <v>估价对象周边道路通达状况较好、公共交通通达情况一般、停车较便捷，综合评价交通便捷度一般</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t="str">
        <f>估价对象房地状况!C19</f>
        <v>较不一致</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2935</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t="str">
        <f>估价对象房地状况!C24</f>
        <v>次干道——麻柳大道</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2934</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估价对象所在区域基础设施水平达六通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1028</v>
      </c>
      <c r="B55" s="2414" t="str">
        <f>估价对象房地状况!C20</f>
        <v>区域自然环境较好；人文环境一般；综合评价环境状况一般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2252</v>
      </c>
      <c r="G57" s="2433" t="s">
        <v>1014</v>
      </c>
      <c r="H57" s="2416" t="s">
        <v>2418</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1021</v>
      </c>
      <c r="B59" s="2410" t="str">
        <f>估价对象房地状况!C18</f>
        <v>估价对象周边道路通达状况较好、公共交通通达情况一般、停车较便捷，综合评价交通便捷度一般</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t="str">
        <f>估价对象房地状况!C19</f>
        <v>较不一致</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2936</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t="str">
        <f>估价对象房地状况!C24</f>
        <v>次干道——麻柳大道</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2934</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估价对象所在区域基础设施水平达六通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1028</v>
      </c>
      <c r="B66" s="2415" t="str">
        <f>估价对象房地状况!C20</f>
        <v>区域自然环境较好；人文环境一般；综合评价环境状况一般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2253</v>
      </c>
      <c r="G68" s="2433" t="s">
        <v>1014</v>
      </c>
      <c r="H68" s="2416" t="s">
        <v>2418</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72">
      <c r="A69" s="1067" t="s">
        <v>1032</v>
      </c>
      <c r="B69" s="2413" t="str">
        <f>估价对象房地状况!C15</f>
        <v>估价对象周边居住用地比例较小、钱佳花园海愉半岛花园、钰海帝景等居住小区，社区发展较完善，综合评价居住社区成熟度一般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1033</v>
      </c>
      <c r="B70" s="2410" t="str">
        <f>估价对象房地状况!C18</f>
        <v>估价对象周边道路通达状况较好、公共交通通达情况一般、停车较便捷，综合评价交通便捷度一般</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t="str">
        <f>估价对象房地状况!C19</f>
        <v>较不一致</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t="str">
        <f>估价对象房地状况!C24</f>
        <v>次干道——麻柳大道</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估价对象所在区域基础设施水平达六通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2934</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1028</v>
      </c>
      <c r="B76" s="2413" t="str">
        <f>估价对象房地状况!C20</f>
        <v>区域自然环境较好；人文环境一般；综合评价环境状况一般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2254</v>
      </c>
      <c r="G79" s="2433" t="s">
        <v>1014</v>
      </c>
      <c r="H79" s="2416" t="s">
        <v>2418</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7" t="s">
        <v>2934</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34" t="s">
        <v>1633</v>
      </c>
      <c r="B90" s="3434"/>
      <c r="C90" s="3434"/>
      <c r="D90" s="3434"/>
      <c r="E90" s="3434"/>
      <c r="F90" s="3434"/>
      <c r="G90" s="3434"/>
      <c r="H90" s="3434"/>
      <c r="I90" s="3434"/>
      <c r="J90" s="3434"/>
      <c r="K90" s="2452"/>
      <c r="L90" s="2452"/>
      <c r="M90" s="2452"/>
      <c r="N90" s="2452"/>
    </row>
    <row r="91" spans="1:40">
      <c r="A91" s="3435" t="s">
        <v>1443</v>
      </c>
      <c r="B91" s="3435" t="s">
        <v>1634</v>
      </c>
      <c r="C91" s="1140" t="s">
        <v>1635</v>
      </c>
      <c r="D91" s="1141"/>
      <c r="E91" s="1141"/>
      <c r="F91" s="1141"/>
      <c r="G91" s="1141"/>
      <c r="H91" s="1141"/>
      <c r="I91" s="1141"/>
      <c r="J91" s="1142"/>
      <c r="K91" s="1134"/>
      <c r="L91" s="1134"/>
      <c r="M91" s="1134"/>
      <c r="N91" s="1134"/>
    </row>
    <row r="92" spans="1:40">
      <c r="A92" s="3435"/>
      <c r="B92" s="3435"/>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42" t="s">
        <v>2762</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3"/>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2" t="s">
        <v>1637</v>
      </c>
      <c r="B101" s="1147" t="s">
        <v>905</v>
      </c>
      <c r="C101" s="1148">
        <f>$G$3</f>
        <v>2.5</v>
      </c>
      <c r="D101" s="1148">
        <f t="shared" ref="D101:N101" si="31">$G$3</f>
        <v>2.5</v>
      </c>
      <c r="E101" s="1148">
        <f t="shared" si="31"/>
        <v>2.5</v>
      </c>
      <c r="F101" s="1148">
        <f t="shared" si="31"/>
        <v>2.5</v>
      </c>
      <c r="G101" s="1148">
        <f t="shared" si="31"/>
        <v>2.5</v>
      </c>
      <c r="H101" s="1148">
        <f t="shared" si="31"/>
        <v>2.5</v>
      </c>
      <c r="I101" s="1148">
        <f t="shared" si="31"/>
        <v>2.5</v>
      </c>
      <c r="J101" s="1148">
        <f t="shared" si="31"/>
        <v>2.5</v>
      </c>
      <c r="K101" s="1148">
        <f t="shared" si="31"/>
        <v>2.5</v>
      </c>
      <c r="L101" s="1148">
        <f t="shared" si="31"/>
        <v>2.5</v>
      </c>
      <c r="M101" s="1148">
        <f t="shared" si="31"/>
        <v>2.5</v>
      </c>
      <c r="N101" s="1148">
        <f t="shared" si="31"/>
        <v>2.5</v>
      </c>
    </row>
    <row r="102" spans="1:14">
      <c r="A102" s="3443"/>
      <c r="B102" s="1143">
        <v>1</v>
      </c>
      <c r="C102" s="1144">
        <f>1.9362/C101</f>
        <v>0.77447999999999995</v>
      </c>
      <c r="D102" s="1144">
        <f>1.9362/D101</f>
        <v>0.77447999999999995</v>
      </c>
      <c r="E102" s="1144">
        <f>1.8629/E101</f>
        <v>0.74516000000000004</v>
      </c>
      <c r="F102" s="1144">
        <f>1.8629/F101</f>
        <v>0.74516000000000004</v>
      </c>
      <c r="G102" s="1144">
        <f>1.8629/G101</f>
        <v>0.74516000000000004</v>
      </c>
      <c r="H102" s="1144">
        <f>1.8629/H101</f>
        <v>0.74516000000000004</v>
      </c>
      <c r="I102" s="1144">
        <f>1.8629/I101</f>
        <v>0.74516000000000004</v>
      </c>
      <c r="J102" s="1144">
        <f>1.942/J101</f>
        <v>0.77679999999999993</v>
      </c>
      <c r="K102" s="1144">
        <f>1.942/K101</f>
        <v>0.77679999999999993</v>
      </c>
      <c r="L102" s="1144">
        <f>1.942/L101</f>
        <v>0.77679999999999993</v>
      </c>
      <c r="M102" s="1144">
        <f>1.942/M101</f>
        <v>0.77679999999999993</v>
      </c>
      <c r="N102" s="1144">
        <f>1.942/N101</f>
        <v>0.77679999999999993</v>
      </c>
    </row>
    <row r="103" spans="1:14">
      <c r="A103" s="3443"/>
      <c r="B103" s="1143">
        <v>2</v>
      </c>
      <c r="C103" s="1144">
        <f>1.4198/C101</f>
        <v>0.56791999999999998</v>
      </c>
      <c r="D103" s="1144">
        <f>1.4198/D101</f>
        <v>0.56791999999999998</v>
      </c>
      <c r="E103" s="1144">
        <f>1.3372/E101</f>
        <v>0.53488000000000002</v>
      </c>
      <c r="F103" s="1144">
        <f>1.3372/F101</f>
        <v>0.53488000000000002</v>
      </c>
      <c r="G103" s="1144">
        <f>1.3372/G101</f>
        <v>0.53488000000000002</v>
      </c>
      <c r="H103" s="1144">
        <f>1.3372/H101</f>
        <v>0.53488000000000002</v>
      </c>
      <c r="I103" s="1144">
        <f>1.3372/I101</f>
        <v>0.53488000000000002</v>
      </c>
      <c r="J103" s="1144">
        <f>1.2799/J101</f>
        <v>0.51195999999999997</v>
      </c>
      <c r="K103" s="1144">
        <f>1.2799/K101</f>
        <v>0.51195999999999997</v>
      </c>
      <c r="L103" s="1144">
        <f>1.2799/L101</f>
        <v>0.51195999999999997</v>
      </c>
      <c r="M103" s="1144">
        <f>1.2799/M101</f>
        <v>0.51195999999999997</v>
      </c>
      <c r="N103" s="1144">
        <f>1.2799/N101</f>
        <v>0.51195999999999997</v>
      </c>
    </row>
    <row r="104" spans="1:14">
      <c r="A104" s="3443"/>
      <c r="B104" s="1143">
        <v>3</v>
      </c>
      <c r="C104" s="1144">
        <f>1.1594/C101</f>
        <v>0.46376000000000001</v>
      </c>
      <c r="D104" s="1144">
        <f>1.1594/D101</f>
        <v>0.46376000000000001</v>
      </c>
      <c r="E104" s="1144">
        <f>1.0788/E101</f>
        <v>0.43152000000000001</v>
      </c>
      <c r="F104" s="1144">
        <f>1.0788/F101</f>
        <v>0.43152000000000001</v>
      </c>
      <c r="G104" s="1144">
        <f>1.0788/G101</f>
        <v>0.43152000000000001</v>
      </c>
      <c r="H104" s="1144">
        <f>1.0788/H101</f>
        <v>0.43152000000000001</v>
      </c>
      <c r="I104" s="1144">
        <f>1.0788/I101</f>
        <v>0.43152000000000001</v>
      </c>
      <c r="J104" s="1144">
        <f>1.0072/J101</f>
        <v>0.40288000000000002</v>
      </c>
      <c r="K104" s="1144">
        <f>1.0072/K101</f>
        <v>0.40288000000000002</v>
      </c>
      <c r="L104" s="1144">
        <f>1.0072/L101</f>
        <v>0.40288000000000002</v>
      </c>
      <c r="M104" s="1144">
        <f>1.0072/M101</f>
        <v>0.40288000000000002</v>
      </c>
      <c r="N104" s="1144">
        <f>1.0072/N101</f>
        <v>0.40288000000000002</v>
      </c>
    </row>
    <row r="105" spans="1:14">
      <c r="A105" s="3443"/>
      <c r="B105" s="1143">
        <v>4</v>
      </c>
      <c r="C105" s="1144">
        <f>0.9622/C101</f>
        <v>0.38488</v>
      </c>
      <c r="D105" s="1144">
        <f>0.9622/D101</f>
        <v>0.38488</v>
      </c>
      <c r="E105" s="1144">
        <f>0.8656/E101</f>
        <v>0.34623999999999999</v>
      </c>
      <c r="F105" s="1144">
        <f>0.8656/F101</f>
        <v>0.34623999999999999</v>
      </c>
      <c r="G105" s="1144">
        <f>0.8656/G101</f>
        <v>0.34623999999999999</v>
      </c>
      <c r="H105" s="1144">
        <f>0.8656/H101</f>
        <v>0.34623999999999999</v>
      </c>
      <c r="I105" s="1144">
        <f>0.8656/I101</f>
        <v>0.34623999999999999</v>
      </c>
      <c r="J105" s="1144">
        <f>0.7525/J101</f>
        <v>0.30099999999999999</v>
      </c>
      <c r="K105" s="1144">
        <f>0.7525/K101</f>
        <v>0.30099999999999999</v>
      </c>
      <c r="L105" s="1144">
        <f>0.7525/L101</f>
        <v>0.30099999999999999</v>
      </c>
      <c r="M105" s="1144">
        <f>0.7525/M101</f>
        <v>0.30099999999999999</v>
      </c>
      <c r="N105" s="1144">
        <f>0.7525/N101</f>
        <v>0.30099999999999999</v>
      </c>
    </row>
    <row r="106" spans="1:14">
      <c r="A106" s="3443"/>
      <c r="B106" s="1143">
        <v>5</v>
      </c>
      <c r="C106" s="1144">
        <f>0.8417/C101</f>
        <v>0.33667999999999998</v>
      </c>
      <c r="D106" s="1144">
        <f>0.8417/D101</f>
        <v>0.33667999999999998</v>
      </c>
      <c r="E106" s="1144">
        <f>0.7371/E101</f>
        <v>0.29483999999999999</v>
      </c>
      <c r="F106" s="1144">
        <f>0.7371/F101</f>
        <v>0.29483999999999999</v>
      </c>
      <c r="G106" s="1144">
        <f>0.7371/G101</f>
        <v>0.29483999999999999</v>
      </c>
      <c r="H106" s="1144">
        <f>0.7371/H101</f>
        <v>0.29483999999999999</v>
      </c>
      <c r="I106" s="1144">
        <f>0.7371/I101</f>
        <v>0.29483999999999999</v>
      </c>
      <c r="J106" s="1144">
        <f>0.5659/J101</f>
        <v>0.22635999999999998</v>
      </c>
      <c r="K106" s="1144">
        <f>0.5659/K101</f>
        <v>0.22635999999999998</v>
      </c>
      <c r="L106" s="1144">
        <f>0.5659/L101</f>
        <v>0.22635999999999998</v>
      </c>
      <c r="M106" s="1144">
        <f>0.5659/M101</f>
        <v>0.22635999999999998</v>
      </c>
      <c r="N106" s="1144">
        <f>0.5659/N101</f>
        <v>0.22635999999999998</v>
      </c>
    </row>
    <row r="107" spans="1:14">
      <c r="A107" s="3443"/>
      <c r="B107" s="1143">
        <v>6</v>
      </c>
      <c r="C107" s="1144">
        <f>0.7608/C101</f>
        <v>0.30432000000000003</v>
      </c>
      <c r="D107" s="1144">
        <f>0.7608/D101</f>
        <v>0.30432000000000003</v>
      </c>
      <c r="E107" s="1144">
        <f>0.6482/E101</f>
        <v>0.25928000000000001</v>
      </c>
      <c r="F107" s="1144">
        <f>0.6482/F101</f>
        <v>0.25928000000000001</v>
      </c>
      <c r="G107" s="1144">
        <f>0.6482/G101</f>
        <v>0.25928000000000001</v>
      </c>
      <c r="H107" s="1144">
        <f>0.6482/H101</f>
        <v>0.25928000000000001</v>
      </c>
      <c r="I107" s="1144">
        <f>0.6482/I101</f>
        <v>0.25928000000000001</v>
      </c>
      <c r="J107" s="1144">
        <f>0.4525/J101</f>
        <v>0.18099999999999999</v>
      </c>
      <c r="K107" s="1144">
        <f>0.4525/K101</f>
        <v>0.18099999999999999</v>
      </c>
      <c r="L107" s="1144">
        <f>0.4525/L101</f>
        <v>0.18099999999999999</v>
      </c>
      <c r="M107" s="1144">
        <f>0.4525/M101</f>
        <v>0.18099999999999999</v>
      </c>
      <c r="N107" s="1144">
        <f>0.4525/N101</f>
        <v>0.18099999999999999</v>
      </c>
    </row>
    <row r="108" spans="1:14">
      <c r="A108" s="3443"/>
      <c r="B108" s="3445"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4"/>
      <c r="B109" s="3446"/>
      <c r="C109" s="1146">
        <f>(-0.163*(C108^2)-0.59*C108+7617)*(10^(-4))/C101</f>
        <v>0.30407392</v>
      </c>
      <c r="D109" s="1146">
        <f>(-0.163*(D108^2)-0.59*D108+7617)*(10^(-4))/D101</f>
        <v>0.30407392</v>
      </c>
      <c r="E109" s="1146">
        <f>(-0.161*(E108^2)-7.509*E108+6533)*(10^(-4))/E101</f>
        <v>0.25850496000000001</v>
      </c>
      <c r="F109" s="1146">
        <f>(-0.161*(F108^2)-7.509*F108+6533)*(10^(-4))/F101</f>
        <v>0.25850496000000001</v>
      </c>
      <c r="G109" s="1146">
        <f>(-0.161*(G108^2)-7.509*G108+6533)*(10^(-4))/G101</f>
        <v>0.25850496000000001</v>
      </c>
      <c r="H109" s="1146">
        <f>(-0.161*(H108^2)-7.509*H108+6533)*(10^(-4))/H101</f>
        <v>0.25850496000000001</v>
      </c>
      <c r="I109" s="1146">
        <f>(-0.161*(I108^2)-7.509*I108+6533)*(10^(-4))/I101</f>
        <v>0.25850496000000001</v>
      </c>
      <c r="J109" s="1146">
        <f>(-0.214*(J108^2)-21.991*J108+4665)*(10^(-4))/J101</f>
        <v>0.17901504000000001</v>
      </c>
      <c r="K109" s="1146">
        <f>(-0.214*(K108^2)-21.991*K108+4665)*(10^(-4))/K101</f>
        <v>0.17901504000000001</v>
      </c>
      <c r="L109" s="1146">
        <f>(-0.214*(L108^2)-21.991*L108+4665)*(10^(-4))/L101</f>
        <v>0.17901504000000001</v>
      </c>
      <c r="M109" s="1146">
        <f>(-0.214*(M108^2)-21.991*M108+4665)*(10^(-4))/M101</f>
        <v>0.17901504000000001</v>
      </c>
      <c r="N109" s="1146">
        <f>(-0.214*(N108^2)-21.991*N108+4665)*(10^(-4))/N101</f>
        <v>0.17901504000000001</v>
      </c>
    </row>
    <row r="110" spans="1:14">
      <c r="A110" s="3429" t="s">
        <v>1639</v>
      </c>
      <c r="B110" s="3429"/>
      <c r="C110" s="3429"/>
      <c r="D110" s="3429"/>
      <c r="E110" s="3429"/>
      <c r="F110" s="3429"/>
      <c r="G110" s="3429"/>
      <c r="H110" s="3429"/>
      <c r="I110" s="3429"/>
      <c r="J110" s="3429"/>
      <c r="K110" s="2450"/>
      <c r="L110" s="2450"/>
      <c r="M110" s="2450"/>
      <c r="N110" s="2450"/>
    </row>
    <row r="112" spans="1:14" ht="12.75" thickBot="1"/>
    <row r="113" spans="1:13" ht="25.5" thickBot="1">
      <c r="A113" s="1016" t="s">
        <v>895</v>
      </c>
      <c r="B113" s="2453">
        <f>G3</f>
        <v>2.5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v>
      </c>
      <c r="C115" s="1030">
        <f>B115</f>
        <v>0.91</v>
      </c>
      <c r="D115" s="1030">
        <f>ROUND(0.8331-0.0109*B113,4)</f>
        <v>0.80589999999999995</v>
      </c>
      <c r="E115" s="1030">
        <f>D115</f>
        <v>0.80589999999999995</v>
      </c>
      <c r="F115" s="1030">
        <f>E115</f>
        <v>0.80589999999999995</v>
      </c>
      <c r="G115" s="1030">
        <f>F115</f>
        <v>0.80589999999999995</v>
      </c>
      <c r="H115" s="1030">
        <f>G115</f>
        <v>0.80589999999999995</v>
      </c>
      <c r="I115" s="1030">
        <f>ROUND(0.689-0.0155*B113,4)</f>
        <v>0.65029999999999999</v>
      </c>
      <c r="J115" s="1030">
        <f t="shared" ref="J115:M118" si="33">I115</f>
        <v>0.65029999999999999</v>
      </c>
      <c r="K115" s="1030">
        <f t="shared" si="33"/>
        <v>0.65029999999999999</v>
      </c>
      <c r="L115" s="1030">
        <f t="shared" si="33"/>
        <v>0.65029999999999999</v>
      </c>
      <c r="M115" s="1031">
        <f t="shared" si="33"/>
        <v>0.65029999999999999</v>
      </c>
    </row>
    <row r="116" spans="1:13" ht="12.75">
      <c r="A116" s="1029" t="s">
        <v>900</v>
      </c>
      <c r="B116" s="1030">
        <f>ROUND(0.949-0.012*B113,4)</f>
        <v>0.91900000000000004</v>
      </c>
      <c r="C116" s="1030">
        <f>B116</f>
        <v>0.91900000000000004</v>
      </c>
      <c r="D116" s="1030">
        <f>ROUND(0.8567-0.013*B113,4)</f>
        <v>0.82420000000000004</v>
      </c>
      <c r="E116" s="1030">
        <f t="shared" ref="E116:H117" si="34">D116</f>
        <v>0.82420000000000004</v>
      </c>
      <c r="F116" s="1030">
        <f t="shared" si="34"/>
        <v>0.82420000000000004</v>
      </c>
      <c r="G116" s="1030">
        <f t="shared" si="34"/>
        <v>0.82420000000000004</v>
      </c>
      <c r="H116" s="1030">
        <f t="shared" si="34"/>
        <v>0.82420000000000004</v>
      </c>
      <c r="I116" s="1030">
        <f>ROUND(0.7694-0.014*B113,4)</f>
        <v>0.73440000000000005</v>
      </c>
      <c r="J116" s="1030">
        <f t="shared" si="33"/>
        <v>0.73440000000000005</v>
      </c>
      <c r="K116" s="1030">
        <f t="shared" si="33"/>
        <v>0.73440000000000005</v>
      </c>
      <c r="L116" s="1030">
        <f t="shared" si="33"/>
        <v>0.73440000000000005</v>
      </c>
      <c r="M116" s="1031">
        <f t="shared" si="33"/>
        <v>0.73440000000000005</v>
      </c>
    </row>
    <row r="117" spans="1:13" ht="12.75">
      <c r="A117" s="1032" t="s">
        <v>901</v>
      </c>
      <c r="B117" s="1030">
        <f>ROUND(0.8808-0.006*B113,4)</f>
        <v>0.86580000000000001</v>
      </c>
      <c r="C117" s="1030">
        <f>B117</f>
        <v>0.86580000000000001</v>
      </c>
      <c r="D117" s="1030">
        <f>ROUND(0.8748-0.008*B113,4)</f>
        <v>0.8548</v>
      </c>
      <c r="E117" s="1030">
        <f t="shared" si="34"/>
        <v>0.8548</v>
      </c>
      <c r="F117" s="1030">
        <f t="shared" si="34"/>
        <v>0.8548</v>
      </c>
      <c r="G117" s="1030">
        <f t="shared" si="34"/>
        <v>0.8548</v>
      </c>
      <c r="H117" s="1030">
        <f t="shared" si="34"/>
        <v>0.8548</v>
      </c>
      <c r="I117" s="1030">
        <f>ROUND(0.7412-0.0095*B113,4)</f>
        <v>0.71750000000000003</v>
      </c>
      <c r="J117" s="1030">
        <f t="shared" si="33"/>
        <v>0.71750000000000003</v>
      </c>
      <c r="K117" s="1030">
        <f t="shared" si="33"/>
        <v>0.71750000000000003</v>
      </c>
      <c r="L117" s="1030">
        <f t="shared" si="33"/>
        <v>0.71750000000000003</v>
      </c>
      <c r="M117" s="1031">
        <f t="shared" si="33"/>
        <v>0.71750000000000003</v>
      </c>
    </row>
    <row r="118" spans="1:13" ht="13.5" thickBot="1">
      <c r="A118" s="1033" t="s">
        <v>902</v>
      </c>
      <c r="B118" s="1034">
        <f>ROUND(0.7275-0.01*B113,4)</f>
        <v>0.70250000000000001</v>
      </c>
      <c r="C118" s="1034">
        <f>B118</f>
        <v>0.70250000000000001</v>
      </c>
      <c r="D118" s="1034">
        <f>ROUND(0.7043-0.012*B113,4)</f>
        <v>0.67430000000000001</v>
      </c>
      <c r="E118" s="1034">
        <f>D118</f>
        <v>0.67430000000000001</v>
      </c>
      <c r="F118" s="1034">
        <f>E118</f>
        <v>0.67430000000000001</v>
      </c>
      <c r="G118" s="1034">
        <f>ROUND(0.6299-0.0122*B113,4)</f>
        <v>0.59940000000000004</v>
      </c>
      <c r="H118" s="1034">
        <f>G118</f>
        <v>0.59940000000000004</v>
      </c>
      <c r="I118" s="1034">
        <f>ROUND(0.5667-0.0136*B113,4)</f>
        <v>0.53269999999999995</v>
      </c>
      <c r="J118" s="1034">
        <f t="shared" si="33"/>
        <v>0.53269999999999995</v>
      </c>
      <c r="K118" s="1034">
        <f t="shared" si="33"/>
        <v>0.53269999999999995</v>
      </c>
      <c r="L118" s="1034">
        <f t="shared" si="33"/>
        <v>0.53269999999999995</v>
      </c>
      <c r="M118" s="1035">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35" t="s">
        <v>1007</v>
      </c>
      <c r="B18" s="1154" t="s">
        <v>1446</v>
      </c>
      <c r="C18" s="1131" t="s">
        <v>1447</v>
      </c>
      <c r="D18" s="1132"/>
      <c r="E18" s="1154">
        <v>1</v>
      </c>
      <c r="F18" s="1133" t="s">
        <v>1448</v>
      </c>
      <c r="G18" s="1134"/>
      <c r="H18" s="1105"/>
      <c r="I18" s="1105"/>
    </row>
    <row r="19" spans="1:9" s="1600" customFormat="1" ht="19.5" customHeight="1">
      <c r="A19" s="3435"/>
      <c r="B19" s="3435" t="s">
        <v>1449</v>
      </c>
      <c r="C19" s="1131" t="s">
        <v>1450</v>
      </c>
      <c r="D19" s="1132"/>
      <c r="E19" s="1154">
        <v>0.9</v>
      </c>
      <c r="F19" s="1133" t="s">
        <v>1451</v>
      </c>
      <c r="G19" s="1134"/>
      <c r="H19" s="1105"/>
      <c r="I19" s="1105"/>
    </row>
    <row r="20" spans="1:9" s="1600" customFormat="1" ht="19.5" customHeight="1">
      <c r="A20" s="3435"/>
      <c r="B20" s="3435"/>
      <c r="C20" s="1131" t="s">
        <v>1452</v>
      </c>
      <c r="D20" s="1132"/>
      <c r="E20" s="1154">
        <v>1.1000000000000001</v>
      </c>
      <c r="F20" s="1133" t="s">
        <v>1453</v>
      </c>
      <c r="G20" s="1134"/>
      <c r="H20" s="1105"/>
      <c r="I20" s="1105"/>
    </row>
    <row r="21" spans="1:9" s="1600" customFormat="1" ht="19.5" customHeight="1">
      <c r="A21" s="3435"/>
      <c r="B21" s="3435"/>
      <c r="C21" s="1131" t="s">
        <v>1454</v>
      </c>
      <c r="D21" s="1132"/>
      <c r="E21" s="1154">
        <v>0.8</v>
      </c>
      <c r="F21" s="1133" t="s">
        <v>1455</v>
      </c>
      <c r="G21" s="1134"/>
      <c r="H21" s="1105"/>
      <c r="I21" s="1105"/>
    </row>
    <row r="22" spans="1:9" s="1600" customFormat="1" ht="19.5" customHeight="1">
      <c r="A22" s="3435"/>
      <c r="B22" s="3435"/>
      <c r="C22" s="1131" t="s">
        <v>1456</v>
      </c>
      <c r="D22" s="1132"/>
      <c r="E22" s="1154">
        <v>0.5</v>
      </c>
      <c r="F22" s="1133"/>
      <c r="G22" s="1134"/>
      <c r="H22" s="1105"/>
      <c r="I22" s="1105"/>
    </row>
    <row r="23" spans="1:9" s="1600" customFormat="1" ht="19.5" customHeight="1">
      <c r="A23" s="3435" t="s">
        <v>1029</v>
      </c>
      <c r="B23" s="1154" t="s">
        <v>1446</v>
      </c>
      <c r="C23" s="1131" t="s">
        <v>1457</v>
      </c>
      <c r="D23" s="1132"/>
      <c r="E23" s="1154">
        <v>1</v>
      </c>
      <c r="F23" s="1133" t="s">
        <v>1458</v>
      </c>
      <c r="G23" s="1134"/>
      <c r="H23" s="1105"/>
      <c r="I23" s="1105"/>
    </row>
    <row r="24" spans="1:9" s="1600" customFormat="1" ht="19.5" customHeight="1">
      <c r="A24" s="3435"/>
      <c r="B24" s="3435" t="s">
        <v>1449</v>
      </c>
      <c r="C24" s="1131" t="s">
        <v>1459</v>
      </c>
      <c r="D24" s="1132"/>
      <c r="E24" s="1154">
        <v>0.5</v>
      </c>
      <c r="F24" s="1133"/>
      <c r="G24" s="1134"/>
      <c r="H24" s="1105"/>
      <c r="I24" s="1105"/>
    </row>
    <row r="25" spans="1:9" s="1600" customFormat="1" ht="19.5" customHeight="1">
      <c r="A25" s="3435"/>
      <c r="B25" s="3435"/>
      <c r="C25" s="1131" t="s">
        <v>1460</v>
      </c>
      <c r="D25" s="1132"/>
      <c r="E25" s="1154">
        <v>1.1000000000000001</v>
      </c>
      <c r="F25" s="1133"/>
      <c r="G25" s="1134"/>
      <c r="H25" s="1105"/>
      <c r="I25" s="1105"/>
    </row>
    <row r="26" spans="1:9" s="1600" customFormat="1" ht="19.5" customHeight="1">
      <c r="A26" s="3435"/>
      <c r="B26" s="3435"/>
      <c r="C26" s="1131" t="s">
        <v>1461</v>
      </c>
      <c r="D26" s="1132"/>
      <c r="E26" s="1154">
        <v>1.1000000000000001</v>
      </c>
      <c r="F26" s="1133"/>
      <c r="G26" s="1134"/>
      <c r="H26" s="1105"/>
      <c r="I26" s="1105"/>
    </row>
    <row r="27" spans="1:9" s="1600" customFormat="1" ht="19.5" customHeight="1">
      <c r="A27" s="3435"/>
      <c r="B27" s="3435"/>
      <c r="C27" s="1131" t="s">
        <v>1462</v>
      </c>
      <c r="D27" s="1132"/>
      <c r="E27" s="1154">
        <v>0.9</v>
      </c>
      <c r="F27" s="1133" t="s">
        <v>1463</v>
      </c>
      <c r="G27" s="1134"/>
      <c r="H27" s="1105"/>
      <c r="I27" s="1105"/>
    </row>
    <row r="28" spans="1:9" s="1600" customFormat="1" ht="19.5" customHeight="1">
      <c r="A28" s="3435"/>
      <c r="B28" s="3435"/>
      <c r="C28" s="1131" t="s">
        <v>1464</v>
      </c>
      <c r="D28" s="1132"/>
      <c r="E28" s="1154">
        <v>0.9</v>
      </c>
      <c r="F28" s="1133" t="s">
        <v>1465</v>
      </c>
      <c r="G28" s="1134"/>
      <c r="H28" s="1105"/>
      <c r="I28" s="1105"/>
    </row>
    <row r="29" spans="1:9" s="1600" customFormat="1" ht="19.5" customHeight="1">
      <c r="A29" s="3435"/>
      <c r="B29" s="3435"/>
      <c r="C29" s="1131" t="s">
        <v>1466</v>
      </c>
      <c r="D29" s="1132"/>
      <c r="E29" s="1154">
        <v>0.9</v>
      </c>
      <c r="F29" s="1133" t="s">
        <v>1467</v>
      </c>
      <c r="G29" s="1134"/>
      <c r="H29" s="1105"/>
      <c r="I29" s="1105"/>
    </row>
    <row r="30" spans="1:9" s="1600" customFormat="1" ht="19.5" customHeight="1">
      <c r="A30" s="3435"/>
      <c r="B30" s="3435"/>
      <c r="C30" s="1131" t="s">
        <v>1468</v>
      </c>
      <c r="D30" s="1132"/>
      <c r="E30" s="1154">
        <v>0.9</v>
      </c>
      <c r="F30" s="1133" t="s">
        <v>1469</v>
      </c>
      <c r="G30" s="1134"/>
      <c r="H30" s="1105"/>
      <c r="I30" s="1105"/>
    </row>
    <row r="31" spans="1:9" s="1600" customFormat="1" ht="19.5" customHeight="1">
      <c r="A31" s="3435"/>
      <c r="B31" s="3435"/>
      <c r="C31" s="1131" t="s">
        <v>1470</v>
      </c>
      <c r="D31" s="1132"/>
      <c r="E31" s="1154">
        <v>0.8</v>
      </c>
      <c r="F31" s="1133" t="s">
        <v>1471</v>
      </c>
      <c r="G31" s="1134"/>
      <c r="H31" s="1105"/>
      <c r="I31" s="1105"/>
    </row>
    <row r="32" spans="1:9" s="1600" customFormat="1" ht="19.5" customHeight="1">
      <c r="A32" s="3435"/>
      <c r="B32" s="3435"/>
      <c r="C32" s="1131" t="s">
        <v>1472</v>
      </c>
      <c r="D32" s="1132"/>
      <c r="E32" s="1154">
        <v>0.8</v>
      </c>
      <c r="F32" s="1133" t="s">
        <v>1473</v>
      </c>
      <c r="G32" s="1134"/>
      <c r="H32" s="1105"/>
      <c r="I32" s="1105"/>
    </row>
    <row r="33" spans="1:9" s="1600" customFormat="1" ht="19.5" customHeight="1">
      <c r="A33" s="3435" t="s">
        <v>1474</v>
      </c>
      <c r="B33" s="1154" t="s">
        <v>1446</v>
      </c>
      <c r="C33" s="1131" t="s">
        <v>1475</v>
      </c>
      <c r="D33" s="1132"/>
      <c r="E33" s="1154">
        <v>1</v>
      </c>
      <c r="F33" s="1133" t="s">
        <v>1476</v>
      </c>
      <c r="G33" s="1134"/>
      <c r="H33" s="1105"/>
      <c r="I33" s="1105"/>
    </row>
    <row r="34" spans="1:9" s="1600" customFormat="1" ht="19.5" customHeight="1">
      <c r="A34" s="3435"/>
      <c r="B34" s="1154" t="s">
        <v>1449</v>
      </c>
      <c r="C34" s="1131" t="s">
        <v>1477</v>
      </c>
      <c r="D34" s="1132"/>
      <c r="E34" s="1154">
        <v>1.5</v>
      </c>
      <c r="F34" s="1133" t="s">
        <v>1478</v>
      </c>
      <c r="G34" s="1134"/>
      <c r="H34" s="1105"/>
      <c r="I34" s="1105"/>
    </row>
    <row r="35" spans="1:9" s="1600" customFormat="1" ht="19.5" customHeight="1">
      <c r="A35" s="3435" t="s">
        <v>1432</v>
      </c>
      <c r="B35" s="1154" t="s">
        <v>1446</v>
      </c>
      <c r="C35" s="1131" t="s">
        <v>1479</v>
      </c>
      <c r="D35" s="1132"/>
      <c r="E35" s="1154">
        <v>1</v>
      </c>
      <c r="F35" s="1133" t="s">
        <v>1480</v>
      </c>
      <c r="G35" s="1134"/>
      <c r="H35" s="1105"/>
      <c r="I35" s="1105"/>
    </row>
    <row r="36" spans="1:9" s="1600" customFormat="1" ht="19.5" customHeight="1">
      <c r="A36" s="3435"/>
      <c r="B36" s="3435" t="s">
        <v>1449</v>
      </c>
      <c r="C36" s="1131" t="s">
        <v>1481</v>
      </c>
      <c r="D36" s="1132"/>
      <c r="E36" s="1154">
        <v>1</v>
      </c>
      <c r="F36" s="1133" t="s">
        <v>1482</v>
      </c>
      <c r="G36" s="1134"/>
      <c r="H36" s="1105"/>
      <c r="I36" s="1105"/>
    </row>
    <row r="37" spans="1:9" s="1600" customFormat="1" ht="19.5" customHeight="1">
      <c r="A37" s="3435"/>
      <c r="B37" s="3435"/>
      <c r="C37" s="1131" t="s">
        <v>1483</v>
      </c>
      <c r="D37" s="1132"/>
      <c r="E37" s="1154">
        <v>1.5</v>
      </c>
      <c r="F37" s="1133" t="s">
        <v>1484</v>
      </c>
      <c r="G37" s="1134"/>
      <c r="H37" s="1105"/>
      <c r="I37" s="1105"/>
    </row>
    <row r="38" spans="1:9" s="1600" customFormat="1" ht="19.5" customHeight="1">
      <c r="A38" s="3435"/>
      <c r="B38" s="3435"/>
      <c r="C38" s="1131" t="s">
        <v>1485</v>
      </c>
      <c r="D38" s="1132"/>
      <c r="E38" s="1154">
        <v>1</v>
      </c>
      <c r="F38" s="1133" t="s">
        <v>1486</v>
      </c>
      <c r="G38" s="1134"/>
      <c r="H38" s="1105"/>
      <c r="I38" s="1105"/>
    </row>
    <row r="39" spans="1:9" s="1600" customFormat="1" ht="19.5" customHeight="1">
      <c r="A39" s="3435"/>
      <c r="B39" s="3435"/>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35" t="s">
        <v>1501</v>
      </c>
      <c r="C61" s="1068" t="s">
        <v>1502</v>
      </c>
      <c r="D61" s="1068" t="s">
        <v>1503</v>
      </c>
      <c r="E61" s="1139">
        <v>0.5</v>
      </c>
      <c r="F61" s="1154">
        <v>80</v>
      </c>
      <c r="H61" s="1105">
        <f>SUMIF(C59:C119,基准地价!C8,E59:E119)</f>
        <v>0</v>
      </c>
    </row>
    <row r="62" spans="1:8" s="1105" customFormat="1" ht="24">
      <c r="A62" s="1154">
        <v>2</v>
      </c>
      <c r="B62" s="3435"/>
      <c r="C62" s="1068" t="s">
        <v>1504</v>
      </c>
      <c r="D62" s="1068" t="s">
        <v>1505</v>
      </c>
      <c r="E62" s="1139">
        <v>0.5</v>
      </c>
      <c r="F62" s="1154">
        <v>80</v>
      </c>
    </row>
    <row r="63" spans="1:8" s="1105" customFormat="1" ht="36">
      <c r="A63" s="1154">
        <v>3</v>
      </c>
      <c r="B63" s="3435"/>
      <c r="C63" s="1068" t="s">
        <v>1506</v>
      </c>
      <c r="D63" s="1068" t="s">
        <v>1507</v>
      </c>
      <c r="E63" s="1139">
        <v>0.5</v>
      </c>
      <c r="F63" s="1154">
        <v>80</v>
      </c>
    </row>
    <row r="64" spans="1:8" s="1105" customFormat="1" ht="36">
      <c r="A64" s="1154">
        <v>4</v>
      </c>
      <c r="B64" s="3435"/>
      <c r="C64" s="1068" t="s">
        <v>1508</v>
      </c>
      <c r="D64" s="1068" t="s">
        <v>1509</v>
      </c>
      <c r="E64" s="1139">
        <v>0.4</v>
      </c>
      <c r="F64" s="1154">
        <v>60</v>
      </c>
    </row>
    <row r="65" spans="1:6" s="1105" customFormat="1" ht="36">
      <c r="A65" s="1154">
        <v>5</v>
      </c>
      <c r="B65" s="3435"/>
      <c r="C65" s="1068" t="s">
        <v>1510</v>
      </c>
      <c r="D65" s="1068" t="s">
        <v>1511</v>
      </c>
      <c r="E65" s="1139">
        <v>0.2</v>
      </c>
      <c r="F65" s="1154">
        <v>30</v>
      </c>
    </row>
    <row r="66" spans="1:6" s="1105" customFormat="1" ht="36">
      <c r="A66" s="1154">
        <v>6</v>
      </c>
      <c r="B66" s="3435"/>
      <c r="C66" s="1068" t="s">
        <v>1512</v>
      </c>
      <c r="D66" s="1068" t="s">
        <v>1513</v>
      </c>
      <c r="E66" s="1139">
        <v>0.3</v>
      </c>
      <c r="F66" s="1154">
        <v>50</v>
      </c>
    </row>
    <row r="67" spans="1:6" s="1105" customFormat="1" ht="36">
      <c r="A67" s="1154">
        <v>7</v>
      </c>
      <c r="B67" s="3435"/>
      <c r="C67" s="1068" t="s">
        <v>1514</v>
      </c>
      <c r="D67" s="1068" t="s">
        <v>1515</v>
      </c>
      <c r="E67" s="1139">
        <v>0.2</v>
      </c>
      <c r="F67" s="1154">
        <v>30</v>
      </c>
    </row>
    <row r="68" spans="1:6" s="1105" customFormat="1" ht="36">
      <c r="A68" s="1154">
        <v>8</v>
      </c>
      <c r="B68" s="3435"/>
      <c r="C68" s="1068" t="s">
        <v>1516</v>
      </c>
      <c r="D68" s="1068" t="s">
        <v>1517</v>
      </c>
      <c r="E68" s="1139">
        <v>0.2</v>
      </c>
      <c r="F68" s="1154">
        <v>30</v>
      </c>
    </row>
    <row r="69" spans="1:6" s="1105" customFormat="1" ht="36">
      <c r="A69" s="1154">
        <v>9</v>
      </c>
      <c r="B69" s="3435"/>
      <c r="C69" s="1068" t="s">
        <v>1518</v>
      </c>
      <c r="D69" s="1068" t="s">
        <v>1519</v>
      </c>
      <c r="E69" s="1139">
        <v>0.2</v>
      </c>
      <c r="F69" s="1154">
        <v>30</v>
      </c>
    </row>
    <row r="70" spans="1:6" s="1105" customFormat="1" ht="48">
      <c r="A70" s="1154">
        <v>10</v>
      </c>
      <c r="B70" s="3435"/>
      <c r="C70" s="1068" t="s">
        <v>1520</v>
      </c>
      <c r="D70" s="1068" t="s">
        <v>1521</v>
      </c>
      <c r="E70" s="1139">
        <v>0.2</v>
      </c>
      <c r="F70" s="1154">
        <v>30</v>
      </c>
    </row>
    <row r="71" spans="1:6" s="1105" customFormat="1" ht="48">
      <c r="A71" s="1154">
        <v>11</v>
      </c>
      <c r="B71" s="3435"/>
      <c r="C71" s="1068" t="s">
        <v>1522</v>
      </c>
      <c r="D71" s="1068" t="s">
        <v>1523</v>
      </c>
      <c r="E71" s="1139">
        <v>0.2</v>
      </c>
      <c r="F71" s="1154">
        <v>30</v>
      </c>
    </row>
    <row r="72" spans="1:6" s="1105" customFormat="1" ht="36">
      <c r="A72" s="1154">
        <v>12</v>
      </c>
      <c r="B72" s="3435"/>
      <c r="C72" s="1068" t="s">
        <v>1524</v>
      </c>
      <c r="D72" s="1068" t="s">
        <v>1525</v>
      </c>
      <c r="E72" s="1139">
        <v>0.5</v>
      </c>
      <c r="F72" s="1154">
        <v>80</v>
      </c>
    </row>
    <row r="73" spans="1:6" s="1105" customFormat="1" ht="24">
      <c r="A73" s="1154">
        <v>13</v>
      </c>
      <c r="B73" s="3435"/>
      <c r="C73" s="1068" t="s">
        <v>1526</v>
      </c>
      <c r="D73" s="1068" t="s">
        <v>1527</v>
      </c>
      <c r="E73" s="1139">
        <v>0.4</v>
      </c>
      <c r="F73" s="1154">
        <v>60</v>
      </c>
    </row>
    <row r="74" spans="1:6" s="1105" customFormat="1" ht="24">
      <c r="A74" s="1154">
        <v>14</v>
      </c>
      <c r="B74" s="3435"/>
      <c r="C74" s="1068" t="s">
        <v>1528</v>
      </c>
      <c r="D74" s="1068" t="s">
        <v>1529</v>
      </c>
      <c r="E74" s="1139">
        <v>0.2</v>
      </c>
      <c r="F74" s="1154">
        <v>30</v>
      </c>
    </row>
    <row r="75" spans="1:6" s="1105" customFormat="1" ht="24">
      <c r="A75" s="1154">
        <v>15</v>
      </c>
      <c r="B75" s="3435"/>
      <c r="C75" s="1068" t="s">
        <v>1530</v>
      </c>
      <c r="D75" s="1068" t="s">
        <v>1531</v>
      </c>
      <c r="E75" s="1139">
        <v>0.2</v>
      </c>
      <c r="F75" s="1154">
        <v>30</v>
      </c>
    </row>
    <row r="76" spans="1:6" s="1105" customFormat="1" ht="24">
      <c r="A76" s="1154">
        <v>16</v>
      </c>
      <c r="B76" s="3435" t="s">
        <v>1532</v>
      </c>
      <c r="C76" s="1068" t="s">
        <v>1533</v>
      </c>
      <c r="D76" s="1068" t="s">
        <v>1534</v>
      </c>
      <c r="E76" s="1139">
        <v>0.5</v>
      </c>
      <c r="F76" s="1154">
        <v>80</v>
      </c>
    </row>
    <row r="77" spans="1:6" s="1105" customFormat="1" ht="24">
      <c r="A77" s="1154">
        <v>17</v>
      </c>
      <c r="B77" s="3435"/>
      <c r="C77" s="1068" t="s">
        <v>1535</v>
      </c>
      <c r="D77" s="1068" t="s">
        <v>1536</v>
      </c>
      <c r="E77" s="1139">
        <v>0.5</v>
      </c>
      <c r="F77" s="1154">
        <v>80</v>
      </c>
    </row>
    <row r="78" spans="1:6" s="1105" customFormat="1" ht="24">
      <c r="A78" s="1154">
        <v>18</v>
      </c>
      <c r="B78" s="3435"/>
      <c r="C78" s="1068" t="s">
        <v>1537</v>
      </c>
      <c r="D78" s="1068" t="s">
        <v>1538</v>
      </c>
      <c r="E78" s="1139">
        <v>0.2</v>
      </c>
      <c r="F78" s="1154">
        <v>30</v>
      </c>
    </row>
    <row r="79" spans="1:6" s="1105" customFormat="1" ht="24">
      <c r="A79" s="1154">
        <v>19</v>
      </c>
      <c r="B79" s="3435"/>
      <c r="C79" s="1068" t="s">
        <v>1539</v>
      </c>
      <c r="D79" s="1068" t="s">
        <v>1540</v>
      </c>
      <c r="E79" s="1139">
        <v>0.5</v>
      </c>
      <c r="F79" s="1154">
        <v>80</v>
      </c>
    </row>
    <row r="80" spans="1:6" s="1105" customFormat="1" ht="36">
      <c r="A80" s="1154">
        <v>20</v>
      </c>
      <c r="B80" s="3435"/>
      <c r="C80" s="1068" t="s">
        <v>1541</v>
      </c>
      <c r="D80" s="1068" t="s">
        <v>1542</v>
      </c>
      <c r="E80" s="1139">
        <v>0.2</v>
      </c>
      <c r="F80" s="1154">
        <v>30</v>
      </c>
    </row>
    <row r="81" spans="1:6" s="1105" customFormat="1" ht="36">
      <c r="A81" s="1154">
        <v>21</v>
      </c>
      <c r="B81" s="3435"/>
      <c r="C81" s="1068" t="s">
        <v>1543</v>
      </c>
      <c r="D81" s="1068" t="s">
        <v>1544</v>
      </c>
      <c r="E81" s="1139">
        <v>0.2</v>
      </c>
      <c r="F81" s="1154">
        <v>30</v>
      </c>
    </row>
    <row r="82" spans="1:6" s="1105" customFormat="1" ht="48">
      <c r="A82" s="1154">
        <v>22</v>
      </c>
      <c r="B82" s="3435"/>
      <c r="C82" s="1068" t="s">
        <v>1545</v>
      </c>
      <c r="D82" s="1068" t="s">
        <v>1546</v>
      </c>
      <c r="E82" s="1139">
        <v>0.2</v>
      </c>
      <c r="F82" s="1154">
        <v>30</v>
      </c>
    </row>
    <row r="83" spans="1:6" s="1105" customFormat="1" ht="48">
      <c r="A83" s="1154">
        <v>23</v>
      </c>
      <c r="B83" s="3435"/>
      <c r="C83" s="1068" t="s">
        <v>1547</v>
      </c>
      <c r="D83" s="1068" t="s">
        <v>1548</v>
      </c>
      <c r="E83" s="1139">
        <v>0.2</v>
      </c>
      <c r="F83" s="1154">
        <v>30</v>
      </c>
    </row>
    <row r="84" spans="1:6" s="1105" customFormat="1" ht="36">
      <c r="A84" s="1154">
        <v>24</v>
      </c>
      <c r="B84" s="3435"/>
      <c r="C84" s="1068" t="s">
        <v>1549</v>
      </c>
      <c r="D84" s="1068" t="s">
        <v>1550</v>
      </c>
      <c r="E84" s="1139">
        <v>0.2</v>
      </c>
      <c r="F84" s="1154">
        <v>30</v>
      </c>
    </row>
    <row r="85" spans="1:6" s="1105" customFormat="1" ht="36">
      <c r="A85" s="1154">
        <v>25</v>
      </c>
      <c r="B85" s="3435"/>
      <c r="C85" s="1068" t="s">
        <v>1551</v>
      </c>
      <c r="D85" s="1068" t="s">
        <v>1552</v>
      </c>
      <c r="E85" s="1139">
        <v>0.5</v>
      </c>
      <c r="F85" s="1154">
        <v>80</v>
      </c>
    </row>
    <row r="86" spans="1:6" s="1105" customFormat="1" ht="36">
      <c r="A86" s="1154">
        <v>26</v>
      </c>
      <c r="B86" s="3435"/>
      <c r="C86" s="1068" t="s">
        <v>1553</v>
      </c>
      <c r="D86" s="1068" t="s">
        <v>1554</v>
      </c>
      <c r="E86" s="1139">
        <v>0.2</v>
      </c>
      <c r="F86" s="1154">
        <v>30</v>
      </c>
    </row>
    <row r="87" spans="1:6" s="1105" customFormat="1" ht="36">
      <c r="A87" s="1154">
        <v>27</v>
      </c>
      <c r="B87" s="3435"/>
      <c r="C87" s="1068" t="s">
        <v>1555</v>
      </c>
      <c r="D87" s="1068" t="s">
        <v>1556</v>
      </c>
      <c r="E87" s="1139">
        <v>0.2</v>
      </c>
      <c r="F87" s="1154">
        <v>30</v>
      </c>
    </row>
    <row r="88" spans="1:6" s="1105" customFormat="1" ht="36">
      <c r="A88" s="1154">
        <v>28</v>
      </c>
      <c r="B88" s="3435"/>
      <c r="C88" s="1068" t="s">
        <v>1557</v>
      </c>
      <c r="D88" s="1068" t="s">
        <v>1558</v>
      </c>
      <c r="E88" s="1139">
        <v>0.2</v>
      </c>
      <c r="F88" s="1154">
        <v>30</v>
      </c>
    </row>
    <row r="89" spans="1:6" s="1105" customFormat="1" ht="24">
      <c r="A89" s="1154">
        <v>29</v>
      </c>
      <c r="B89" s="3435"/>
      <c r="C89" s="1068" t="s">
        <v>1559</v>
      </c>
      <c r="D89" s="1068" t="s">
        <v>1560</v>
      </c>
      <c r="E89" s="1139">
        <v>0.2</v>
      </c>
      <c r="F89" s="1154">
        <v>30</v>
      </c>
    </row>
    <row r="90" spans="1:6" s="1105" customFormat="1" ht="24">
      <c r="A90" s="1154">
        <v>30</v>
      </c>
      <c r="B90" s="3435"/>
      <c r="C90" s="1068" t="s">
        <v>1561</v>
      </c>
      <c r="D90" s="1068" t="s">
        <v>1562</v>
      </c>
      <c r="E90" s="1139">
        <v>0.2</v>
      </c>
      <c r="F90" s="1154">
        <v>30</v>
      </c>
    </row>
    <row r="91" spans="1:6" s="1105" customFormat="1" ht="36">
      <c r="A91" s="1154">
        <v>31</v>
      </c>
      <c r="B91" s="3435"/>
      <c r="C91" s="1068" t="s">
        <v>1563</v>
      </c>
      <c r="D91" s="1068" t="s">
        <v>1564</v>
      </c>
      <c r="E91" s="1139">
        <v>0.2</v>
      </c>
      <c r="F91" s="1154">
        <v>30</v>
      </c>
    </row>
    <row r="92" spans="1:6" s="1105" customFormat="1" ht="24">
      <c r="A92" s="1154">
        <v>32</v>
      </c>
      <c r="B92" s="3435" t="s">
        <v>1565</v>
      </c>
      <c r="C92" s="1154" t="s">
        <v>1566</v>
      </c>
      <c r="D92" s="1068" t="s">
        <v>1567</v>
      </c>
      <c r="E92" s="1139">
        <v>0.2</v>
      </c>
      <c r="F92" s="1154">
        <v>30</v>
      </c>
    </row>
    <row r="93" spans="1:6" s="1105" customFormat="1" ht="36">
      <c r="A93" s="1154">
        <v>33</v>
      </c>
      <c r="B93" s="3435"/>
      <c r="C93" s="1154" t="s">
        <v>1568</v>
      </c>
      <c r="D93" s="1068" t="s">
        <v>1569</v>
      </c>
      <c r="E93" s="1139">
        <v>0.2</v>
      </c>
      <c r="F93" s="1154">
        <v>30</v>
      </c>
    </row>
    <row r="94" spans="1:6" s="1105" customFormat="1" ht="48">
      <c r="A94" s="1154">
        <v>34</v>
      </c>
      <c r="B94" s="3435"/>
      <c r="C94" s="1154" t="s">
        <v>1570</v>
      </c>
      <c r="D94" s="1068" t="s">
        <v>1571</v>
      </c>
      <c r="E94" s="1139">
        <v>0.2</v>
      </c>
      <c r="F94" s="1154">
        <v>30</v>
      </c>
    </row>
    <row r="95" spans="1:6" s="1105" customFormat="1" ht="36">
      <c r="A95" s="1154">
        <v>35</v>
      </c>
      <c r="B95" s="3435"/>
      <c r="C95" s="1154" t="s">
        <v>1572</v>
      </c>
      <c r="D95" s="1068" t="s">
        <v>1573</v>
      </c>
      <c r="E95" s="1139">
        <v>0.2</v>
      </c>
      <c r="F95" s="1154">
        <v>30</v>
      </c>
    </row>
    <row r="96" spans="1:6" s="1105" customFormat="1" ht="48">
      <c r="A96" s="1154">
        <v>36</v>
      </c>
      <c r="B96" s="3435"/>
      <c r="C96" s="1068" t="s">
        <v>1574</v>
      </c>
      <c r="D96" s="1068" t="s">
        <v>1575</v>
      </c>
      <c r="E96" s="1139">
        <v>0.2</v>
      </c>
      <c r="F96" s="1154">
        <v>30</v>
      </c>
    </row>
    <row r="97" spans="1:6" s="1105" customFormat="1" ht="36">
      <c r="A97" s="1154">
        <v>37</v>
      </c>
      <c r="B97" s="3435"/>
      <c r="C97" s="1154" t="s">
        <v>1576</v>
      </c>
      <c r="D97" s="1068" t="s">
        <v>1577</v>
      </c>
      <c r="E97" s="1139">
        <v>0.2</v>
      </c>
      <c r="F97" s="1154">
        <v>30</v>
      </c>
    </row>
    <row r="98" spans="1:6" s="1105" customFormat="1" ht="36">
      <c r="A98" s="1154">
        <v>38</v>
      </c>
      <c r="B98" s="3435"/>
      <c r="C98" s="1154" t="s">
        <v>1578</v>
      </c>
      <c r="D98" s="1068" t="s">
        <v>1579</v>
      </c>
      <c r="E98" s="1139">
        <v>0.2</v>
      </c>
      <c r="F98" s="1154">
        <v>30</v>
      </c>
    </row>
    <row r="99" spans="1:6" s="1105" customFormat="1" ht="36">
      <c r="A99" s="1154">
        <v>39</v>
      </c>
      <c r="B99" s="3435" t="s">
        <v>1580</v>
      </c>
      <c r="C99" s="1154" t="s">
        <v>1581</v>
      </c>
      <c r="D99" s="1068" t="s">
        <v>1582</v>
      </c>
      <c r="E99" s="1139">
        <v>0.3</v>
      </c>
      <c r="F99" s="1154">
        <v>50</v>
      </c>
    </row>
    <row r="100" spans="1:6" s="1105" customFormat="1" ht="24">
      <c r="A100" s="1154">
        <v>40</v>
      </c>
      <c r="B100" s="3435"/>
      <c r="C100" s="1154" t="s">
        <v>1583</v>
      </c>
      <c r="D100" s="1068" t="s">
        <v>1584</v>
      </c>
      <c r="E100" s="1139">
        <v>0.2</v>
      </c>
      <c r="F100" s="1154">
        <v>30</v>
      </c>
    </row>
    <row r="101" spans="1:6" s="1105" customFormat="1" ht="36">
      <c r="A101" s="1154">
        <v>41</v>
      </c>
      <c r="B101" s="3435"/>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35" t="s">
        <v>1595</v>
      </c>
      <c r="C105" s="1154" t="s">
        <v>1596</v>
      </c>
      <c r="D105" s="1068" t="s">
        <v>1597</v>
      </c>
      <c r="E105" s="1139">
        <v>0.2</v>
      </c>
      <c r="F105" s="1154">
        <v>30</v>
      </c>
    </row>
    <row r="106" spans="1:6" s="1105" customFormat="1" ht="36">
      <c r="A106" s="1154">
        <v>46</v>
      </c>
      <c r="B106" s="3435"/>
      <c r="C106" s="1154" t="s">
        <v>1598</v>
      </c>
      <c r="D106" s="1068" t="s">
        <v>1599</v>
      </c>
      <c r="E106" s="1139">
        <v>0.2</v>
      </c>
      <c r="F106" s="1154">
        <v>30</v>
      </c>
    </row>
    <row r="107" spans="1:6" s="1105" customFormat="1" ht="36">
      <c r="A107" s="1154">
        <v>47</v>
      </c>
      <c r="B107" s="3435" t="s">
        <v>1600</v>
      </c>
      <c r="C107" s="1154" t="s">
        <v>1601</v>
      </c>
      <c r="D107" s="1068" t="s">
        <v>1602</v>
      </c>
      <c r="E107" s="1139">
        <v>0.3</v>
      </c>
      <c r="F107" s="1154">
        <v>50</v>
      </c>
    </row>
    <row r="108" spans="1:6" s="1105" customFormat="1" ht="36">
      <c r="A108" s="1154">
        <v>48</v>
      </c>
      <c r="B108" s="3435"/>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35" t="s">
        <v>1611</v>
      </c>
      <c r="C111" s="1154" t="s">
        <v>1612</v>
      </c>
      <c r="D111" s="1068" t="s">
        <v>1613</v>
      </c>
      <c r="E111" s="1139">
        <v>0.2</v>
      </c>
      <c r="F111" s="1154">
        <v>30</v>
      </c>
    </row>
    <row r="112" spans="1:6" s="1105" customFormat="1" ht="24">
      <c r="A112" s="1154">
        <v>52</v>
      </c>
      <c r="B112" s="3435"/>
      <c r="C112" s="1154" t="s">
        <v>1614</v>
      </c>
      <c r="D112" s="1068" t="s">
        <v>1615</v>
      </c>
      <c r="E112" s="1139">
        <v>0.2</v>
      </c>
      <c r="F112" s="1154">
        <v>30</v>
      </c>
    </row>
    <row r="113" spans="1:14" s="1105" customFormat="1" ht="24">
      <c r="A113" s="1154">
        <v>53</v>
      </c>
      <c r="B113" s="3435"/>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35" t="s">
        <v>1624</v>
      </c>
      <c r="C116" s="1154" t="s">
        <v>1625</v>
      </c>
      <c r="D116" s="1068" t="s">
        <v>1626</v>
      </c>
      <c r="E116" s="1139">
        <v>0.2</v>
      </c>
      <c r="F116" s="1154">
        <v>30</v>
      </c>
    </row>
    <row r="117" spans="1:14" ht="36">
      <c r="A117" s="1154">
        <v>57</v>
      </c>
      <c r="B117" s="3435"/>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34" t="s">
        <v>1633</v>
      </c>
      <c r="B121" s="3434"/>
      <c r="C121" s="3434"/>
      <c r="D121" s="3434"/>
      <c r="E121" s="3434"/>
      <c r="F121" s="3434"/>
      <c r="G121" s="3434"/>
      <c r="H121" s="3434"/>
      <c r="I121" s="3434"/>
      <c r="J121" s="3434"/>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7" t="s">
        <v>1039</v>
      </c>
      <c r="B1" s="3447"/>
      <c r="C1" s="3447"/>
      <c r="D1" s="3447"/>
      <c r="E1" s="3447"/>
      <c r="F1" s="3447"/>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48" t="s">
        <v>1052</v>
      </c>
      <c r="B2" s="3448"/>
      <c r="C2" s="3448"/>
      <c r="D2" s="3448"/>
      <c r="E2" s="3448"/>
      <c r="F2" s="3448"/>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49"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0"/>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2422</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2423</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1" t="s">
        <v>2080</v>
      </c>
      <c r="B1" s="3451"/>
    </row>
    <row r="2" spans="1:6" ht="14.25" thickBot="1">
      <c r="A2" s="1853"/>
      <c r="B2" s="1853"/>
    </row>
    <row r="3" spans="1:6" ht="14.25" thickBot="1">
      <c r="A3" s="1853"/>
      <c r="B3" s="1853"/>
      <c r="C3" s="1854" t="s">
        <v>2081</v>
      </c>
      <c r="D3" s="1854" t="s">
        <v>2082</v>
      </c>
      <c r="E3" s="1854" t="s">
        <v>2083</v>
      </c>
      <c r="F3" s="1854" t="s">
        <v>2084</v>
      </c>
    </row>
    <row r="4" spans="1:6" ht="14.25" thickBot="1">
      <c r="A4" s="1855" t="s">
        <v>2085</v>
      </c>
      <c r="B4" s="1856" t="s">
        <v>2086</v>
      </c>
      <c r="C4" s="1854"/>
      <c r="D4" s="1854"/>
      <c r="E4" s="1854"/>
      <c r="F4" s="1854"/>
    </row>
    <row r="5" spans="1:6" ht="14.25" thickBot="1">
      <c r="A5" s="1857" t="s">
        <v>2087</v>
      </c>
      <c r="B5" s="1858" t="s">
        <v>2088</v>
      </c>
      <c r="C5" s="1859">
        <v>8.8999999999999996E-2</v>
      </c>
      <c r="D5" s="1859">
        <v>7.3999999999999996E-2</v>
      </c>
      <c r="E5" s="1859">
        <v>7.4999999999999997E-2</v>
      </c>
      <c r="F5" s="1860">
        <v>0.1</v>
      </c>
    </row>
    <row r="6" spans="1:6" ht="14.25" thickBot="1">
      <c r="A6" s="1857" t="s">
        <v>1096</v>
      </c>
      <c r="B6" s="1861" t="s">
        <v>2089</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2090</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2091</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2092</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2093</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2094</v>
      </c>
      <c r="C72" s="1871"/>
      <c r="D72" s="1871"/>
      <c r="E72" s="1871"/>
      <c r="F72" s="1863">
        <v>0.05</v>
      </c>
    </row>
    <row r="73" spans="1:6" ht="14.25" thickBot="1">
      <c r="A73" s="1857" t="s">
        <v>924</v>
      </c>
      <c r="B73" s="1861" t="s">
        <v>2095</v>
      </c>
      <c r="C73" s="1871"/>
      <c r="D73" s="1871"/>
      <c r="E73" s="1871"/>
      <c r="F73" s="1863">
        <v>0.05</v>
      </c>
    </row>
    <row r="74" spans="1:6" ht="14.25" thickBot="1">
      <c r="A74" s="1857" t="s">
        <v>924</v>
      </c>
      <c r="B74" s="1861" t="s">
        <v>2096</v>
      </c>
      <c r="C74" s="1871"/>
      <c r="D74" s="1871"/>
      <c r="E74" s="1871"/>
      <c r="F74" s="1863">
        <v>0.05</v>
      </c>
    </row>
    <row r="75" spans="1:6" ht="14.25" thickBot="1">
      <c r="A75" s="1865" t="s">
        <v>924</v>
      </c>
      <c r="B75" s="1872" t="s">
        <v>2097</v>
      </c>
      <c r="C75" s="1868"/>
      <c r="D75" s="1868"/>
      <c r="E75" s="1868"/>
      <c r="F75" s="1873">
        <v>0.05</v>
      </c>
    </row>
    <row r="76" spans="1:6" ht="14.25" thickBot="1">
      <c r="A76" s="1857" t="s">
        <v>1407</v>
      </c>
      <c r="B76" s="1858" t="s">
        <v>2098</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2099</v>
      </c>
      <c r="C102" s="1871"/>
      <c r="D102" s="1871"/>
      <c r="E102" s="1871"/>
      <c r="F102" s="1863">
        <v>0.05</v>
      </c>
    </row>
    <row r="103" spans="1:6" ht="24.75" thickBot="1">
      <c r="A103" s="1857" t="s">
        <v>1407</v>
      </c>
      <c r="B103" s="1861" t="s">
        <v>2100</v>
      </c>
      <c r="C103" s="1871"/>
      <c r="D103" s="1871"/>
      <c r="E103" s="1871"/>
      <c r="F103" s="1863">
        <v>0.05</v>
      </c>
    </row>
    <row r="104" spans="1:6" ht="14.25" thickBot="1">
      <c r="A104" s="1857" t="s">
        <v>1407</v>
      </c>
      <c r="B104" s="1861" t="s">
        <v>2101</v>
      </c>
      <c r="C104" s="1871"/>
      <c r="D104" s="1871"/>
      <c r="E104" s="1871"/>
      <c r="F104" s="1863">
        <v>0.05</v>
      </c>
    </row>
    <row r="105" spans="1:6" ht="14.25" thickBot="1">
      <c r="A105" s="1857" t="s">
        <v>1407</v>
      </c>
      <c r="B105" s="1861" t="s">
        <v>2102</v>
      </c>
      <c r="C105" s="1871"/>
      <c r="D105" s="1871"/>
      <c r="E105" s="1871"/>
      <c r="F105" s="1863">
        <v>0.05</v>
      </c>
    </row>
    <row r="106" spans="1:6" ht="14.25" thickBot="1">
      <c r="A106" s="1857" t="s">
        <v>1407</v>
      </c>
      <c r="B106" s="1861" t="s">
        <v>2103</v>
      </c>
      <c r="C106" s="1871"/>
      <c r="D106" s="1871"/>
      <c r="E106" s="1871"/>
      <c r="F106" s="1863">
        <v>0.05</v>
      </c>
    </row>
    <row r="107" spans="1:6" ht="24.75" thickBot="1">
      <c r="A107" s="1857" t="s">
        <v>1407</v>
      </c>
      <c r="B107" s="1861" t="s">
        <v>2104</v>
      </c>
      <c r="C107" s="1871"/>
      <c r="D107" s="1871"/>
      <c r="E107" s="1871"/>
      <c r="F107" s="1863">
        <v>0.05</v>
      </c>
    </row>
    <row r="108" spans="1:6" ht="24.75" thickBot="1">
      <c r="A108" s="1857" t="s">
        <v>1407</v>
      </c>
      <c r="B108" s="1861" t="s">
        <v>2105</v>
      </c>
      <c r="C108" s="1871"/>
      <c r="D108" s="1871"/>
      <c r="E108" s="1871"/>
      <c r="F108" s="1863">
        <v>0.05</v>
      </c>
    </row>
    <row r="109" spans="1:6" ht="24.75" thickBot="1">
      <c r="A109" s="1865" t="s">
        <v>1407</v>
      </c>
      <c r="B109" s="1872" t="s">
        <v>2106</v>
      </c>
      <c r="C109" s="1868"/>
      <c r="D109" s="1868"/>
      <c r="E109" s="1868"/>
      <c r="F109" s="1873">
        <v>0.05</v>
      </c>
    </row>
    <row r="110" spans="1:6" ht="14.25" thickBot="1">
      <c r="A110" s="1857" t="s">
        <v>1409</v>
      </c>
      <c r="B110" s="1858" t="s">
        <v>2107</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2108</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2109</v>
      </c>
      <c r="C138" s="1862">
        <v>0.105</v>
      </c>
      <c r="D138" s="1862">
        <v>0.125</v>
      </c>
      <c r="E138" s="1862">
        <v>0.112</v>
      </c>
      <c r="F138" s="1870"/>
    </row>
    <row r="139" spans="1:6" ht="14.25" thickBot="1">
      <c r="A139" s="1857" t="s">
        <v>1409</v>
      </c>
      <c r="B139" s="1861" t="s">
        <v>2110</v>
      </c>
      <c r="C139" s="1862">
        <v>0.127</v>
      </c>
      <c r="D139" s="1862">
        <v>0.127</v>
      </c>
      <c r="E139" s="1862">
        <v>0.122</v>
      </c>
      <c r="F139" s="1863">
        <v>0.13</v>
      </c>
    </row>
    <row r="140" spans="1:6" ht="14.25" thickBot="1">
      <c r="A140" s="1857" t="s">
        <v>1409</v>
      </c>
      <c r="B140" s="1861" t="s">
        <v>2111</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2112</v>
      </c>
      <c r="C144" s="1875">
        <v>0.126</v>
      </c>
      <c r="D144" s="1875">
        <v>0.126</v>
      </c>
      <c r="E144" s="1875">
        <v>0.121</v>
      </c>
      <c r="F144" s="1870"/>
    </row>
    <row r="145" spans="1:6" ht="14.25" thickBot="1">
      <c r="A145" s="1865" t="s">
        <v>1409</v>
      </c>
      <c r="B145" s="1876" t="s">
        <v>2113</v>
      </c>
      <c r="C145" s="1877"/>
      <c r="D145" s="1877"/>
      <c r="E145" s="1877"/>
      <c r="F145" s="1878">
        <v>0.05</v>
      </c>
    </row>
    <row r="146" spans="1:6" ht="24.75" thickBot="1">
      <c r="A146" s="1879" t="s">
        <v>1409</v>
      </c>
      <c r="B146" s="1864" t="s">
        <v>2114</v>
      </c>
      <c r="C146" s="1871"/>
      <c r="D146" s="1871"/>
      <c r="E146" s="1871"/>
      <c r="F146" s="1880">
        <v>0.05</v>
      </c>
    </row>
    <row r="147" spans="1:6" ht="24.75" thickBot="1">
      <c r="A147" s="1857" t="s">
        <v>1409</v>
      </c>
      <c r="B147" s="1861" t="s">
        <v>2115</v>
      </c>
      <c r="C147" s="1871"/>
      <c r="D147" s="1871"/>
      <c r="E147" s="1871"/>
      <c r="F147" s="1863">
        <v>0.05</v>
      </c>
    </row>
    <row r="148" spans="1:6" ht="24.75" thickBot="1">
      <c r="A148" s="1857" t="s">
        <v>1409</v>
      </c>
      <c r="B148" s="1861" t="s">
        <v>2116</v>
      </c>
      <c r="C148" s="1871"/>
      <c r="D148" s="1871"/>
      <c r="E148" s="1871"/>
      <c r="F148" s="1863">
        <v>0.05</v>
      </c>
    </row>
    <row r="149" spans="1:6" ht="24.75" thickBot="1">
      <c r="A149" s="1857" t="s">
        <v>1409</v>
      </c>
      <c r="B149" s="1861" t="s">
        <v>2117</v>
      </c>
      <c r="C149" s="1871"/>
      <c r="D149" s="1871"/>
      <c r="E149" s="1871"/>
      <c r="F149" s="1863">
        <v>0.05</v>
      </c>
    </row>
    <row r="150" spans="1:6" ht="24.75" thickBot="1">
      <c r="A150" s="1857" t="s">
        <v>1409</v>
      </c>
      <c r="B150" s="1861" t="s">
        <v>2118</v>
      </c>
      <c r="C150" s="1871"/>
      <c r="D150" s="1871"/>
      <c r="E150" s="1871"/>
      <c r="F150" s="1863">
        <v>0.05</v>
      </c>
    </row>
    <row r="151" spans="1:6" ht="24.75" thickBot="1">
      <c r="A151" s="1857" t="s">
        <v>1409</v>
      </c>
      <c r="B151" s="1861" t="s">
        <v>2119</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2120</v>
      </c>
      <c r="C153" s="1871"/>
      <c r="D153" s="1871"/>
      <c r="E153" s="1871"/>
      <c r="F153" s="1863">
        <v>0.05</v>
      </c>
    </row>
    <row r="154" spans="1:6" ht="14.25" thickBot="1">
      <c r="A154" s="1857" t="s">
        <v>1409</v>
      </c>
      <c r="B154" s="1861" t="s">
        <v>2121</v>
      </c>
      <c r="C154" s="1871"/>
      <c r="D154" s="1871"/>
      <c r="E154" s="1871"/>
      <c r="F154" s="1863">
        <v>0.05</v>
      </c>
    </row>
    <row r="155" spans="1:6" ht="24.75" thickBot="1">
      <c r="A155" s="1857" t="s">
        <v>1409</v>
      </c>
      <c r="B155" s="1861" t="s">
        <v>2122</v>
      </c>
      <c r="C155" s="1871"/>
      <c r="D155" s="1871"/>
      <c r="E155" s="1871"/>
      <c r="F155" s="1863">
        <v>0.05</v>
      </c>
    </row>
    <row r="156" spans="1:6" ht="24.75" thickBot="1">
      <c r="A156" s="1857" t="s">
        <v>1409</v>
      </c>
      <c r="B156" s="1861" t="s">
        <v>2123</v>
      </c>
      <c r="C156" s="1871"/>
      <c r="D156" s="1871"/>
      <c r="E156" s="1871"/>
      <c r="F156" s="1863">
        <v>0.05</v>
      </c>
    </row>
    <row r="157" spans="1:6" ht="14.25" thickBot="1">
      <c r="A157" s="1865" t="s">
        <v>1409</v>
      </c>
      <c r="B157" s="1872" t="s">
        <v>2124</v>
      </c>
      <c r="C157" s="1868"/>
      <c r="D157" s="1868"/>
      <c r="E157" s="1868"/>
      <c r="F157" s="1873">
        <v>0.05</v>
      </c>
    </row>
    <row r="158" spans="1:6" ht="14.25" thickBot="1">
      <c r="A158" s="1857" t="s">
        <v>1411</v>
      </c>
      <c r="B158" s="1858" t="s">
        <v>2125</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2126</v>
      </c>
      <c r="C171" s="1862">
        <v>0.127</v>
      </c>
      <c r="D171" s="1862">
        <v>0.126</v>
      </c>
      <c r="E171" s="1862">
        <v>0.126</v>
      </c>
      <c r="F171" s="1863">
        <v>0.11799999999999999</v>
      </c>
    </row>
    <row r="172" spans="1:6" ht="14.25" thickBot="1">
      <c r="A172" s="1857" t="s">
        <v>1411</v>
      </c>
      <c r="B172" s="1861" t="s">
        <v>2127</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2128</v>
      </c>
      <c r="C174" s="1862">
        <v>0.13</v>
      </c>
      <c r="D174" s="1862">
        <v>0.13</v>
      </c>
      <c r="E174" s="1862">
        <v>0.13</v>
      </c>
      <c r="F174" s="1863">
        <v>0.13</v>
      </c>
    </row>
    <row r="175" spans="1:6" ht="14.25" thickBot="1">
      <c r="A175" s="1857" t="s">
        <v>1411</v>
      </c>
      <c r="B175" s="1861" t="s">
        <v>2129</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2130</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2131</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2132</v>
      </c>
      <c r="C185" s="1862">
        <v>0.127</v>
      </c>
      <c r="D185" s="1862">
        <v>0.127</v>
      </c>
      <c r="E185" s="1862">
        <v>0.128</v>
      </c>
      <c r="F185" s="1863">
        <v>0.13</v>
      </c>
    </row>
    <row r="186" spans="1:6" ht="24.75" thickBot="1">
      <c r="A186" s="1857" t="s">
        <v>1411</v>
      </c>
      <c r="B186" s="1861" t="s">
        <v>2133</v>
      </c>
      <c r="C186" s="1871"/>
      <c r="D186" s="1871"/>
      <c r="E186" s="1871"/>
      <c r="F186" s="1863">
        <v>0.05</v>
      </c>
    </row>
    <row r="187" spans="1:6" ht="14.25" thickBot="1">
      <c r="A187" s="1857" t="s">
        <v>1411</v>
      </c>
      <c r="B187" s="1861" t="s">
        <v>2134</v>
      </c>
      <c r="C187" s="1871"/>
      <c r="D187" s="1871"/>
      <c r="E187" s="1871"/>
      <c r="F187" s="1863">
        <v>0.05</v>
      </c>
    </row>
    <row r="188" spans="1:6" ht="14.25" thickBot="1">
      <c r="A188" s="1857" t="s">
        <v>1411</v>
      </c>
      <c r="B188" s="1861" t="s">
        <v>2135</v>
      </c>
      <c r="C188" s="1871"/>
      <c r="D188" s="1871"/>
      <c r="E188" s="1871"/>
      <c r="F188" s="1863">
        <v>0.05</v>
      </c>
    </row>
    <row r="189" spans="1:6" ht="24.75" thickBot="1">
      <c r="A189" s="1857" t="s">
        <v>1411</v>
      </c>
      <c r="B189" s="1861" t="s">
        <v>2136</v>
      </c>
      <c r="C189" s="1871"/>
      <c r="D189" s="1871"/>
      <c r="E189" s="1871"/>
      <c r="F189" s="1863">
        <v>0.05</v>
      </c>
    </row>
    <row r="190" spans="1:6" ht="24.75" thickBot="1">
      <c r="A190" s="1857" t="s">
        <v>1411</v>
      </c>
      <c r="B190" s="1861" t="s">
        <v>2137</v>
      </c>
      <c r="C190" s="1871"/>
      <c r="D190" s="1871"/>
      <c r="E190" s="1871"/>
      <c r="F190" s="1863">
        <v>0.05</v>
      </c>
    </row>
    <row r="191" spans="1:6" ht="24.75" thickBot="1">
      <c r="A191" s="1857" t="s">
        <v>1411</v>
      </c>
      <c r="B191" s="1861" t="s">
        <v>2138</v>
      </c>
      <c r="C191" s="1871"/>
      <c r="D191" s="1871"/>
      <c r="E191" s="1871"/>
      <c r="F191" s="1863">
        <v>0.05</v>
      </c>
    </row>
    <row r="192" spans="1:6" ht="24.75" thickBot="1">
      <c r="A192" s="1857" t="s">
        <v>1411</v>
      </c>
      <c r="B192" s="1861" t="s">
        <v>2139</v>
      </c>
      <c r="C192" s="1871"/>
      <c r="D192" s="1871"/>
      <c r="E192" s="1871"/>
      <c r="F192" s="1863">
        <v>0.05</v>
      </c>
    </row>
    <row r="193" spans="1:6" ht="24.75" thickBot="1">
      <c r="A193" s="1857" t="s">
        <v>1411</v>
      </c>
      <c r="B193" s="1861" t="s">
        <v>2140</v>
      </c>
      <c r="C193" s="1871"/>
      <c r="D193" s="1871"/>
      <c r="E193" s="1871"/>
      <c r="F193" s="1863">
        <v>0.05</v>
      </c>
    </row>
    <row r="194" spans="1:6" ht="24.75" thickBot="1">
      <c r="A194" s="1857" t="s">
        <v>1411</v>
      </c>
      <c r="B194" s="1861" t="s">
        <v>2141</v>
      </c>
      <c r="C194" s="1871"/>
      <c r="D194" s="1871"/>
      <c r="E194" s="1871"/>
      <c r="F194" s="1863">
        <v>0.05</v>
      </c>
    </row>
    <row r="195" spans="1:6" ht="14.25" thickBot="1">
      <c r="A195" s="1857" t="s">
        <v>1411</v>
      </c>
      <c r="B195" s="1861" t="s">
        <v>2142</v>
      </c>
      <c r="C195" s="1871"/>
      <c r="D195" s="1871"/>
      <c r="E195" s="1871"/>
      <c r="F195" s="1863">
        <v>0.05</v>
      </c>
    </row>
    <row r="196" spans="1:6" ht="24.75" thickBot="1">
      <c r="A196" s="1857" t="s">
        <v>1411</v>
      </c>
      <c r="B196" s="1861" t="s">
        <v>2143</v>
      </c>
      <c r="C196" s="1871"/>
      <c r="D196" s="1871"/>
      <c r="E196" s="1871"/>
      <c r="F196" s="1863">
        <v>0.05</v>
      </c>
    </row>
    <row r="197" spans="1:6" ht="24.75" thickBot="1">
      <c r="A197" s="1857" t="s">
        <v>1411</v>
      </c>
      <c r="B197" s="1861" t="s">
        <v>2144</v>
      </c>
      <c r="C197" s="1871"/>
      <c r="D197" s="1871"/>
      <c r="E197" s="1871"/>
      <c r="F197" s="1863">
        <v>0.05</v>
      </c>
    </row>
    <row r="198" spans="1:6" ht="24.75" thickBot="1">
      <c r="A198" s="1857" t="s">
        <v>1411</v>
      </c>
      <c r="B198" s="1861" t="s">
        <v>2145</v>
      </c>
      <c r="C198" s="1871"/>
      <c r="D198" s="1871"/>
      <c r="E198" s="1871"/>
      <c r="F198" s="1863">
        <v>0.05</v>
      </c>
    </row>
    <row r="199" spans="1:6" ht="24.75" thickBot="1">
      <c r="A199" s="1857" t="s">
        <v>1411</v>
      </c>
      <c r="B199" s="1861" t="s">
        <v>2146</v>
      </c>
      <c r="C199" s="1871"/>
      <c r="D199" s="1871"/>
      <c r="E199" s="1871"/>
      <c r="F199" s="1863">
        <v>0.05</v>
      </c>
    </row>
    <row r="200" spans="1:6" ht="24.75" thickBot="1">
      <c r="A200" s="1857" t="s">
        <v>1411</v>
      </c>
      <c r="B200" s="1861" t="s">
        <v>2147</v>
      </c>
      <c r="C200" s="1871"/>
      <c r="D200" s="1871"/>
      <c r="E200" s="1871"/>
      <c r="F200" s="1863">
        <v>0.05</v>
      </c>
    </row>
    <row r="201" spans="1:6" ht="24.75" thickBot="1">
      <c r="A201" s="1857" t="s">
        <v>1411</v>
      </c>
      <c r="B201" s="1861" t="s">
        <v>2148</v>
      </c>
      <c r="C201" s="1871"/>
      <c r="D201" s="1871"/>
      <c r="E201" s="1871"/>
      <c r="F201" s="1863">
        <v>0.05</v>
      </c>
    </row>
    <row r="202" spans="1:6" ht="24.75" thickBot="1">
      <c r="A202" s="1857" t="s">
        <v>1411</v>
      </c>
      <c r="B202" s="1861" t="s">
        <v>2149</v>
      </c>
      <c r="C202" s="1871"/>
      <c r="D202" s="1871"/>
      <c r="E202" s="1871"/>
      <c r="F202" s="1863">
        <v>0.05</v>
      </c>
    </row>
    <row r="203" spans="1:6" ht="24.75" thickBot="1">
      <c r="A203" s="1857" t="s">
        <v>1411</v>
      </c>
      <c r="B203" s="1861" t="s">
        <v>2150</v>
      </c>
      <c r="C203" s="1871"/>
      <c r="D203" s="1871"/>
      <c r="E203" s="1871"/>
      <c r="F203" s="1863">
        <v>0.05</v>
      </c>
    </row>
    <row r="204" spans="1:6" ht="14.25" thickBot="1">
      <c r="A204" s="1857" t="s">
        <v>1411</v>
      </c>
      <c r="B204" s="1861" t="s">
        <v>2151</v>
      </c>
      <c r="C204" s="1871"/>
      <c r="D204" s="1871"/>
      <c r="E204" s="1871"/>
      <c r="F204" s="1863">
        <v>0.05</v>
      </c>
    </row>
    <row r="205" spans="1:6" ht="14.25" thickBot="1">
      <c r="A205" s="1865" t="s">
        <v>1411</v>
      </c>
      <c r="B205" s="1872" t="s">
        <v>2152</v>
      </c>
      <c r="C205" s="1868"/>
      <c r="D205" s="1868"/>
      <c r="E205" s="1868"/>
      <c r="F205" s="1873">
        <v>0.05</v>
      </c>
    </row>
    <row r="206" spans="1:6" ht="14.25" thickBot="1">
      <c r="A206" s="1857" t="s">
        <v>1413</v>
      </c>
      <c r="B206" s="1858" t="s">
        <v>2153</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2154</v>
      </c>
      <c r="C210" s="1862">
        <v>0.15</v>
      </c>
      <c r="D210" s="1862">
        <v>0.15</v>
      </c>
      <c r="E210" s="1862">
        <v>0.15</v>
      </c>
      <c r="F210" s="1863">
        <v>0.13800000000000001</v>
      </c>
    </row>
    <row r="211" spans="1:6" ht="14.25" thickBot="1">
      <c r="A211" s="1857" t="s">
        <v>1413</v>
      </c>
      <c r="B211" s="1861" t="s">
        <v>2155</v>
      </c>
      <c r="C211" s="1862">
        <v>0.13700000000000001</v>
      </c>
      <c r="D211" s="1862">
        <v>0.13500000000000001</v>
      </c>
      <c r="E211" s="1862">
        <v>0.13600000000000001</v>
      </c>
      <c r="F211" s="1863">
        <v>0.1</v>
      </c>
    </row>
    <row r="212" spans="1:6" ht="14.25" thickBot="1">
      <c r="A212" s="1857" t="s">
        <v>1413</v>
      </c>
      <c r="B212" s="1861" t="s">
        <v>2156</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2157</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2158</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2159</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2160</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2161</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2162</v>
      </c>
      <c r="C231" s="1862">
        <v>0.128</v>
      </c>
      <c r="D231" s="1862">
        <v>0.125</v>
      </c>
      <c r="E231" s="1862">
        <v>0.13200000000000001</v>
      </c>
      <c r="F231" s="1870"/>
    </row>
    <row r="232" spans="1:6" ht="14.25" thickBot="1">
      <c r="A232" s="1857" t="s">
        <v>1413</v>
      </c>
      <c r="B232" s="1861" t="s">
        <v>2163</v>
      </c>
      <c r="C232" s="1862">
        <v>0.14499999999999999</v>
      </c>
      <c r="D232" s="1862">
        <v>0.14399999999999999</v>
      </c>
      <c r="E232" s="1862">
        <v>0.14599999999999999</v>
      </c>
      <c r="F232" s="1863">
        <v>0.13800000000000001</v>
      </c>
    </row>
    <row r="233" spans="1:6" ht="14.25" thickBot="1">
      <c r="A233" s="1857" t="s">
        <v>1413</v>
      </c>
      <c r="B233" s="1861" t="s">
        <v>2164</v>
      </c>
      <c r="C233" s="1862">
        <v>0.14499999999999999</v>
      </c>
      <c r="D233" s="1862">
        <v>0.14299999999999999</v>
      </c>
      <c r="E233" s="1862">
        <v>0.14199999999999999</v>
      </c>
      <c r="F233" s="1870"/>
    </row>
    <row r="234" spans="1:6" ht="14.25" thickBot="1">
      <c r="A234" s="1857" t="s">
        <v>1413</v>
      </c>
      <c r="B234" s="1861" t="s">
        <v>2165</v>
      </c>
      <c r="C234" s="1862">
        <v>0.14000000000000001</v>
      </c>
      <c r="D234" s="1862">
        <v>0.14000000000000001</v>
      </c>
      <c r="E234" s="1862">
        <v>0.14399999999999999</v>
      </c>
      <c r="F234" s="1870"/>
    </row>
    <row r="235" spans="1:6" ht="14.25" thickBot="1">
      <c r="A235" s="1857" t="s">
        <v>1413</v>
      </c>
      <c r="B235" s="1861" t="s">
        <v>2166</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2167</v>
      </c>
      <c r="C237" s="1871"/>
      <c r="D237" s="1871"/>
      <c r="E237" s="1871"/>
      <c r="F237" s="1863">
        <v>0.05</v>
      </c>
    </row>
    <row r="238" spans="1:6" ht="24.75" thickBot="1">
      <c r="A238" s="1857" t="s">
        <v>1413</v>
      </c>
      <c r="B238" s="1861" t="s">
        <v>2168</v>
      </c>
      <c r="C238" s="1871"/>
      <c r="D238" s="1871"/>
      <c r="E238" s="1871"/>
      <c r="F238" s="1863">
        <v>0.05</v>
      </c>
    </row>
    <row r="239" spans="1:6" ht="24.75" thickBot="1">
      <c r="A239" s="1857" t="s">
        <v>1413</v>
      </c>
      <c r="B239" s="1861" t="s">
        <v>2169</v>
      </c>
      <c r="C239" s="1871"/>
      <c r="D239" s="1871"/>
      <c r="E239" s="1871"/>
      <c r="F239" s="1863">
        <v>0.05</v>
      </c>
    </row>
    <row r="240" spans="1:6" ht="24.75" thickBot="1">
      <c r="A240" s="1857" t="s">
        <v>1413</v>
      </c>
      <c r="B240" s="1861" t="s">
        <v>2170</v>
      </c>
      <c r="C240" s="1871"/>
      <c r="D240" s="1871"/>
      <c r="E240" s="1871"/>
      <c r="F240" s="1863">
        <v>0.05</v>
      </c>
    </row>
    <row r="241" spans="1:6" ht="24.75" thickBot="1">
      <c r="A241" s="1857" t="s">
        <v>1413</v>
      </c>
      <c r="B241" s="1861" t="s">
        <v>2171</v>
      </c>
      <c r="C241" s="1871"/>
      <c r="D241" s="1871"/>
      <c r="E241" s="1871"/>
      <c r="F241" s="1863">
        <v>0.05</v>
      </c>
    </row>
    <row r="242" spans="1:6" ht="24.75" thickBot="1">
      <c r="A242" s="1857" t="s">
        <v>1413</v>
      </c>
      <c r="B242" s="1861" t="s">
        <v>2172</v>
      </c>
      <c r="C242" s="1871"/>
      <c r="D242" s="1871"/>
      <c r="E242" s="1871"/>
      <c r="F242" s="1863">
        <v>0.05</v>
      </c>
    </row>
    <row r="243" spans="1:6" ht="24.75" thickBot="1">
      <c r="A243" s="1857" t="s">
        <v>1413</v>
      </c>
      <c r="B243" s="1861" t="s">
        <v>2173</v>
      </c>
      <c r="C243" s="1871"/>
      <c r="D243" s="1871"/>
      <c r="E243" s="1871"/>
      <c r="F243" s="1863">
        <v>0.05</v>
      </c>
    </row>
    <row r="244" spans="1:6" ht="24.75" thickBot="1">
      <c r="A244" s="1865" t="s">
        <v>1413</v>
      </c>
      <c r="B244" s="1872" t="s">
        <v>2174</v>
      </c>
      <c r="C244" s="1868"/>
      <c r="D244" s="1868"/>
      <c r="E244" s="1868"/>
      <c r="F244" s="1873">
        <v>0.05</v>
      </c>
    </row>
    <row r="245" spans="1:6" ht="14.25" thickBot="1">
      <c r="A245" s="1857" t="s">
        <v>1415</v>
      </c>
      <c r="B245" s="1858" t="s">
        <v>2175</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2176</v>
      </c>
      <c r="C247" s="1862">
        <v>0.15</v>
      </c>
      <c r="D247" s="1862">
        <v>0.15</v>
      </c>
      <c r="E247" s="1862">
        <v>0.15</v>
      </c>
      <c r="F247" s="1863">
        <v>0.15</v>
      </c>
    </row>
    <row r="248" spans="1:6" ht="14.25" thickBot="1">
      <c r="A248" s="1857" t="s">
        <v>1415</v>
      </c>
      <c r="B248" s="1861" t="s">
        <v>2177</v>
      </c>
      <c r="C248" s="1862">
        <v>0.15</v>
      </c>
      <c r="D248" s="1862">
        <v>0.15</v>
      </c>
      <c r="E248" s="1862">
        <v>0.15</v>
      </c>
      <c r="F248" s="1863">
        <v>0.14000000000000001</v>
      </c>
    </row>
    <row r="249" spans="1:6" ht="14.25" thickBot="1">
      <c r="A249" s="1857" t="s">
        <v>1415</v>
      </c>
      <c r="B249" s="1861" t="s">
        <v>2178</v>
      </c>
      <c r="C249" s="1862">
        <v>0.15</v>
      </c>
      <c r="D249" s="1862">
        <v>0.14899999999999999</v>
      </c>
      <c r="E249" s="1862">
        <v>0.15</v>
      </c>
      <c r="F249" s="1863">
        <v>0.1</v>
      </c>
    </row>
    <row r="250" spans="1:6" ht="14.25" thickBot="1">
      <c r="A250" s="1857" t="s">
        <v>1415</v>
      </c>
      <c r="B250" s="1861" t="s">
        <v>2179</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2180</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2181</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2182</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2183</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2184</v>
      </c>
      <c r="C273" s="1862">
        <v>0.14199999999999999</v>
      </c>
      <c r="D273" s="1862">
        <v>0.14299999999999999</v>
      </c>
      <c r="E273" s="1862">
        <v>0.15</v>
      </c>
      <c r="F273" s="1863">
        <v>0.1</v>
      </c>
    </row>
    <row r="274" spans="1:6" ht="14.25" thickBot="1">
      <c r="A274" s="1857" t="s">
        <v>1415</v>
      </c>
      <c r="B274" s="1861" t="s">
        <v>2185</v>
      </c>
      <c r="C274" s="1862">
        <v>0.14799999999999999</v>
      </c>
      <c r="D274" s="1862">
        <v>0.14799999999999999</v>
      </c>
      <c r="E274" s="1862">
        <v>0.15</v>
      </c>
      <c r="F274" s="1863">
        <v>6.7000000000000004E-2</v>
      </c>
    </row>
    <row r="275" spans="1:6" ht="14.25" thickBot="1">
      <c r="A275" s="1857" t="s">
        <v>1415</v>
      </c>
      <c r="B275" s="1861" t="s">
        <v>2186</v>
      </c>
      <c r="C275" s="1862">
        <v>0.15</v>
      </c>
      <c r="D275" s="1862">
        <v>0.15</v>
      </c>
      <c r="E275" s="1862">
        <v>0.15</v>
      </c>
      <c r="F275" s="1863">
        <v>0.15</v>
      </c>
    </row>
    <row r="276" spans="1:6" ht="14.25" thickBot="1">
      <c r="A276" s="1857" t="s">
        <v>1415</v>
      </c>
      <c r="B276" s="1861" t="s">
        <v>2187</v>
      </c>
      <c r="C276" s="1862">
        <v>0.14499999999999999</v>
      </c>
      <c r="D276" s="1862">
        <v>0.14299999999999999</v>
      </c>
      <c r="E276" s="1862">
        <v>0.15</v>
      </c>
      <c r="F276" s="1863">
        <v>5.8999999999999997E-2</v>
      </c>
    </row>
    <row r="277" spans="1:6" ht="14.25" thickBot="1">
      <c r="A277" s="1857" t="s">
        <v>1415</v>
      </c>
      <c r="B277" s="1861" t="s">
        <v>2188</v>
      </c>
      <c r="C277" s="1862">
        <v>0.15</v>
      </c>
      <c r="D277" s="1862">
        <v>0.15</v>
      </c>
      <c r="E277" s="1862">
        <v>0.15</v>
      </c>
      <c r="F277" s="1863">
        <v>0.121</v>
      </c>
    </row>
    <row r="278" spans="1:6" ht="14.25" thickBot="1">
      <c r="A278" s="1857" t="s">
        <v>1415</v>
      </c>
      <c r="B278" s="1861" t="s">
        <v>2189</v>
      </c>
      <c r="C278" s="1862">
        <v>0.15</v>
      </c>
      <c r="D278" s="1862">
        <v>0.15</v>
      </c>
      <c r="E278" s="1862">
        <v>0.15</v>
      </c>
      <c r="F278" s="1863">
        <v>0.13800000000000001</v>
      </c>
    </row>
    <row r="279" spans="1:6" ht="24.75" thickBot="1">
      <c r="A279" s="1857" t="s">
        <v>1415</v>
      </c>
      <c r="B279" s="1861" t="s">
        <v>2190</v>
      </c>
      <c r="C279" s="1871"/>
      <c r="D279" s="1871"/>
      <c r="E279" s="1871"/>
      <c r="F279" s="1863">
        <v>0.05</v>
      </c>
    </row>
    <row r="280" spans="1:6" ht="24.75" thickBot="1">
      <c r="A280" s="1857" t="s">
        <v>1415</v>
      </c>
      <c r="B280" s="1861" t="s">
        <v>2191</v>
      </c>
      <c r="C280" s="1871"/>
      <c r="D280" s="1871"/>
      <c r="E280" s="1871"/>
      <c r="F280" s="1863">
        <v>0.05</v>
      </c>
    </row>
    <row r="281" spans="1:6" ht="24.75" thickBot="1">
      <c r="A281" s="1857" t="s">
        <v>1415</v>
      </c>
      <c r="B281" s="1861" t="s">
        <v>2192</v>
      </c>
      <c r="C281" s="1871"/>
      <c r="D281" s="1871"/>
      <c r="E281" s="1871"/>
      <c r="F281" s="1863">
        <v>0.05</v>
      </c>
    </row>
    <row r="282" spans="1:6" ht="24.75" thickBot="1">
      <c r="A282" s="1857" t="s">
        <v>1415</v>
      </c>
      <c r="B282" s="1861" t="s">
        <v>2193</v>
      </c>
      <c r="C282" s="1871"/>
      <c r="D282" s="1871"/>
      <c r="E282" s="1871"/>
      <c r="F282" s="1863">
        <v>0.05</v>
      </c>
    </row>
    <row r="283" spans="1:6" ht="24.75" thickBot="1">
      <c r="A283" s="1857" t="s">
        <v>1415</v>
      </c>
      <c r="B283" s="1861" t="s">
        <v>2194</v>
      </c>
      <c r="C283" s="1871"/>
      <c r="D283" s="1871"/>
      <c r="E283" s="1871"/>
      <c r="F283" s="1863">
        <v>0.05</v>
      </c>
    </row>
    <row r="284" spans="1:6" ht="24.75" thickBot="1">
      <c r="A284" s="1857" t="s">
        <v>1415</v>
      </c>
      <c r="B284" s="1861" t="s">
        <v>2195</v>
      </c>
      <c r="C284" s="1871"/>
      <c r="D284" s="1871"/>
      <c r="E284" s="1871"/>
      <c r="F284" s="1863">
        <v>0.05</v>
      </c>
    </row>
    <row r="285" spans="1:6" ht="24.75" thickBot="1">
      <c r="A285" s="1857" t="s">
        <v>1415</v>
      </c>
      <c r="B285" s="1861" t="s">
        <v>2196</v>
      </c>
      <c r="C285" s="1871"/>
      <c r="D285" s="1871"/>
      <c r="E285" s="1871"/>
      <c r="F285" s="1863">
        <v>0.05</v>
      </c>
    </row>
    <row r="286" spans="1:6" ht="24.75" thickBot="1">
      <c r="A286" s="1857" t="s">
        <v>1415</v>
      </c>
      <c r="B286" s="1861" t="s">
        <v>2197</v>
      </c>
      <c r="C286" s="1871"/>
      <c r="D286" s="1871"/>
      <c r="E286" s="1871"/>
      <c r="F286" s="1863">
        <v>0.05</v>
      </c>
    </row>
    <row r="287" spans="1:6" ht="24.75" thickBot="1">
      <c r="A287" s="1857" t="s">
        <v>1415</v>
      </c>
      <c r="B287" s="1861" t="s">
        <v>2198</v>
      </c>
      <c r="C287" s="1871"/>
      <c r="D287" s="1871"/>
      <c r="E287" s="1871"/>
      <c r="F287" s="1863">
        <v>0.05</v>
      </c>
    </row>
    <row r="288" spans="1:6" ht="24.75" thickBot="1">
      <c r="A288" s="1857" t="s">
        <v>1415</v>
      </c>
      <c r="B288" s="1861" t="s">
        <v>2199</v>
      </c>
      <c r="C288" s="1871"/>
      <c r="D288" s="1871"/>
      <c r="E288" s="1871"/>
      <c r="F288" s="1863">
        <v>0.05</v>
      </c>
    </row>
    <row r="289" spans="1:6" ht="24.75" thickBot="1">
      <c r="A289" s="1865" t="s">
        <v>1415</v>
      </c>
      <c r="B289" s="1872" t="s">
        <v>2200</v>
      </c>
      <c r="C289" s="1868"/>
      <c r="D289" s="1868"/>
      <c r="E289" s="1868"/>
      <c r="F289" s="1873">
        <v>0.05</v>
      </c>
    </row>
    <row r="290" spans="1:6" ht="14.25" thickBot="1">
      <c r="A290" s="1857" t="s">
        <v>1419</v>
      </c>
      <c r="B290" s="1858" t="s">
        <v>2201</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2202</v>
      </c>
      <c r="C292" s="1862">
        <v>0.15</v>
      </c>
      <c r="D292" s="1862">
        <v>0.15</v>
      </c>
      <c r="E292" s="1862">
        <v>0.15</v>
      </c>
      <c r="F292" s="1863">
        <v>0.14699999999999999</v>
      </c>
    </row>
    <row r="293" spans="1:6" ht="14.25" thickBot="1">
      <c r="A293" s="1857" t="s">
        <v>1419</v>
      </c>
      <c r="B293" s="1861" t="s">
        <v>2203</v>
      </c>
      <c r="C293" s="1871"/>
      <c r="D293" s="1871"/>
      <c r="E293" s="1871"/>
      <c r="F293" s="1863">
        <v>0.1</v>
      </c>
    </row>
    <row r="294" spans="1:6" ht="14.25" thickBot="1">
      <c r="A294" s="1857" t="s">
        <v>1419</v>
      </c>
      <c r="B294" s="1861" t="s">
        <v>2204</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2205</v>
      </c>
      <c r="C296" s="1862">
        <v>0.15</v>
      </c>
      <c r="D296" s="1862">
        <v>0.15</v>
      </c>
      <c r="E296" s="1862">
        <v>0.15</v>
      </c>
      <c r="F296" s="1863">
        <v>0.15</v>
      </c>
    </row>
    <row r="297" spans="1:6" ht="14.25" thickBot="1">
      <c r="A297" s="1857" t="s">
        <v>1419</v>
      </c>
      <c r="B297" s="1861" t="s">
        <v>2206</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2207</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2208</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2209</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2210</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2211</v>
      </c>
      <c r="C310" s="1862">
        <v>0.15</v>
      </c>
      <c r="D310" s="1862">
        <v>0.15</v>
      </c>
      <c r="E310" s="1862">
        <v>0.15</v>
      </c>
      <c r="F310" s="1863">
        <v>0.13700000000000001</v>
      </c>
    </row>
    <row r="311" spans="1:6" ht="14.25" thickBot="1">
      <c r="A311" s="1857" t="s">
        <v>1419</v>
      </c>
      <c r="B311" s="1861" t="s">
        <v>2212</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2213</v>
      </c>
      <c r="C313" s="1862">
        <v>0.15</v>
      </c>
      <c r="D313" s="1862">
        <v>0.15</v>
      </c>
      <c r="E313" s="1862">
        <v>0.15</v>
      </c>
      <c r="F313" s="1863">
        <v>0.15</v>
      </c>
    </row>
    <row r="314" spans="1:6" ht="24.75" thickBot="1">
      <c r="A314" s="1857" t="s">
        <v>1419</v>
      </c>
      <c r="B314" s="1861" t="s">
        <v>2214</v>
      </c>
      <c r="C314" s="1871"/>
      <c r="D314" s="1871"/>
      <c r="E314" s="1871"/>
      <c r="F314" s="1863">
        <v>0.05</v>
      </c>
    </row>
    <row r="315" spans="1:6" ht="24.75" thickBot="1">
      <c r="A315" s="1857" t="s">
        <v>1419</v>
      </c>
      <c r="B315" s="1861" t="s">
        <v>2215</v>
      </c>
      <c r="C315" s="1871"/>
      <c r="D315" s="1871"/>
      <c r="E315" s="1871"/>
      <c r="F315" s="1863">
        <v>0.05</v>
      </c>
    </row>
    <row r="316" spans="1:6" ht="24.75" thickBot="1">
      <c r="A316" s="1865" t="s">
        <v>1419</v>
      </c>
      <c r="B316" s="1872" t="s">
        <v>2216</v>
      </c>
      <c r="C316" s="1868"/>
      <c r="D316" s="1868"/>
      <c r="E316" s="1868"/>
      <c r="F316" s="1873">
        <v>0.05</v>
      </c>
    </row>
    <row r="317" spans="1:6" ht="14.25" thickBot="1">
      <c r="A317" s="1857" t="s">
        <v>2217</v>
      </c>
      <c r="B317" s="1858" t="s">
        <v>2218</v>
      </c>
      <c r="C317" s="1859">
        <v>0.15</v>
      </c>
      <c r="D317" s="1859">
        <v>0.15</v>
      </c>
      <c r="E317" s="1859">
        <v>0.15</v>
      </c>
      <c r="F317" s="1860">
        <v>0.15</v>
      </c>
    </row>
    <row r="318" spans="1:6" ht="14.25" thickBot="1">
      <c r="A318" s="1857" t="s">
        <v>2217</v>
      </c>
      <c r="B318" s="1861" t="s">
        <v>2219</v>
      </c>
      <c r="C318" s="1862">
        <v>0.107</v>
      </c>
      <c r="D318" s="1862">
        <v>0.11</v>
      </c>
      <c r="E318" s="1862">
        <v>0.112</v>
      </c>
      <c r="F318" s="1870"/>
    </row>
    <row r="319" spans="1:6" ht="14.25" thickBot="1">
      <c r="A319" s="1857" t="s">
        <v>2217</v>
      </c>
      <c r="B319" s="1861" t="s">
        <v>2220</v>
      </c>
      <c r="C319" s="1862">
        <v>0.15</v>
      </c>
      <c r="D319" s="1862">
        <v>0.15</v>
      </c>
      <c r="E319" s="1862">
        <v>0.15</v>
      </c>
      <c r="F319" s="1863">
        <v>0.15</v>
      </c>
    </row>
    <row r="320" spans="1:6" ht="14.25" thickBot="1">
      <c r="A320" s="1857" t="s">
        <v>2217</v>
      </c>
      <c r="B320" s="1861" t="s">
        <v>1107</v>
      </c>
      <c r="C320" s="1862">
        <v>0.15</v>
      </c>
      <c r="D320" s="1862">
        <v>0.15</v>
      </c>
      <c r="E320" s="1862">
        <v>0.15</v>
      </c>
      <c r="F320" s="1870"/>
    </row>
    <row r="321" spans="1:6" ht="14.25" thickBot="1">
      <c r="A321" s="1857" t="s">
        <v>2217</v>
      </c>
      <c r="B321" s="1861" t="s">
        <v>2221</v>
      </c>
      <c r="C321" s="1862">
        <v>0.15</v>
      </c>
      <c r="D321" s="1862">
        <v>0.15</v>
      </c>
      <c r="E321" s="1862">
        <v>0.15</v>
      </c>
      <c r="F321" s="1870"/>
    </row>
    <row r="322" spans="1:6" ht="14.25" thickBot="1">
      <c r="A322" s="1857" t="s">
        <v>2217</v>
      </c>
      <c r="B322" s="1861" t="s">
        <v>2222</v>
      </c>
      <c r="C322" s="1862">
        <v>0.15</v>
      </c>
      <c r="D322" s="1862">
        <v>0.15</v>
      </c>
      <c r="E322" s="1862">
        <v>0.15</v>
      </c>
      <c r="F322" s="1863">
        <v>0.15</v>
      </c>
    </row>
    <row r="323" spans="1:6" ht="14.25" thickBot="1">
      <c r="A323" s="1857" t="s">
        <v>2217</v>
      </c>
      <c r="B323" s="1861" t="s">
        <v>2223</v>
      </c>
      <c r="C323" s="1862">
        <v>0.15</v>
      </c>
      <c r="D323" s="1862">
        <v>0.15</v>
      </c>
      <c r="E323" s="1862">
        <v>0.15</v>
      </c>
      <c r="F323" s="1870"/>
    </row>
    <row r="324" spans="1:6" ht="14.25" thickBot="1">
      <c r="A324" s="1857" t="s">
        <v>2217</v>
      </c>
      <c r="B324" s="1861" t="s">
        <v>2224</v>
      </c>
      <c r="C324" s="1862">
        <v>0.15</v>
      </c>
      <c r="D324" s="1862">
        <v>0.15</v>
      </c>
      <c r="E324" s="1862">
        <v>0.15</v>
      </c>
      <c r="F324" s="1870"/>
    </row>
    <row r="325" spans="1:6" ht="14.25" thickBot="1">
      <c r="A325" s="1857" t="s">
        <v>2217</v>
      </c>
      <c r="B325" s="1861" t="s">
        <v>2225</v>
      </c>
      <c r="C325" s="1862">
        <v>0.15</v>
      </c>
      <c r="D325" s="1862">
        <v>0.15</v>
      </c>
      <c r="E325" s="1862">
        <v>0.15</v>
      </c>
      <c r="F325" s="1863">
        <v>0.14699999999999999</v>
      </c>
    </row>
    <row r="326" spans="1:6" ht="14.25" thickBot="1">
      <c r="A326" s="1857" t="s">
        <v>2217</v>
      </c>
      <c r="B326" s="1861" t="s">
        <v>1176</v>
      </c>
      <c r="C326" s="1862">
        <v>0.15</v>
      </c>
      <c r="D326" s="1862">
        <v>0.15</v>
      </c>
      <c r="E326" s="1862">
        <v>0.15</v>
      </c>
      <c r="F326" s="1870"/>
    </row>
    <row r="327" spans="1:6" ht="14.25" thickBot="1">
      <c r="A327" s="1857" t="s">
        <v>2217</v>
      </c>
      <c r="B327" s="1861" t="s">
        <v>2226</v>
      </c>
      <c r="C327" s="1862">
        <v>0.15</v>
      </c>
      <c r="D327" s="1862">
        <v>0.15</v>
      </c>
      <c r="E327" s="1862">
        <v>0.15</v>
      </c>
      <c r="F327" s="1863">
        <v>0.15</v>
      </c>
    </row>
    <row r="328" spans="1:6" ht="14.25" thickBot="1">
      <c r="A328" s="1857" t="s">
        <v>2217</v>
      </c>
      <c r="B328" s="1861" t="s">
        <v>1196</v>
      </c>
      <c r="C328" s="1862">
        <v>0.15</v>
      </c>
      <c r="D328" s="1862">
        <v>0.15</v>
      </c>
      <c r="E328" s="1862">
        <v>0.15</v>
      </c>
      <c r="F328" s="1863">
        <v>0.14099999999999999</v>
      </c>
    </row>
    <row r="329" spans="1:6" ht="14.25" thickBot="1">
      <c r="A329" s="1857" t="s">
        <v>2217</v>
      </c>
      <c r="B329" s="1861" t="s">
        <v>1206</v>
      </c>
      <c r="C329" s="1862">
        <v>0.15</v>
      </c>
      <c r="D329" s="1862">
        <v>0.15</v>
      </c>
      <c r="E329" s="1862">
        <v>0.15</v>
      </c>
      <c r="F329" s="1863">
        <v>0.15</v>
      </c>
    </row>
    <row r="330" spans="1:6" ht="14.25" thickBot="1">
      <c r="A330" s="1857" t="s">
        <v>2217</v>
      </c>
      <c r="B330" s="1861" t="s">
        <v>1216</v>
      </c>
      <c r="C330" s="1862">
        <v>0.15</v>
      </c>
      <c r="D330" s="1862">
        <v>0.15</v>
      </c>
      <c r="E330" s="1862">
        <v>0.15</v>
      </c>
      <c r="F330" s="1870"/>
    </row>
    <row r="331" spans="1:6" ht="14.25" thickBot="1">
      <c r="A331" s="1857" t="s">
        <v>2217</v>
      </c>
      <c r="B331" s="1861" t="s">
        <v>2227</v>
      </c>
      <c r="C331" s="1862">
        <v>0.15</v>
      </c>
      <c r="D331" s="1862">
        <v>0.15</v>
      </c>
      <c r="E331" s="1862">
        <v>0.15</v>
      </c>
      <c r="F331" s="1863">
        <v>0.15</v>
      </c>
    </row>
    <row r="332" spans="1:6" ht="14.25" thickBot="1">
      <c r="A332" s="1857" t="s">
        <v>2217</v>
      </c>
      <c r="B332" s="1861" t="s">
        <v>1236</v>
      </c>
      <c r="C332" s="1862">
        <v>0.15</v>
      </c>
      <c r="D332" s="1862">
        <v>0.15</v>
      </c>
      <c r="E332" s="1862">
        <v>0.15</v>
      </c>
      <c r="F332" s="1863">
        <v>0.15</v>
      </c>
    </row>
    <row r="333" spans="1:6" ht="14.25" thickBot="1">
      <c r="A333" s="1857" t="s">
        <v>2217</v>
      </c>
      <c r="B333" s="1861" t="s">
        <v>2228</v>
      </c>
      <c r="C333" s="1862">
        <v>0.15</v>
      </c>
      <c r="D333" s="1862">
        <v>0.15</v>
      </c>
      <c r="E333" s="1862">
        <v>0.15</v>
      </c>
      <c r="F333" s="1863">
        <v>0.14099999999999999</v>
      </c>
    </row>
    <row r="334" spans="1:6" ht="14.25" thickBot="1">
      <c r="A334" s="1857" t="s">
        <v>2217</v>
      </c>
      <c r="B334" s="1861" t="s">
        <v>1256</v>
      </c>
      <c r="C334" s="1862">
        <v>0.15</v>
      </c>
      <c r="D334" s="1862">
        <v>0.15</v>
      </c>
      <c r="E334" s="1862">
        <v>0.15</v>
      </c>
      <c r="F334" s="1863">
        <v>0.15</v>
      </c>
    </row>
    <row r="335" spans="1:6" ht="14.25" thickBot="1">
      <c r="A335" s="1857" t="s">
        <v>2217</v>
      </c>
      <c r="B335" s="1861" t="s">
        <v>1266</v>
      </c>
      <c r="C335" s="1862">
        <v>0.15</v>
      </c>
      <c r="D335" s="1862">
        <v>0.15</v>
      </c>
      <c r="E335" s="1862">
        <v>0.15</v>
      </c>
      <c r="F335" s="1870"/>
    </row>
    <row r="336" spans="1:6" ht="14.25" thickBot="1">
      <c r="A336" s="1857" t="s">
        <v>2217</v>
      </c>
      <c r="B336" s="1861" t="s">
        <v>2229</v>
      </c>
      <c r="C336" s="1862">
        <v>0.15</v>
      </c>
      <c r="D336" s="1862">
        <v>0.15</v>
      </c>
      <c r="E336" s="1862">
        <v>0.15</v>
      </c>
      <c r="F336" s="1863">
        <v>0.11799999999999999</v>
      </c>
    </row>
    <row r="337" spans="1:6" ht="14.25" thickBot="1">
      <c r="A337" s="1865" t="s">
        <v>2217</v>
      </c>
      <c r="B337" s="1872" t="s">
        <v>1284</v>
      </c>
      <c r="C337" s="1868"/>
      <c r="D337" s="1868"/>
      <c r="E337" s="1868"/>
      <c r="F337" s="1873">
        <v>0.14299999999999999</v>
      </c>
    </row>
    <row r="338" spans="1:6" ht="14.25" thickBot="1">
      <c r="A338" s="1857" t="s">
        <v>2230</v>
      </c>
      <c r="B338" s="1858" t="s">
        <v>2231</v>
      </c>
      <c r="C338" s="1859">
        <v>0.15</v>
      </c>
      <c r="D338" s="1859">
        <v>0.15</v>
      </c>
      <c r="E338" s="1859">
        <v>0.15</v>
      </c>
      <c r="F338" s="1881"/>
    </row>
    <row r="339" spans="1:6" ht="14.25" thickBot="1">
      <c r="A339" s="1857" t="s">
        <v>2230</v>
      </c>
      <c r="B339" s="1861" t="s">
        <v>2232</v>
      </c>
      <c r="C339" s="1862">
        <v>0.15</v>
      </c>
      <c r="D339" s="1862">
        <v>0.15</v>
      </c>
      <c r="E339" s="1862">
        <v>0.15</v>
      </c>
      <c r="F339" s="1870"/>
    </row>
    <row r="340" spans="1:6" ht="14.25" thickBot="1">
      <c r="A340" s="1857" t="s">
        <v>2230</v>
      </c>
      <c r="B340" s="1861" t="s">
        <v>2233</v>
      </c>
      <c r="C340" s="1862">
        <v>0.15</v>
      </c>
      <c r="D340" s="1862">
        <v>0.15</v>
      </c>
      <c r="E340" s="1862">
        <v>0.15</v>
      </c>
      <c r="F340" s="1870"/>
    </row>
    <row r="341" spans="1:6" ht="14.25" thickBot="1">
      <c r="A341" s="1857" t="s">
        <v>2234</v>
      </c>
      <c r="B341" s="1861" t="s">
        <v>2235</v>
      </c>
      <c r="C341" s="1862">
        <v>0.15</v>
      </c>
      <c r="D341" s="1862">
        <v>0.15</v>
      </c>
      <c r="E341" s="1862">
        <v>0.15</v>
      </c>
      <c r="F341" s="1863">
        <v>0.15</v>
      </c>
    </row>
    <row r="342" spans="1:6" ht="14.25" thickBot="1">
      <c r="A342" s="1857" t="s">
        <v>2230</v>
      </c>
      <c r="B342" s="1861" t="s">
        <v>2236</v>
      </c>
      <c r="C342" s="1862">
        <v>0.15</v>
      </c>
      <c r="D342" s="1862">
        <v>0.15</v>
      </c>
      <c r="E342" s="1862">
        <v>0.15</v>
      </c>
      <c r="F342" s="1863">
        <v>0.15</v>
      </c>
    </row>
    <row r="343" spans="1:6" ht="14.25" thickBot="1">
      <c r="A343" s="1857" t="s">
        <v>2230</v>
      </c>
      <c r="B343" s="1861" t="s">
        <v>2237</v>
      </c>
      <c r="C343" s="1862">
        <v>0.15</v>
      </c>
      <c r="D343" s="1862">
        <v>0.15</v>
      </c>
      <c r="E343" s="1862">
        <v>0.15</v>
      </c>
      <c r="F343" s="1863">
        <v>0.15</v>
      </c>
    </row>
    <row r="344" spans="1:6" ht="14.25" thickBot="1">
      <c r="A344" s="1865" t="s">
        <v>2230</v>
      </c>
      <c r="B344" s="1872" t="s">
        <v>2238</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3" sqref="F3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2947</v>
      </c>
      <c r="B1" s="3106"/>
      <c r="C1" s="3106"/>
      <c r="D1" s="3106"/>
      <c r="E1" s="3106"/>
      <c r="F1" s="3106"/>
    </row>
    <row r="2" spans="1:6" ht="14.25">
      <c r="A2" s="3107" t="s">
        <v>2942</v>
      </c>
      <c r="B2" s="3108" t="e">
        <f ca="1">SUMIF(B7:B14,"&lt;&gt;#ref!",B7:B14)</f>
        <v>#DIV/0!</v>
      </c>
      <c r="C2" s="3107" t="s">
        <v>2943</v>
      </c>
      <c r="D2" s="3106"/>
      <c r="E2" s="3106"/>
      <c r="F2" s="3106"/>
    </row>
    <row r="3" spans="1:6" ht="14.25">
      <c r="A3" s="3107" t="s">
        <v>2975</v>
      </c>
      <c r="B3" s="3108" t="e">
        <f ca="1">ROUND(B2*10000/E3,0)</f>
        <v>#DIV/0!</v>
      </c>
      <c r="C3" s="3107" t="s">
        <v>2079</v>
      </c>
      <c r="D3" s="3107" t="s">
        <v>2944</v>
      </c>
      <c r="E3" s="3108">
        <f ca="1">SUMIF(E7:E14,"&lt;&gt;#ref!",E7:E14)</f>
        <v>0</v>
      </c>
      <c r="F3" s="3106"/>
    </row>
    <row r="4" spans="1:6" ht="14.25">
      <c r="A4" s="3107" t="s">
        <v>2951</v>
      </c>
      <c r="B4" s="3108" t="e">
        <f ca="1">ROUND(B2*10000/E4,0)</f>
        <v>#DIV/0!</v>
      </c>
      <c r="C4" s="3107" t="s">
        <v>2079</v>
      </c>
      <c r="D4" s="3107" t="s">
        <v>2952</v>
      </c>
      <c r="E4" s="3108">
        <f ca="1">SUMIF(F7:F14,"&lt;&gt;#ref!",F7:F14)</f>
        <v>0</v>
      </c>
      <c r="F4" s="3106"/>
    </row>
    <row r="5" spans="1:6" ht="14.25">
      <c r="A5" s="3109"/>
      <c r="B5" s="1883"/>
      <c r="C5" s="1883"/>
      <c r="D5" s="1883"/>
      <c r="E5" s="1883"/>
      <c r="F5" s="3106"/>
    </row>
    <row r="6" spans="1:6" ht="28.5">
      <c r="A6" s="3110" t="s">
        <v>2948</v>
      </c>
      <c r="B6" s="3107" t="s">
        <v>2945</v>
      </c>
      <c r="C6" s="3108"/>
      <c r="D6" s="1883"/>
      <c r="E6" s="3107" t="s">
        <v>2946</v>
      </c>
      <c r="F6" s="3107" t="s">
        <v>2950</v>
      </c>
    </row>
    <row r="7" spans="1:6" ht="14.25">
      <c r="A7" s="260" t="s">
        <v>2949</v>
      </c>
      <c r="B7" s="3111" t="e">
        <f ca="1">SUMIF(INDIRECT("'"&amp;A7&amp;"'"&amp;"!A:A"),"总价",INDIRECT("'"&amp;A7&amp;"'"&amp;"!B:B"))</f>
        <v>#DIV/0!</v>
      </c>
      <c r="C7" s="3107" t="s">
        <v>2943</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2943</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2943</v>
      </c>
      <c r="D9" s="1883"/>
      <c r="E9" s="3112" t="e">
        <f t="shared" ca="1" si="1"/>
        <v>#REF!</v>
      </c>
      <c r="F9" s="3112" t="e">
        <f t="shared" ca="1" si="2"/>
        <v>#REF!</v>
      </c>
    </row>
    <row r="10" spans="1:6" ht="14.25">
      <c r="A10" s="260"/>
      <c r="B10" s="3111" t="e">
        <f t="shared" ca="1" si="0"/>
        <v>#REF!</v>
      </c>
      <c r="C10" s="3107" t="s">
        <v>2943</v>
      </c>
      <c r="D10" s="1883"/>
      <c r="E10" s="3112" t="e">
        <f t="shared" ca="1" si="1"/>
        <v>#REF!</v>
      </c>
      <c r="F10" s="3112" t="e">
        <f t="shared" ca="1" si="2"/>
        <v>#REF!</v>
      </c>
    </row>
    <row r="11" spans="1:6" ht="14.25">
      <c r="A11" s="260"/>
      <c r="B11" s="3111" t="e">
        <f t="shared" ca="1" si="0"/>
        <v>#REF!</v>
      </c>
      <c r="C11" s="3107" t="s">
        <v>2943</v>
      </c>
      <c r="D11" s="1883"/>
      <c r="E11" s="3112" t="e">
        <f t="shared" ca="1" si="1"/>
        <v>#REF!</v>
      </c>
      <c r="F11" s="3112" t="e">
        <f t="shared" ca="1" si="2"/>
        <v>#REF!</v>
      </c>
    </row>
    <row r="12" spans="1:6" ht="14.25">
      <c r="A12" s="260"/>
      <c r="B12" s="3111" t="e">
        <f t="shared" ca="1" si="0"/>
        <v>#REF!</v>
      </c>
      <c r="C12" s="3107" t="s">
        <v>2943</v>
      </c>
      <c r="D12" s="1883"/>
      <c r="E12" s="3112" t="e">
        <f t="shared" ca="1" si="1"/>
        <v>#REF!</v>
      </c>
      <c r="F12" s="3112" t="e">
        <f t="shared" ca="1" si="2"/>
        <v>#REF!</v>
      </c>
    </row>
    <row r="13" spans="1:6" ht="14.25">
      <c r="A13" s="260"/>
      <c r="B13" s="3111" t="e">
        <f t="shared" ca="1" si="0"/>
        <v>#REF!</v>
      </c>
      <c r="C13" s="3107" t="s">
        <v>2943</v>
      </c>
      <c r="D13" s="1883"/>
      <c r="E13" s="3112" t="e">
        <f t="shared" ca="1" si="1"/>
        <v>#REF!</v>
      </c>
      <c r="F13" s="3112" t="e">
        <f t="shared" ca="1" si="2"/>
        <v>#REF!</v>
      </c>
    </row>
    <row r="14" spans="1:6" ht="14.25">
      <c r="A14" s="3105"/>
      <c r="B14" s="3111" t="e">
        <f t="shared" ca="1" si="0"/>
        <v>#REF!</v>
      </c>
      <c r="C14" s="3107" t="s">
        <v>2943</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workbookViewId="0">
      <selection activeCell="H35" sqref="H35"/>
    </sheetView>
  </sheetViews>
  <sheetFormatPr defaultColWidth="9"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t="s">
        <v>3034</v>
      </c>
      <c r="D1" s="2052"/>
      <c r="E1" s="2389" t="s">
        <v>2374</v>
      </c>
      <c r="F1" s="2390" t="e">
        <f ca="1">J54</f>
        <v>#N/A</v>
      </c>
      <c r="G1" s="774" t="e">
        <f>MATCH(C1,'数据-取费表'!A6:A16,0)+5</f>
        <v>#N/A</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1685</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2456</v>
      </c>
      <c r="C7" s="53" t="e">
        <f ca="1">C8+C12+C14</f>
        <v>#N/A</v>
      </c>
      <c r="D7" s="2498" t="s">
        <v>2459</v>
      </c>
      <c r="E7" s="2492"/>
      <c r="F7" s="2493"/>
      <c r="G7" s="1593"/>
      <c r="H7" s="781">
        <v>1</v>
      </c>
      <c r="I7" s="782" t="s">
        <v>2456</v>
      </c>
      <c r="J7" s="53" t="e">
        <f ca="1">J8+J12+J14</f>
        <v>#N/A</v>
      </c>
      <c r="K7" s="2498" t="s">
        <v>2459</v>
      </c>
      <c r="L7" s="2492"/>
      <c r="M7" s="2493"/>
    </row>
    <row r="8" spans="1:25" ht="18" customHeight="1">
      <c r="A8" s="1832" t="s">
        <v>1823</v>
      </c>
      <c r="B8" s="3453" t="s">
        <v>2461</v>
      </c>
      <c r="C8" s="1827" t="e">
        <f ca="1">ROUND(F8*F10*F9*(1-F11)/10000,0)</f>
        <v>#N/A</v>
      </c>
      <c r="D8" s="1824" t="s">
        <v>2532</v>
      </c>
      <c r="E8" s="61" t="s">
        <v>636</v>
      </c>
      <c r="F8" s="785" t="e">
        <f ca="1">INDIRECT("'数据-取费表'!u"&amp;$G$1)</f>
        <v>#N/A</v>
      </c>
      <c r="G8" s="1593"/>
      <c r="H8" s="2506" t="s">
        <v>1823</v>
      </c>
      <c r="I8" s="3453" t="s">
        <v>2461</v>
      </c>
      <c r="J8" s="783" t="e">
        <f ca="1">ROUND(M8*M10*M9*(1-M11)/10000,0)</f>
        <v>#N/A</v>
      </c>
      <c r="K8" s="341" t="s">
        <v>2532</v>
      </c>
      <c r="L8" s="784" t="s">
        <v>1737</v>
      </c>
      <c r="M8" s="785" t="e">
        <f ca="1">INDIRECT("'数据-取费表'!z"&amp;$G$1)</f>
        <v>#N/A</v>
      </c>
    </row>
    <row r="9" spans="1:25" ht="18" customHeight="1">
      <c r="A9" s="2502"/>
      <c r="B9" s="3454"/>
      <c r="C9" s="1828"/>
      <c r="D9" s="1825"/>
      <c r="E9" s="61" t="s">
        <v>637</v>
      </c>
      <c r="F9" s="785" t="e">
        <f ca="1">IF(INDIRECT("'数据-取费表'!ah"&amp;$G$1)="",INDIRECT("'数据-取费表'!k"&amp;$G$1),INDIRECT("'数据-取费表'!ah"&amp;$G$1))</f>
        <v>#N/A</v>
      </c>
      <c r="G9" s="1593"/>
      <c r="H9" s="2491"/>
      <c r="I9" s="3454"/>
      <c r="J9" s="788"/>
      <c r="K9" s="789"/>
      <c r="L9" s="784" t="s">
        <v>1738</v>
      </c>
      <c r="M9" s="785" t="e">
        <f ca="1">F9</f>
        <v>#N/A</v>
      </c>
    </row>
    <row r="10" spans="1:25" ht="18" customHeight="1">
      <c r="A10" s="2495"/>
      <c r="B10" s="3455"/>
      <c r="C10" s="1828"/>
      <c r="D10" s="1825"/>
      <c r="E10" s="61" t="s">
        <v>638</v>
      </c>
      <c r="F10" s="785" t="e">
        <f ca="1">INDIRECT("'数据-取费表'!ai"&amp;$G$1)</f>
        <v>#N/A</v>
      </c>
      <c r="G10" s="1593"/>
      <c r="H10" s="2491"/>
      <c r="I10" s="3455"/>
      <c r="J10" s="788"/>
      <c r="K10" s="789"/>
      <c r="L10" s="784" t="s">
        <v>1739</v>
      </c>
      <c r="M10" s="785" t="e">
        <f ca="1">INDIRECT("'数据-取费表'!ai"&amp;$G$1)</f>
        <v>#N/A</v>
      </c>
    </row>
    <row r="11" spans="1:25" ht="18" customHeight="1">
      <c r="A11" s="786"/>
      <c r="B11" s="3456"/>
      <c r="C11" s="1828"/>
      <c r="D11" s="1825"/>
      <c r="E11" s="61" t="s">
        <v>639</v>
      </c>
      <c r="F11" s="794" t="e">
        <f ca="1">INDIRECT("'数据-取费表'!w"&amp;$G$1)</f>
        <v>#N/A</v>
      </c>
      <c r="G11" s="1593"/>
      <c r="H11" s="2507"/>
      <c r="I11" s="3455"/>
      <c r="J11" s="788"/>
      <c r="K11" s="789"/>
      <c r="L11" s="795" t="s">
        <v>1740</v>
      </c>
      <c r="M11" s="796" t="e">
        <f ca="1">INDIRECT("'数据-取费表'!ab"&amp;$G$1)</f>
        <v>#N/A</v>
      </c>
    </row>
    <row r="12" spans="1:25" ht="18" customHeight="1">
      <c r="A12" s="1832" t="s">
        <v>1824</v>
      </c>
      <c r="B12" s="2496" t="s">
        <v>2457</v>
      </c>
      <c r="C12" s="799" t="e">
        <f ca="1">ROUND(IF(F12="押一",C8/12*F13,IF(F12="押二",C8/12*2*F13,IF(F12="押三",C8/12*3*F13,C13*F13))),0)</f>
        <v>#N/A</v>
      </c>
      <c r="D12" s="2503" t="s">
        <v>2971</v>
      </c>
      <c r="E12" s="2500" t="s">
        <v>2462</v>
      </c>
      <c r="F12" s="2623" t="s">
        <v>3035</v>
      </c>
      <c r="G12" s="1593"/>
      <c r="H12" s="2563" t="s">
        <v>1824</v>
      </c>
      <c r="I12" s="2568" t="s">
        <v>2457</v>
      </c>
      <c r="J12" s="783">
        <f ca="1">ROUND(IF(M12="押一",J8/12*M13,IF(M12="押二",J8/12*2*M13,IF(M12="押三",J8/12*3*M13,J13*M13))),0)</f>
        <v>0</v>
      </c>
      <c r="K12" s="2503" t="s">
        <v>2971</v>
      </c>
      <c r="L12" s="2500" t="s">
        <v>2462</v>
      </c>
      <c r="M12" s="2623"/>
    </row>
    <row r="13" spans="1:25" ht="18" customHeight="1">
      <c r="A13" s="790"/>
      <c r="B13" s="2497" t="s">
        <v>2571</v>
      </c>
      <c r="C13" s="2501"/>
      <c r="D13" s="789"/>
      <c r="E13" s="2500" t="s">
        <v>2454</v>
      </c>
      <c r="F13" s="796">
        <f ca="1">'数据-取费表'!B39</f>
        <v>1.4999999999999999E-2</v>
      </c>
      <c r="G13" s="1593"/>
      <c r="H13" s="2564"/>
      <c r="I13" s="2497" t="s">
        <v>2571</v>
      </c>
      <c r="J13" s="2501"/>
      <c r="K13" s="2565"/>
      <c r="L13" s="2500" t="s">
        <v>2454</v>
      </c>
      <c r="M13" s="2494">
        <f ca="1">'数据-取费表'!B39</f>
        <v>1.4999999999999999E-2</v>
      </c>
    </row>
    <row r="14" spans="1:25" ht="18" customHeight="1" thickBot="1">
      <c r="A14" s="2539" t="s">
        <v>2465</v>
      </c>
      <c r="B14" s="2540" t="s">
        <v>2458</v>
      </c>
      <c r="C14" s="2541"/>
      <c r="D14" s="2542"/>
      <c r="E14" s="2543"/>
      <c r="F14" s="2544"/>
      <c r="G14" s="1593"/>
      <c r="H14" s="2553" t="s">
        <v>2465</v>
      </c>
      <c r="I14" s="2566" t="s">
        <v>2458</v>
      </c>
      <c r="J14" s="2567"/>
      <c r="K14" s="2542"/>
      <c r="L14" s="2543"/>
      <c r="M14" s="2556"/>
    </row>
    <row r="15" spans="1:25" ht="18" customHeight="1" thickTop="1">
      <c r="A15" s="1831" t="s">
        <v>1873</v>
      </c>
      <c r="B15" s="1829" t="s">
        <v>640</v>
      </c>
      <c r="C15" s="792" t="e">
        <f ca="1">ROUND(C31*F15,0)</f>
        <v>#N/A</v>
      </c>
      <c r="D15" s="1836" t="s">
        <v>641</v>
      </c>
      <c r="E15" s="795" t="s">
        <v>642</v>
      </c>
      <c r="F15" s="800" t="e">
        <f ca="1">INDIRECT("'数据-取费表'!y"&amp;$G$1)</f>
        <v>#N/A</v>
      </c>
      <c r="G15" s="1593"/>
      <c r="H15" s="1831" t="s">
        <v>1825</v>
      </c>
      <c r="I15" s="1829" t="s">
        <v>643</v>
      </c>
      <c r="J15" s="1821" t="e">
        <f ca="1">ROUND(J16*J17,0)</f>
        <v>#N/A</v>
      </c>
      <c r="K15" s="1823" t="s">
        <v>641</v>
      </c>
      <c r="L15" s="801"/>
      <c r="M15" s="802"/>
    </row>
    <row r="16" spans="1:25" ht="18" customHeight="1">
      <c r="A16" s="803" t="s">
        <v>1874</v>
      </c>
      <c r="B16" s="784" t="s">
        <v>644</v>
      </c>
      <c r="C16" s="804" t="e">
        <f ca="1">INDIRECT("'数据-取费表'!m"&amp;$G$1)+INDIRECT("'数据-取费表'!t"&amp;$G$1)</f>
        <v>#N/A</v>
      </c>
      <c r="D16" s="1981" t="s">
        <v>645</v>
      </c>
      <c r="E16" s="1982"/>
      <c r="F16" s="805"/>
      <c r="G16" s="1593"/>
      <c r="H16" s="803" t="s">
        <v>2070</v>
      </c>
      <c r="I16" s="2233" t="s">
        <v>2823</v>
      </c>
      <c r="J16" s="53" t="e">
        <f ca="1">C31</f>
        <v>#N/A</v>
      </c>
      <c r="K16" s="26"/>
      <c r="L16" s="801"/>
      <c r="M16" s="802"/>
    </row>
    <row r="17" spans="1:25" s="2066" customFormat="1" ht="18" customHeight="1">
      <c r="A17" s="803" t="s">
        <v>1848</v>
      </c>
      <c r="B17" s="784" t="s">
        <v>646</v>
      </c>
      <c r="C17" s="53" t="e">
        <f ca="1">ROUND(C16*F17,0)</f>
        <v>#N/A</v>
      </c>
      <c r="D17" s="806" t="s">
        <v>647</v>
      </c>
      <c r="E17" s="806" t="s">
        <v>648</v>
      </c>
      <c r="F17" s="807">
        <f>'数据-取费表'!B33</f>
        <v>0.05</v>
      </c>
      <c r="G17" s="1594"/>
      <c r="H17" s="803" t="s">
        <v>2071</v>
      </c>
      <c r="I17" s="784" t="s">
        <v>642</v>
      </c>
      <c r="J17" s="808" t="e">
        <f ca="1">INDIRECT("'数据-取费表'!ad"&amp;$G$1)</f>
        <v>#N/A</v>
      </c>
      <c r="K17" s="26"/>
      <c r="L17" s="801"/>
      <c r="M17" s="802"/>
      <c r="N17" s="2065"/>
      <c r="O17" s="2065"/>
      <c r="P17" s="2065"/>
      <c r="Q17" s="2065"/>
      <c r="R17" s="2065"/>
      <c r="S17" s="2065"/>
      <c r="T17" s="2065"/>
      <c r="U17" s="2065"/>
      <c r="V17" s="2065"/>
      <c r="W17" s="2065"/>
      <c r="X17" s="2065"/>
      <c r="Y17" s="2065"/>
    </row>
    <row r="18" spans="1:25" ht="18" customHeight="1">
      <c r="A18" s="803" t="s">
        <v>1849</v>
      </c>
      <c r="B18" s="784" t="s">
        <v>649</v>
      </c>
      <c r="C18" s="53" t="e">
        <f ca="1">ROUND(INDIRECT("'数据-取费表'!m"&amp;$G$1)*F18,0)</f>
        <v>#N/A</v>
      </c>
      <c r="D18" s="784" t="s">
        <v>647</v>
      </c>
      <c r="E18" s="784" t="s">
        <v>648</v>
      </c>
      <c r="F18" s="809" t="e">
        <f ca="1">IF(INDIRECT("'数据-取费表'!c"&amp;$G$1)="住宅",'数据-取费表'!B34,0)</f>
        <v>#N/A</v>
      </c>
      <c r="G18" s="1593"/>
      <c r="H18" s="797" t="s">
        <v>1826</v>
      </c>
      <c r="I18" s="798" t="s">
        <v>650</v>
      </c>
      <c r="J18" s="799" t="e">
        <f ca="1">ROUND(J19+J24+J25+J26,0)</f>
        <v>#N/A</v>
      </c>
      <c r="K18" s="26" t="s">
        <v>651</v>
      </c>
      <c r="L18" s="1984"/>
      <c r="M18" s="56"/>
    </row>
    <row r="19" spans="1:25" s="2066" customFormat="1" ht="18" customHeight="1">
      <c r="A19" s="803" t="s">
        <v>1850</v>
      </c>
      <c r="B19" s="784" t="s">
        <v>652</v>
      </c>
      <c r="C19" s="53" t="e">
        <f ca="1">ROUND(F19*(INDIRECT("'数据-取费表'!k"&amp;$G$1)+INDIRECT("'数据-取费表'!S"&amp;$G$1))/10000,0)</f>
        <v>#N/A</v>
      </c>
      <c r="D19" s="784" t="s">
        <v>653</v>
      </c>
      <c r="E19" s="784" t="s">
        <v>654</v>
      </c>
      <c r="F19" s="56">
        <f>'数据-取费表'!B35</f>
        <v>200</v>
      </c>
      <c r="G19" s="1594"/>
      <c r="H19" s="803" t="s">
        <v>2070</v>
      </c>
      <c r="I19" s="784" t="s">
        <v>655</v>
      </c>
      <c r="J19" s="53" t="e">
        <f ca="1">ROUND(IF(项目基本情况!B11="自然人",J7*M19,J20+J21+J22),0)</f>
        <v>#N/A</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1851</v>
      </c>
      <c r="B20" s="784" t="s">
        <v>658</v>
      </c>
      <c r="C20" s="53" t="e">
        <f ca="1">ROUND(C16*F20,0)</f>
        <v>#N/A</v>
      </c>
      <c r="D20" s="784" t="s">
        <v>647</v>
      </c>
      <c r="E20" s="784" t="s">
        <v>648</v>
      </c>
      <c r="F20" s="809">
        <f>'数据-取费表'!B36</f>
        <v>1.4999999999999999E-2</v>
      </c>
      <c r="G20" s="1594"/>
      <c r="H20" s="803" t="s">
        <v>1830</v>
      </c>
      <c r="I20" s="784" t="s">
        <v>659</v>
      </c>
      <c r="J20" s="53" t="e">
        <f ca="1">ROUND(J7*M20/1.05,1)</f>
        <v>#N/A</v>
      </c>
      <c r="K20" s="1979" t="s">
        <v>660</v>
      </c>
      <c r="L20" s="784" t="s">
        <v>648</v>
      </c>
      <c r="M20" s="809">
        <f>'数据-取费表'!B41</f>
        <v>5.6000000000000001E-2</v>
      </c>
      <c r="N20" s="2065"/>
      <c r="O20" s="2065"/>
      <c r="P20" s="2065"/>
      <c r="Q20" s="2065"/>
      <c r="R20" s="2065"/>
      <c r="S20" s="2065"/>
      <c r="T20" s="2065"/>
      <c r="U20" s="2065"/>
      <c r="V20" s="2065"/>
      <c r="W20" s="2065"/>
      <c r="X20" s="2065"/>
      <c r="Y20" s="2065"/>
    </row>
    <row r="21" spans="1:25" ht="18" customHeight="1">
      <c r="A21" s="803" t="s">
        <v>1875</v>
      </c>
      <c r="B21" s="784" t="s">
        <v>661</v>
      </c>
      <c r="C21" s="53" t="e">
        <f ca="1">SUM(C16:C20)</f>
        <v>#N/A</v>
      </c>
      <c r="D21" s="261" t="s">
        <v>662</v>
      </c>
      <c r="E21" s="1984"/>
      <c r="F21" s="56"/>
      <c r="G21" s="1593"/>
      <c r="H21" s="1832" t="s">
        <v>1848</v>
      </c>
      <c r="I21" s="784" t="s">
        <v>663</v>
      </c>
      <c r="J21" s="53" t="e">
        <f ca="1">IF(K21="按租金收入计税",ROUND(J7*M21,1),ROUND(C31*F35*0.7,1))</f>
        <v>#N/A</v>
      </c>
      <c r="K21" s="811" t="s">
        <v>664</v>
      </c>
      <c r="L21" s="784" t="s">
        <v>648</v>
      </c>
      <c r="M21" s="809">
        <f>IF(K21="按租金收入计税",'数据-取费表'!B51,'数据-取费表'!B50)</f>
        <v>1.2E-2</v>
      </c>
    </row>
    <row r="22" spans="1:25" s="2066" customFormat="1" ht="18" customHeight="1">
      <c r="A22" s="803" t="s">
        <v>1876</v>
      </c>
      <c r="B22" s="784" t="s">
        <v>665</v>
      </c>
      <c r="C22" s="53" t="e">
        <f ca="1">ROUND(C21*F22,0)</f>
        <v>#N/A</v>
      </c>
      <c r="D22" s="812" t="s">
        <v>666</v>
      </c>
      <c r="E22" s="784" t="s">
        <v>648</v>
      </c>
      <c r="F22" s="809">
        <f>'数据-取费表'!B37</f>
        <v>0.02</v>
      </c>
      <c r="G22" s="1594"/>
      <c r="H22" s="1834" t="s">
        <v>1849</v>
      </c>
      <c r="I22" s="1824" t="s">
        <v>667</v>
      </c>
      <c r="J22" s="54" t="e">
        <f ca="1">ROUND(M22*M23/10000,0)</f>
        <v>#N/A</v>
      </c>
      <c r="K22" s="814" t="s">
        <v>668</v>
      </c>
      <c r="L22" s="784" t="s">
        <v>669</v>
      </c>
      <c r="M22" s="640">
        <f>'数据-取费表'!B52</f>
        <v>16</v>
      </c>
      <c r="N22" s="2065"/>
      <c r="O22" s="2065"/>
      <c r="P22" s="2065"/>
      <c r="Q22" s="2065"/>
      <c r="R22" s="2065"/>
      <c r="S22" s="2065"/>
      <c r="T22" s="2065"/>
      <c r="U22" s="2065"/>
      <c r="V22" s="2065"/>
      <c r="W22" s="2065"/>
      <c r="X22" s="2065"/>
      <c r="Y22" s="2065"/>
    </row>
    <row r="23" spans="1:25" s="2066" customFormat="1" ht="18" customHeight="1">
      <c r="A23" s="803" t="s">
        <v>1877</v>
      </c>
      <c r="B23" s="784" t="s">
        <v>670</v>
      </c>
      <c r="C23" s="53" t="s">
        <v>1</v>
      </c>
      <c r="D23" s="812" t="s">
        <v>671</v>
      </c>
      <c r="E23" s="784" t="s">
        <v>672</v>
      </c>
      <c r="F23" s="809">
        <f>'数据-取费表'!B38</f>
        <v>0.02</v>
      </c>
      <c r="G23" s="1594"/>
      <c r="H23" s="1835"/>
      <c r="I23" s="1826"/>
      <c r="J23" s="69"/>
      <c r="K23" s="816"/>
      <c r="L23" s="784" t="s">
        <v>673</v>
      </c>
      <c r="M23" s="785" t="e">
        <f ca="1">INDIRECT("'数据-取费表'!r"&amp;$G$1)</f>
        <v>#N/A</v>
      </c>
      <c r="N23" s="2065"/>
      <c r="O23" s="2065"/>
      <c r="P23" s="2065"/>
      <c r="Q23" s="2065"/>
      <c r="R23" s="2065"/>
      <c r="S23" s="2065"/>
      <c r="T23" s="2065"/>
      <c r="U23" s="2065"/>
      <c r="V23" s="2065"/>
      <c r="W23" s="2065"/>
      <c r="X23" s="2065"/>
      <c r="Y23" s="2065"/>
    </row>
    <row r="24" spans="1:25" ht="18" customHeight="1">
      <c r="A24" s="803" t="s">
        <v>1878</v>
      </c>
      <c r="B24" s="784" t="s">
        <v>674</v>
      </c>
      <c r="C24" s="53"/>
      <c r="D24" s="2574" t="str">
        <f>IF(F25&lt;=1,"单利计息。","复利计息。")&amp;"建造成本、管理费用、销售费用产生的利息。"</f>
        <v>复利计息。建造成本、管理费用、销售费用产生的利息。</v>
      </c>
      <c r="E24" s="1984"/>
      <c r="F24" s="56"/>
      <c r="G24" s="1593"/>
      <c r="H24" s="1833" t="s">
        <v>2071</v>
      </c>
      <c r="I24" s="784" t="s">
        <v>675</v>
      </c>
      <c r="J24" s="53" t="e">
        <f ca="1">ROUND(J16*M24,0)</f>
        <v>#N/A</v>
      </c>
      <c r="K24" s="1979" t="s">
        <v>676</v>
      </c>
      <c r="L24" s="784" t="s">
        <v>648</v>
      </c>
      <c r="M24" s="817" t="e">
        <f ca="1">INDIRECT("'数据-取费表'!Ak"&amp;$G$1)</f>
        <v>#N/A</v>
      </c>
    </row>
    <row r="25" spans="1:25" s="2066" customFormat="1" ht="18" customHeight="1">
      <c r="A25" s="803" t="s">
        <v>1874</v>
      </c>
      <c r="B25" s="784" t="s">
        <v>2437</v>
      </c>
      <c r="C25" s="53" t="e">
        <f ca="1">ROUND(IF('数据-取费表'!B22&lt;=1,(C21+C22)*F26*F25/2,(C21+C22)*(POWER((1+F26),F25/2)-1)),0)</f>
        <v>#N/A</v>
      </c>
      <c r="D25" s="2573" t="str">
        <f>IF(F25&lt;=1,"(建造成本+管理费用)×利率×(建设周期÷2)","(建造成本+管理费用)×((1+利率)^(建设周期÷2)-1)")</f>
        <v>(建造成本+管理费用)×((1+利率)^(建设周期÷2)-1)</v>
      </c>
      <c r="E25" s="784" t="s">
        <v>677</v>
      </c>
      <c r="F25" s="640">
        <f>'数据-取费表'!B20</f>
        <v>2</v>
      </c>
      <c r="G25" s="1594"/>
      <c r="H25" s="803" t="s">
        <v>1877</v>
      </c>
      <c r="I25" s="784" t="s">
        <v>678</v>
      </c>
      <c r="J25" s="53" t="e">
        <f ca="1">ROUND(J15*M25,0)</f>
        <v>#N/A</v>
      </c>
      <c r="K25" s="1979" t="s">
        <v>679</v>
      </c>
      <c r="L25" s="784" t="s">
        <v>648</v>
      </c>
      <c r="M25" s="818" t="e">
        <f ca="1">INDIRECT("'数据-取费表'!Al"&amp;$G$1)</f>
        <v>#N/A</v>
      </c>
      <c r="N25" s="2065"/>
      <c r="O25" s="2065"/>
      <c r="P25" s="2065"/>
      <c r="Q25" s="2065"/>
      <c r="R25" s="2065"/>
      <c r="S25" s="2065"/>
      <c r="T25" s="2065"/>
      <c r="U25" s="2065"/>
      <c r="V25" s="2065"/>
      <c r="W25" s="2065"/>
      <c r="X25" s="2065"/>
      <c r="Y25" s="2065"/>
    </row>
    <row r="26" spans="1:25" s="2066" customFormat="1" ht="18" customHeight="1">
      <c r="A26" s="803" t="s">
        <v>1848</v>
      </c>
      <c r="B26" s="784" t="s">
        <v>680</v>
      </c>
      <c r="C26" s="53">
        <f ca="1">ROUND(IF('数据-取费表'!B22&lt;=1,F23*F26*F25/2,F23*(POWER((1+F26),F25/2)-1)),4)</f>
        <v>1E-3</v>
      </c>
      <c r="D26" s="2573" t="str">
        <f>IF(F25&lt;=1,"销售费用×利率×(建设周期÷2)","销售费用×((1+利率)^(建设周期÷2)-1)")</f>
        <v>销售费用×((1+利率)^(建设周期÷2)-1)</v>
      </c>
      <c r="E26" s="784" t="s">
        <v>681</v>
      </c>
      <c r="F26" s="819">
        <f ca="1">'数据-取费表'!B40</f>
        <v>4.7500000000000001E-2</v>
      </c>
      <c r="G26" s="1594"/>
      <c r="H26" s="803" t="s">
        <v>1878</v>
      </c>
      <c r="I26" s="784" t="s">
        <v>665</v>
      </c>
      <c r="J26" s="53" t="e">
        <f ca="1">ROUND(J7*M26,0)</f>
        <v>#N/A</v>
      </c>
      <c r="K26" s="1979" t="s">
        <v>682</v>
      </c>
      <c r="L26" s="784" t="s">
        <v>648</v>
      </c>
      <c r="M26" s="794" t="e">
        <f ca="1">INDIRECT("'数据-取费表'!Am"&amp;$G$1)</f>
        <v>#N/A</v>
      </c>
      <c r="N26" s="2065"/>
      <c r="O26" s="2065"/>
      <c r="P26" s="2065"/>
      <c r="Q26" s="2065"/>
      <c r="R26" s="2065"/>
      <c r="S26" s="2065"/>
      <c r="T26" s="2065"/>
      <c r="U26" s="2065"/>
      <c r="V26" s="2065"/>
      <c r="W26" s="2065"/>
      <c r="X26" s="2065"/>
      <c r="Y26" s="2065"/>
    </row>
    <row r="27" spans="1:25" ht="18" customHeight="1">
      <c r="A27" s="803" t="s">
        <v>1880</v>
      </c>
      <c r="B27" s="784" t="s">
        <v>683</v>
      </c>
      <c r="C27" s="53"/>
      <c r="D27" s="261" t="s">
        <v>684</v>
      </c>
      <c r="E27" s="1984"/>
      <c r="F27" s="56"/>
      <c r="G27" s="1593"/>
      <c r="H27" s="797" t="s">
        <v>1827</v>
      </c>
      <c r="I27" s="3013" t="s">
        <v>2820</v>
      </c>
      <c r="J27" s="799" t="e">
        <f ca="1">J7-J18</f>
        <v>#N/A</v>
      </c>
      <c r="K27" s="1981" t="s">
        <v>699</v>
      </c>
      <c r="L27" s="1983"/>
      <c r="M27" s="820"/>
    </row>
    <row r="28" spans="1:25" ht="18" customHeight="1">
      <c r="A28" s="803" t="s">
        <v>1874</v>
      </c>
      <c r="B28" s="784" t="s">
        <v>2438</v>
      </c>
      <c r="C28" s="53" t="e">
        <f ca="1">ROUND((C21+C22)*F28,0)</f>
        <v>#N/A</v>
      </c>
      <c r="D28" s="812" t="s">
        <v>700</v>
      </c>
      <c r="E28" s="795" t="s">
        <v>701</v>
      </c>
      <c r="F28" s="794" t="e">
        <f ca="1">INDIRECT("'数据-取费表'!q"&amp;$G$1)</f>
        <v>#N/A</v>
      </c>
      <c r="G28" s="1593"/>
      <c r="H28" s="781" t="s">
        <v>1836</v>
      </c>
      <c r="I28" s="782" t="s">
        <v>702</v>
      </c>
      <c r="J28" s="783" t="e">
        <f ca="1">IF(J7&lt;&gt;0,ROUND(J27*(1-((1+M30)/(1+M28))^M29)/(M28-M30),0),0)</f>
        <v>#N/A</v>
      </c>
      <c r="K28" s="814" t="s">
        <v>703</v>
      </c>
      <c r="L28" s="784" t="s">
        <v>704</v>
      </c>
      <c r="M28" s="794" t="e">
        <f ca="1">INDIRECT("'数据-取费表'!I"&amp;$G$1)</f>
        <v>#N/A</v>
      </c>
    </row>
    <row r="29" spans="1:25" ht="18" customHeight="1">
      <c r="A29" s="803" t="s">
        <v>1848</v>
      </c>
      <c r="B29" s="784" t="s">
        <v>685</v>
      </c>
      <c r="C29" s="53" t="e">
        <f ca="1">ROUND(F23*F28,4)</f>
        <v>#N/A</v>
      </c>
      <c r="D29" s="812" t="s">
        <v>705</v>
      </c>
      <c r="E29" s="806"/>
      <c r="F29" s="807"/>
      <c r="G29" s="1593"/>
      <c r="H29" s="786"/>
      <c r="I29" s="787"/>
      <c r="J29" s="788"/>
      <c r="K29" s="821" t="s">
        <v>706</v>
      </c>
      <c r="L29" s="784" t="s">
        <v>707</v>
      </c>
      <c r="M29" s="822" t="e">
        <f ca="1">INDIRECT("'数据-取费表'!ag"&amp;$G$1)</f>
        <v>#N/A</v>
      </c>
    </row>
    <row r="30" spans="1:25" s="2066" customFormat="1" ht="18" customHeight="1">
      <c r="A30" s="803" t="s">
        <v>1881</v>
      </c>
      <c r="B30" s="784" t="s">
        <v>686</v>
      </c>
      <c r="C30" s="53">
        <f>ROUND(F30/(1+'数据-取费表'!C42),4)</f>
        <v>5.33E-2</v>
      </c>
      <c r="D30" s="812" t="s">
        <v>708</v>
      </c>
      <c r="E30" s="784" t="s">
        <v>648</v>
      </c>
      <c r="F30" s="809">
        <f>'数据-取费表'!B41</f>
        <v>5.6000000000000001E-2</v>
      </c>
      <c r="G30" s="1594"/>
      <c r="H30" s="790"/>
      <c r="I30" s="791"/>
      <c r="J30" s="792"/>
      <c r="K30" s="816"/>
      <c r="L30" s="784" t="s">
        <v>709</v>
      </c>
      <c r="M30" s="794" t="e">
        <f ca="1">INDIRECT("'数据-取费表'!aa"&amp;$G$1)</f>
        <v>#N/A</v>
      </c>
      <c r="N30" s="2065"/>
      <c r="O30" s="2065"/>
      <c r="P30" s="2065"/>
      <c r="Q30" s="2065"/>
      <c r="R30" s="2065"/>
      <c r="S30" s="2065"/>
      <c r="T30" s="2065"/>
      <c r="U30" s="2065"/>
      <c r="V30" s="2065"/>
      <c r="W30" s="2065"/>
      <c r="X30" s="2065"/>
      <c r="Y30" s="2065"/>
    </row>
    <row r="31" spans="1:25" s="2066" customFormat="1" ht="18" customHeight="1" thickBot="1">
      <c r="A31" s="2562" t="s">
        <v>1882</v>
      </c>
      <c r="B31" s="2543" t="s">
        <v>2821</v>
      </c>
      <c r="C31" s="2546" t="e">
        <f ca="1">ROUND((C21+C22+C25+C28)/(1-F23-C26-C29-C30),0)</f>
        <v>#N/A</v>
      </c>
      <c r="D31" s="2547"/>
      <c r="E31" s="2548"/>
      <c r="F31" s="2549"/>
      <c r="G31" s="1594"/>
      <c r="H31" s="823" t="s">
        <v>1871</v>
      </c>
      <c r="I31" s="3014" t="s">
        <v>2822</v>
      </c>
      <c r="J31" s="825" t="e">
        <f ca="1">ROUND(J28/(1+F45)^F46,0)</f>
        <v>#N/A</v>
      </c>
      <c r="K31" s="826" t="s">
        <v>687</v>
      </c>
      <c r="L31" s="827"/>
      <c r="M31" s="828" t="e">
        <f ca="1">INDIRECT("'数据-取费表'!k"&amp;$G$1)</f>
        <v>#N/A</v>
      </c>
      <c r="N31" s="2065"/>
      <c r="O31" s="2065"/>
      <c r="P31" s="2065"/>
      <c r="Q31" s="2065"/>
      <c r="R31" s="2065"/>
      <c r="S31" s="2065"/>
      <c r="T31" s="2065"/>
      <c r="U31" s="2065"/>
      <c r="V31" s="2065"/>
      <c r="W31" s="2065"/>
      <c r="X31" s="2065"/>
      <c r="Y31" s="2065"/>
    </row>
    <row r="32" spans="1:25" ht="18" customHeight="1" thickTop="1">
      <c r="A32" s="1831" t="s">
        <v>7</v>
      </c>
      <c r="B32" s="1829" t="s">
        <v>688</v>
      </c>
      <c r="C32" s="792" t="e">
        <f ca="1">ROUND(C33+C38+C39+C40,0)</f>
        <v>#N/A</v>
      </c>
      <c r="D32" s="1823" t="s">
        <v>651</v>
      </c>
      <c r="E32" s="2489"/>
      <c r="F32" s="2493"/>
      <c r="G32" s="2064"/>
      <c r="H32" s="2067"/>
      <c r="I32" s="2068"/>
      <c r="J32" s="2069"/>
      <c r="K32" s="2070"/>
      <c r="L32" s="2071"/>
      <c r="M32" s="2072"/>
    </row>
    <row r="33" spans="1:18" ht="18" customHeight="1">
      <c r="A33" s="803" t="s">
        <v>1875</v>
      </c>
      <c r="B33" s="784" t="s">
        <v>655</v>
      </c>
      <c r="C33" s="53" t="e">
        <f ca="1">ROUND(IF(项目基本情况!B11="自然人",C7*F33,C34+C35+C36),1)</f>
        <v>#N/A</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1874</v>
      </c>
      <c r="B34" s="784" t="s">
        <v>659</v>
      </c>
      <c r="C34" s="53" t="e">
        <f ca="1">ROUND(C7*F34/1.05,1)</f>
        <v>#N/A</v>
      </c>
      <c r="D34" s="1979" t="s">
        <v>660</v>
      </c>
      <c r="E34" s="784" t="s">
        <v>648</v>
      </c>
      <c r="F34" s="809">
        <f>'数据-取费表'!B41</f>
        <v>5.6000000000000001E-2</v>
      </c>
      <c r="G34" s="2064"/>
      <c r="H34" s="2073"/>
      <c r="I34" s="2074"/>
      <c r="J34" s="2075"/>
      <c r="K34" s="2076"/>
      <c r="L34" s="2077"/>
      <c r="M34" s="2078"/>
    </row>
    <row r="35" spans="1:18" ht="18" customHeight="1">
      <c r="A35" s="803" t="s">
        <v>1848</v>
      </c>
      <c r="B35" s="784" t="s">
        <v>663</v>
      </c>
      <c r="C35" s="53" t="e">
        <f ca="1">IF(D35="按租金收入计税",ROUND(C7*F35,1),IF(D35="按房产原值计税",ROUND(C31*F35*0.7,1),INDIRECT("'数据-取费表'!Aj"&amp;$G$1)))</f>
        <v>#N/A</v>
      </c>
      <c r="D35" s="811" t="s">
        <v>3036</v>
      </c>
      <c r="E35" s="784" t="s">
        <v>648</v>
      </c>
      <c r="F35" s="809">
        <f>IF(D35="按租金收入计税",'数据-取费表'!B51,'数据-取费表'!B50)</f>
        <v>0.12</v>
      </c>
      <c r="G35" s="2064"/>
      <c r="H35" s="2079"/>
      <c r="I35" s="2079"/>
      <c r="J35" s="2079"/>
      <c r="K35" s="2080"/>
      <c r="L35" s="2079"/>
      <c r="M35" s="2079"/>
    </row>
    <row r="36" spans="1:18" ht="18" customHeight="1">
      <c r="A36" s="813" t="s">
        <v>1879</v>
      </c>
      <c r="B36" s="341" t="s">
        <v>667</v>
      </c>
      <c r="C36" s="54" t="e">
        <f ca="1">ROUND(F36*F37/10000,1)</f>
        <v>#N/A</v>
      </c>
      <c r="D36" s="814" t="s">
        <v>668</v>
      </c>
      <c r="E36" s="784" t="s">
        <v>669</v>
      </c>
      <c r="F36" s="640">
        <f>'数据-取费表'!B52</f>
        <v>16</v>
      </c>
      <c r="G36" s="2064"/>
      <c r="H36" s="2067"/>
      <c r="I36" s="3452"/>
      <c r="J36" s="2081"/>
      <c r="K36" s="2082"/>
      <c r="L36" s="2081"/>
      <c r="M36" s="2081"/>
    </row>
    <row r="37" spans="1:18" ht="18" customHeight="1">
      <c r="A37" s="815"/>
      <c r="B37" s="793"/>
      <c r="C37" s="69"/>
      <c r="D37" s="816"/>
      <c r="E37" s="784" t="s">
        <v>673</v>
      </c>
      <c r="F37" s="785" t="e">
        <f ca="1">INDIRECT("'数据-取费表'!r"&amp;$G$1)</f>
        <v>#N/A</v>
      </c>
      <c r="G37" s="2064"/>
      <c r="H37" s="2067"/>
      <c r="I37" s="3452"/>
      <c r="J37" s="2079"/>
      <c r="K37" s="2080"/>
      <c r="L37" s="2079"/>
      <c r="M37" s="2079"/>
    </row>
    <row r="38" spans="1:18" ht="18" customHeight="1">
      <c r="A38" s="803" t="s">
        <v>1876</v>
      </c>
      <c r="B38" s="784" t="s">
        <v>675</v>
      </c>
      <c r="C38" s="53" t="e">
        <f ca="1">ROUND(C31*F38,1)</f>
        <v>#N/A</v>
      </c>
      <c r="D38" s="1979" t="s">
        <v>690</v>
      </c>
      <c r="E38" s="784" t="s">
        <v>648</v>
      </c>
      <c r="F38" s="817" t="e">
        <f ca="1">INDIRECT("'数据-取费表'!Ak"&amp;$G$1)</f>
        <v>#N/A</v>
      </c>
      <c r="G38" s="2064"/>
      <c r="H38" s="2079"/>
      <c r="I38" s="2083"/>
      <c r="J38" s="1990"/>
      <c r="K38" s="2084"/>
      <c r="L38" s="2079"/>
      <c r="M38" s="2079"/>
    </row>
    <row r="39" spans="1:18" ht="18" customHeight="1">
      <c r="A39" s="803" t="s">
        <v>1877</v>
      </c>
      <c r="B39" s="784" t="s">
        <v>678</v>
      </c>
      <c r="C39" s="53" t="e">
        <f ca="1">ROUND(C15*F39,1)</f>
        <v>#N/A</v>
      </c>
      <c r="D39" s="1979" t="s">
        <v>679</v>
      </c>
      <c r="E39" s="784" t="s">
        <v>648</v>
      </c>
      <c r="F39" s="818" t="e">
        <f ca="1">INDIRECT("'数据-取费表'!Al"&amp;$G$1)</f>
        <v>#N/A</v>
      </c>
      <c r="G39" s="2064"/>
      <c r="H39" s="2079"/>
      <c r="I39" s="2083"/>
      <c r="J39" s="1990"/>
      <c r="K39" s="2084"/>
      <c r="L39" s="2079"/>
      <c r="M39" s="2079"/>
    </row>
    <row r="40" spans="1:18" ht="18" customHeight="1" thickBot="1">
      <c r="A40" s="2562" t="s">
        <v>1878</v>
      </c>
      <c r="B40" s="2548" t="s">
        <v>665</v>
      </c>
      <c r="C40" s="2546" t="e">
        <f ca="1">ROUND(C7*F40,1)</f>
        <v>#N/A</v>
      </c>
      <c r="D40" s="2547" t="s">
        <v>682</v>
      </c>
      <c r="E40" s="2548" t="s">
        <v>648</v>
      </c>
      <c r="F40" s="2544" t="e">
        <f ca="1">INDIRECT("'数据-取费表'!Am"&amp;$G$1)</f>
        <v>#N/A</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1875</v>
      </c>
      <c r="B42" s="835" t="s">
        <v>692</v>
      </c>
      <c r="C42" s="829" t="e">
        <f ca="1">C7-C32</f>
        <v>#N/A</v>
      </c>
      <c r="D42" s="1981" t="s">
        <v>693</v>
      </c>
      <c r="E42" s="1983"/>
      <c r="F42" s="820"/>
      <c r="G42" s="2064"/>
      <c r="H42" s="2064"/>
      <c r="I42" s="2064"/>
      <c r="J42" s="2064"/>
      <c r="K42" s="2085"/>
      <c r="L42" s="2064"/>
      <c r="M42" s="2064"/>
    </row>
    <row r="43" spans="1:18" ht="18" customHeight="1">
      <c r="A43" s="803" t="s">
        <v>1876</v>
      </c>
      <c r="B43" s="835" t="s">
        <v>710</v>
      </c>
      <c r="C43" s="836" t="e">
        <f ca="1">ROUND(C15*F43,0)</f>
        <v>#N/A</v>
      </c>
      <c r="D43" s="1356" t="s">
        <v>711</v>
      </c>
      <c r="E43" s="3123" t="s">
        <v>2960</v>
      </c>
      <c r="F43" s="3124" t="e">
        <f ca="1">INDIRECT("'数据-取费表'!j"&amp;$G$1)</f>
        <v>#N/A</v>
      </c>
      <c r="G43" s="2064"/>
      <c r="H43" s="2064"/>
      <c r="I43" s="2064"/>
      <c r="J43" s="2064"/>
      <c r="K43" s="2085"/>
      <c r="L43" s="2064"/>
      <c r="M43" s="2064"/>
    </row>
    <row r="44" spans="1:18" ht="18" customHeight="1">
      <c r="A44" s="803" t="s">
        <v>1877</v>
      </c>
      <c r="B44" s="835" t="s">
        <v>712</v>
      </c>
      <c r="C44" s="1357" t="e">
        <f ca="1">C42-C43</f>
        <v>#N/A</v>
      </c>
      <c r="D44" s="463" t="s">
        <v>713</v>
      </c>
      <c r="E44" s="464"/>
      <c r="F44" s="465"/>
      <c r="G44" s="2064"/>
      <c r="H44" s="2064"/>
      <c r="I44" s="2064"/>
      <c r="J44" s="2064"/>
      <c r="K44" s="2085"/>
      <c r="L44" s="2064"/>
      <c r="M44" s="2064"/>
    </row>
    <row r="45" spans="1:18" ht="18" customHeight="1">
      <c r="A45" s="803" t="s">
        <v>1878</v>
      </c>
      <c r="B45" s="1356" t="s">
        <v>714</v>
      </c>
      <c r="C45" s="3040" t="e">
        <f ca="1">ROUND(-PV(F45,F46,C44,0),0)</f>
        <v>#N/A</v>
      </c>
      <c r="D45" s="1358" t="s">
        <v>715</v>
      </c>
      <c r="E45" s="806" t="s">
        <v>716</v>
      </c>
      <c r="F45" s="830" t="e">
        <f ca="1">INDIRECT("'数据-取费表'!h"&amp;$G$1)</f>
        <v>#N/A</v>
      </c>
      <c r="G45" s="2064"/>
      <c r="H45" s="2064"/>
      <c r="I45" s="2064"/>
      <c r="J45" s="2064"/>
      <c r="K45" s="2085"/>
      <c r="L45" s="2064"/>
      <c r="M45" s="2064"/>
    </row>
    <row r="46" spans="1:18" ht="18" customHeight="1" thickBot="1">
      <c r="A46" s="831"/>
      <c r="B46" s="1359"/>
      <c r="C46" s="1360"/>
      <c r="D46" s="1361"/>
      <c r="E46" s="3125" t="s">
        <v>2962</v>
      </c>
      <c r="F46" s="828"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2343</v>
      </c>
      <c r="J47" s="2381"/>
      <c r="K47" s="2382"/>
      <c r="L47" s="3161" t="e">
        <f ca="1">IF(M48="住宅",0,IF(L49&gt;J52,L61,J61))</f>
        <v>#N/A</v>
      </c>
      <c r="O47" s="2396" t="s">
        <v>2410</v>
      </c>
      <c r="P47" s="1593"/>
      <c r="Q47" s="1605"/>
      <c r="R47" s="1593"/>
    </row>
    <row r="48" spans="1:18" s="2061" customFormat="1" ht="18" customHeight="1" thickBot="1">
      <c r="A48" s="2086"/>
      <c r="C48" s="2089"/>
      <c r="D48" s="2090"/>
      <c r="E48" s="2090"/>
      <c r="F48" s="2091"/>
      <c r="G48" s="2092"/>
      <c r="I48" s="3151" t="s">
        <v>2344</v>
      </c>
      <c r="J48" s="2383"/>
      <c r="K48" s="3158" t="s">
        <v>2349</v>
      </c>
      <c r="L48" s="3162" t="e">
        <f ca="1">INDIRECT("'数据-取费表'!d"&amp;$G$1)</f>
        <v>#N/A</v>
      </c>
      <c r="M48" s="3122" t="str">
        <f>IF(ISNUMBER(FIND("住宅",C1)),"住宅","非住宅")</f>
        <v>非住宅</v>
      </c>
      <c r="O48" s="2397" t="s">
        <v>2375</v>
      </c>
      <c r="P48" s="2398" t="s">
        <v>2376</v>
      </c>
      <c r="Q48" s="2399" t="s">
        <v>2377</v>
      </c>
      <c r="R48" s="2398" t="s">
        <v>2378</v>
      </c>
    </row>
    <row r="49" spans="1:18" s="2061" customFormat="1" ht="18" customHeight="1" thickBot="1">
      <c r="A49" s="2086"/>
      <c r="D49" s="2093"/>
      <c r="E49" s="2094"/>
      <c r="F49" s="2091"/>
      <c r="G49" s="2092"/>
      <c r="H49" s="2095"/>
      <c r="I49" s="3127" t="s">
        <v>2345</v>
      </c>
      <c r="J49" s="2384"/>
      <c r="K49" s="3159" t="s">
        <v>2351</v>
      </c>
      <c r="L49" s="1910" t="e">
        <f ca="1">INDIRECT("'数据-取费表'!f"&amp;$G$1)</f>
        <v>#N/A</v>
      </c>
      <c r="O49" s="2400" t="s">
        <v>2379</v>
      </c>
      <c r="P49" s="2401" t="s">
        <v>2405</v>
      </c>
      <c r="Q49" s="2402" t="e">
        <f ca="1">C41+J31</f>
        <v>#N/A</v>
      </c>
      <c r="R49" s="2401" t="s">
        <v>2380</v>
      </c>
    </row>
    <row r="50" spans="1:18" s="2061" customFormat="1" ht="18" customHeight="1" thickBot="1">
      <c r="A50" s="2086"/>
      <c r="D50" s="2096"/>
      <c r="E50" s="2096"/>
      <c r="F50" s="2090"/>
      <c r="G50" s="2097"/>
      <c r="H50" s="2095"/>
      <c r="I50" s="3127" t="s">
        <v>2346</v>
      </c>
      <c r="J50" s="2385"/>
      <c r="K50" s="3160" t="s">
        <v>2352</v>
      </c>
      <c r="L50" s="2386"/>
      <c r="O50" s="2400" t="s">
        <v>2381</v>
      </c>
      <c r="P50" s="2401" t="s">
        <v>2406</v>
      </c>
      <c r="Q50" s="2402" t="e">
        <f ca="1">J61</f>
        <v>#N/A</v>
      </c>
      <c r="R50" s="2401" t="s">
        <v>2382</v>
      </c>
    </row>
    <row r="51" spans="1:18" s="2061" customFormat="1" ht="18" customHeight="1" thickBot="1">
      <c r="A51" s="2098"/>
      <c r="D51" s="2096"/>
      <c r="E51" s="2096"/>
      <c r="F51" s="2087"/>
      <c r="H51" s="2095"/>
      <c r="I51" s="3127" t="s">
        <v>2347</v>
      </c>
      <c r="J51" s="3155">
        <f>SUMPRODUCT((I64:I66=J48)*(J63:L63=J49)*(J64:L66))</f>
        <v>0</v>
      </c>
      <c r="K51" s="3160" t="s">
        <v>2353</v>
      </c>
      <c r="L51" s="2386"/>
      <c r="O51" s="2403" t="s">
        <v>2383</v>
      </c>
      <c r="P51" s="2401" t="s">
        <v>2407</v>
      </c>
      <c r="Q51" s="2402" t="e">
        <f ca="1">C31</f>
        <v>#N/A</v>
      </c>
      <c r="R51" s="2401" t="s">
        <v>2380</v>
      </c>
    </row>
    <row r="52" spans="1:18" s="2061" customFormat="1" ht="18" customHeight="1" thickBot="1">
      <c r="A52" s="2098"/>
      <c r="F52" s="2087"/>
      <c r="I52" s="3152" t="s">
        <v>2348</v>
      </c>
      <c r="J52" s="3156">
        <f>IF(J50="",J51,J50+J51-YEAR('数据-取费表'!B3))</f>
        <v>0</v>
      </c>
      <c r="K52" s="3127" t="s">
        <v>2354</v>
      </c>
      <c r="L52" s="3163" t="e">
        <f ca="1">ROUND(-PV(INDIRECT("'数据-取费表'!h"&amp;$G$1),L49,(C40-C14*J36),0),0)</f>
        <v>#N/A</v>
      </c>
      <c r="O52" s="2403" t="s">
        <v>2384</v>
      </c>
      <c r="P52" s="2401" t="s">
        <v>2385</v>
      </c>
      <c r="Q52" s="2404" t="e">
        <f ca="1">J59</f>
        <v>#N/A</v>
      </c>
      <c r="R52" s="2405"/>
    </row>
    <row r="53" spans="1:18" s="2061" customFormat="1" ht="18" customHeight="1" thickBot="1">
      <c r="A53" s="2098"/>
      <c r="F53" s="2087"/>
      <c r="I53" s="3153" t="s">
        <v>2421</v>
      </c>
      <c r="J53" s="2387"/>
      <c r="K53" s="3153" t="s">
        <v>2420</v>
      </c>
      <c r="L53" s="2387"/>
      <c r="O53" s="2403" t="s">
        <v>2386</v>
      </c>
      <c r="P53" s="2401" t="s">
        <v>2387</v>
      </c>
      <c r="Q53" s="2404">
        <f>J53</f>
        <v>0</v>
      </c>
      <c r="R53" s="2405"/>
    </row>
    <row r="54" spans="1:18" s="2061" customFormat="1" ht="29.25" thickBot="1">
      <c r="A54" s="2098"/>
      <c r="I54" s="3154" t="s">
        <v>2976</v>
      </c>
      <c r="J54" s="3157" t="e">
        <f ca="1">IF(M48="住宅",MAX(J52,L49-'数据-取费表'!B20),MIN(J52,L49-'数据-取费表'!B20))</f>
        <v>#N/A</v>
      </c>
      <c r="K54" s="3457"/>
      <c r="L54" s="3458"/>
      <c r="O54" s="2403" t="s">
        <v>2388</v>
      </c>
      <c r="P54" s="2401" t="s">
        <v>2389</v>
      </c>
      <c r="Q54" s="2402" t="e">
        <f ca="1">J54</f>
        <v>#N/A</v>
      </c>
      <c r="R54" s="2401" t="s">
        <v>2390</v>
      </c>
    </row>
    <row r="55" spans="1:18" s="2061" customFormat="1" ht="18" customHeight="1" thickBot="1">
      <c r="A55" s="2098"/>
      <c r="I55" s="3164"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64"/>
      <c r="K55" s="3165"/>
      <c r="O55" s="2400" t="s">
        <v>2391</v>
      </c>
      <c r="P55" s="2401" t="s">
        <v>2408</v>
      </c>
      <c r="Q55" s="2402" t="e">
        <f ca="1">Q49+Q50</f>
        <v>#N/A</v>
      </c>
      <c r="R55" s="2405" t="s">
        <v>2392</v>
      </c>
    </row>
    <row r="56" spans="1:18" s="2061" customFormat="1" ht="16.5" thickBot="1">
      <c r="A56" s="2098"/>
      <c r="B56" s="2099"/>
      <c r="C56" s="2099"/>
      <c r="I56" s="3166" t="s">
        <v>2355</v>
      </c>
      <c r="J56" s="3102" t="e">
        <f ca="1">ROUND(IF(J48="钢混",J58/J51,1-(1-2%)*(J51-J58)/J51),3)</f>
        <v>#N/A</v>
      </c>
      <c r="K56" s="3167" t="s">
        <v>2356</v>
      </c>
      <c r="L56" s="2388"/>
      <c r="O56" s="2406" t="s">
        <v>2411</v>
      </c>
      <c r="P56" s="1593"/>
      <c r="Q56" s="1605"/>
      <c r="R56" s="1593"/>
    </row>
    <row r="57" spans="1:18" s="2061" customFormat="1" ht="43.5" thickBot="1">
      <c r="A57" s="2098"/>
      <c r="B57" s="2099"/>
      <c r="C57" s="2099"/>
      <c r="I57" s="3168" t="s">
        <v>2357</v>
      </c>
      <c r="J57" s="3178" t="s">
        <v>1678</v>
      </c>
      <c r="K57" s="3127" t="s">
        <v>2362</v>
      </c>
      <c r="L57" s="1910" t="e">
        <f ca="1">IF(L49&lt;J52,"——",L49-J52)</f>
        <v>#N/A</v>
      </c>
      <c r="O57" s="2397" t="s">
        <v>2375</v>
      </c>
      <c r="P57" s="2398" t="s">
        <v>2376</v>
      </c>
      <c r="Q57" s="2399" t="s">
        <v>2377</v>
      </c>
      <c r="R57" s="2398" t="s">
        <v>2378</v>
      </c>
    </row>
    <row r="58" spans="1:18" s="2061" customFormat="1" ht="29.25" thickBot="1">
      <c r="A58" s="2098"/>
      <c r="B58" s="2099"/>
      <c r="C58" s="2099"/>
      <c r="I58" s="3169" t="s">
        <v>2358</v>
      </c>
      <c r="J58" s="3170" t="e">
        <f ca="1">IF(OR(M48="住宅",J52&lt;L49,J57="是"),"——",J52-L49)</f>
        <v>#N/A</v>
      </c>
      <c r="K58" s="3127" t="s">
        <v>2363</v>
      </c>
      <c r="L58" s="1910" t="e">
        <f ca="1">IF(L49&lt;J52,"——",IF(L56="比较法",L50,IF(L56="基准地价",L51,L52)))</f>
        <v>#N/A</v>
      </c>
      <c r="O58" s="2400" t="s">
        <v>2379</v>
      </c>
      <c r="P58" s="2401" t="s">
        <v>2405</v>
      </c>
      <c r="Q58" s="2402" t="e">
        <f ca="1">C41+J31</f>
        <v>#N/A</v>
      </c>
      <c r="R58" s="2401" t="s">
        <v>2380</v>
      </c>
    </row>
    <row r="59" spans="1:18" s="2061" customFormat="1" ht="29.25" thickBot="1">
      <c r="A59" s="2098"/>
      <c r="B59" s="2099"/>
      <c r="C59" s="2099"/>
      <c r="I59" s="3169" t="s">
        <v>2359</v>
      </c>
      <c r="J59" s="3103" t="e">
        <f ca="1">IF(J56&lt;0.4,0.4,J56)</f>
        <v>#N/A</v>
      </c>
      <c r="K59" s="3127" t="s">
        <v>2364</v>
      </c>
      <c r="L59" s="1910">
        <f ca="1">IF(ISERROR(POWER(1+L53,L48-L49)*(POWER(1+L53,L49)-1)/(POWER(1+L53,L48)-1)),0,POWER(1+L53,L48-L49)*(POWER(1+L53,L49)-1)/(POWER(1+L53,L48)-1))</f>
        <v>0</v>
      </c>
      <c r="O59" s="2400" t="s">
        <v>2381</v>
      </c>
      <c r="P59" s="2401" t="s">
        <v>2412</v>
      </c>
      <c r="Q59" s="2402" t="e">
        <f ca="1">L61</f>
        <v>#N/A</v>
      </c>
      <c r="R59" s="2405" t="s">
        <v>2414</v>
      </c>
    </row>
    <row r="60" spans="1:18" s="2061" customFormat="1" ht="29.25" thickBot="1">
      <c r="A60" s="2098"/>
      <c r="B60" s="2099"/>
      <c r="C60" s="2099"/>
      <c r="I60" s="3169" t="s">
        <v>2360</v>
      </c>
      <c r="J60" s="3170" t="e">
        <f ca="1">IF(OR(M48="住宅",J52&lt;L49,J57="是"),"——",ROUND(C30*J59,0))</f>
        <v>#N/A</v>
      </c>
      <c r="K60" s="3127" t="s">
        <v>2365</v>
      </c>
      <c r="L60" s="1910">
        <f ca="1">IF(ISERROR(POWER(1+L53,L48-J52)*(POWER(1+L53,J52)-1)/(POWER(1+L53,L48)-1)),0,POWER(1+L53,L48-J52)*(POWER(1+L53,J52)-1)/(POWER(1+L53,L48)-1))</f>
        <v>0</v>
      </c>
      <c r="O60" s="2403" t="s">
        <v>2383</v>
      </c>
      <c r="P60" s="2401" t="s">
        <v>2413</v>
      </c>
      <c r="Q60" s="2402">
        <f>IF(L56="比较法",L50,IF(L56="基准地价",L51,0))</f>
        <v>0</v>
      </c>
      <c r="R60" s="2401" t="s">
        <v>2380</v>
      </c>
    </row>
    <row r="61" spans="1:18" s="2061" customFormat="1" ht="15.75" thickBot="1">
      <c r="A61" s="2098"/>
      <c r="B61" s="2099"/>
      <c r="C61" s="2099"/>
      <c r="I61" s="3171" t="s">
        <v>2361</v>
      </c>
      <c r="J61" s="3172" t="e">
        <f ca="1">IF(OR(M48="住宅",J52&lt;L49,J57="是"),"0",ROUND(J60/(1+J53)^J54,0))</f>
        <v>#N/A</v>
      </c>
      <c r="K61" s="3173" t="s">
        <v>2366</v>
      </c>
      <c r="L61" s="3172" t="e">
        <f ca="1">IF(OR(M48="住宅",L49&lt;J52),0,ROUND(L58*(L59/L60-1),0))</f>
        <v>#N/A</v>
      </c>
      <c r="O61" s="2403" t="s">
        <v>2384</v>
      </c>
      <c r="P61" s="2401" t="s">
        <v>2393</v>
      </c>
      <c r="Q61" s="2404">
        <f>L53</f>
        <v>0</v>
      </c>
      <c r="R61" s="2405"/>
    </row>
    <row r="62" spans="1:18" s="2061" customFormat="1" ht="20.25" thickBot="1">
      <c r="A62" s="2098"/>
      <c r="B62" s="2099"/>
      <c r="C62" s="2099"/>
      <c r="K62" s="2088"/>
      <c r="O62" s="2403" t="s">
        <v>2386</v>
      </c>
      <c r="P62" s="2401" t="s">
        <v>2394</v>
      </c>
      <c r="Q62" s="2402">
        <f ca="1">L59</f>
        <v>0</v>
      </c>
      <c r="R62" s="2405" t="s">
        <v>2395</v>
      </c>
    </row>
    <row r="63" spans="1:18" s="2061" customFormat="1" ht="20.25" thickBot="1">
      <c r="A63" s="2098"/>
      <c r="B63" s="2099"/>
      <c r="C63" s="2099"/>
      <c r="I63" s="3174" t="s">
        <v>2367</v>
      </c>
      <c r="J63" s="3175" t="s">
        <v>2368</v>
      </c>
      <c r="K63" s="3175" t="s">
        <v>2369</v>
      </c>
      <c r="L63" s="3175" t="s">
        <v>2350</v>
      </c>
      <c r="M63" s="3176" t="s">
        <v>2940</v>
      </c>
      <c r="O63" s="2403" t="s">
        <v>2388</v>
      </c>
      <c r="P63" s="2401" t="s">
        <v>2396</v>
      </c>
      <c r="Q63" s="2402">
        <f ca="1">L60</f>
        <v>0</v>
      </c>
      <c r="R63" s="2405" t="s">
        <v>2397</v>
      </c>
    </row>
    <row r="64" spans="1:18" s="2061" customFormat="1" ht="15.75" thickBot="1">
      <c r="A64" s="2098"/>
      <c r="B64" s="2099"/>
      <c r="C64" s="2099"/>
      <c r="I64" s="3174" t="s">
        <v>2370</v>
      </c>
      <c r="J64" s="3175">
        <v>70</v>
      </c>
      <c r="K64" s="3175">
        <v>50</v>
      </c>
      <c r="L64" s="3175">
        <v>80</v>
      </c>
      <c r="M64" s="3177">
        <v>0.02</v>
      </c>
      <c r="O64" s="2400" t="s">
        <v>2391</v>
      </c>
      <c r="P64" s="2401" t="s">
        <v>2408</v>
      </c>
      <c r="Q64" s="2402" t="e">
        <f ca="1">Q58+Q59</f>
        <v>#N/A</v>
      </c>
      <c r="R64" s="2405" t="s">
        <v>2392</v>
      </c>
    </row>
    <row r="65" spans="1:18" s="2061" customFormat="1" ht="16.5" thickBot="1">
      <c r="A65" s="2098"/>
      <c r="B65" s="2099"/>
      <c r="C65" s="2099"/>
      <c r="I65" s="3174" t="s">
        <v>2371</v>
      </c>
      <c r="J65" s="3175">
        <v>50</v>
      </c>
      <c r="K65" s="3175">
        <v>35</v>
      </c>
      <c r="L65" s="3175">
        <v>60</v>
      </c>
      <c r="M65" s="846">
        <v>0</v>
      </c>
      <c r="O65" s="2406" t="s">
        <v>2415</v>
      </c>
      <c r="P65" s="1593"/>
      <c r="Q65" s="1605"/>
      <c r="R65" s="1593"/>
    </row>
    <row r="66" spans="1:18" s="2061" customFormat="1" ht="15.75" thickBot="1">
      <c r="A66" s="2098"/>
      <c r="B66" s="2099"/>
      <c r="C66" s="2099"/>
      <c r="I66" s="3174" t="s">
        <v>2372</v>
      </c>
      <c r="J66" s="3175">
        <v>40</v>
      </c>
      <c r="K66" s="3175">
        <v>30</v>
      </c>
      <c r="L66" s="3175">
        <v>50</v>
      </c>
      <c r="M66" s="3177">
        <v>0.02</v>
      </c>
      <c r="O66" s="2397" t="s">
        <v>2375</v>
      </c>
      <c r="P66" s="2398" t="s">
        <v>2376</v>
      </c>
      <c r="Q66" s="2399" t="s">
        <v>2377</v>
      </c>
      <c r="R66" s="2398" t="s">
        <v>2378</v>
      </c>
    </row>
    <row r="67" spans="1:18" s="2061" customFormat="1" ht="15.75" thickBot="1">
      <c r="A67" s="2098"/>
      <c r="B67" s="2099"/>
      <c r="C67" s="2099"/>
      <c r="K67" s="2088"/>
      <c r="O67" s="2400" t="s">
        <v>2379</v>
      </c>
      <c r="P67" s="2401" t="s">
        <v>2405</v>
      </c>
      <c r="Q67" s="2402" t="e">
        <f ca="1">C41+J31</f>
        <v>#N/A</v>
      </c>
      <c r="R67" s="2401" t="s">
        <v>2380</v>
      </c>
    </row>
    <row r="68" spans="1:18" s="2061" customFormat="1" ht="20.25" thickBot="1">
      <c r="A68" s="2098"/>
      <c r="B68" s="2099"/>
      <c r="C68" s="2099"/>
      <c r="K68" s="2088"/>
      <c r="O68" s="2400" t="s">
        <v>2381</v>
      </c>
      <c r="P68" s="2401" t="s">
        <v>2412</v>
      </c>
      <c r="Q68" s="2402" t="e">
        <f ca="1">L61</f>
        <v>#N/A</v>
      </c>
      <c r="R68" s="2405" t="s">
        <v>2414</v>
      </c>
    </row>
    <row r="69" spans="1:18" s="2061" customFormat="1" ht="21.75" thickBot="1">
      <c r="A69" s="2098"/>
      <c r="B69" s="2099"/>
      <c r="C69" s="2099"/>
      <c r="K69" s="2088"/>
      <c r="O69" s="2403" t="s">
        <v>2383</v>
      </c>
      <c r="P69" s="2401" t="s">
        <v>2413</v>
      </c>
      <c r="Q69" s="2407" t="e">
        <f ca="1">L52</f>
        <v>#N/A</v>
      </c>
      <c r="R69" s="2408" t="s">
        <v>2416</v>
      </c>
    </row>
    <row r="70" spans="1:18" s="2061" customFormat="1" ht="20.25" thickBot="1">
      <c r="A70" s="2098"/>
      <c r="B70" s="2099"/>
      <c r="C70" s="2099"/>
      <c r="K70" s="2088"/>
      <c r="O70" s="2403" t="s">
        <v>2384</v>
      </c>
      <c r="P70" s="2409" t="s">
        <v>2398</v>
      </c>
      <c r="Q70" s="2402" t="e">
        <f ca="1">ROUND(Q71-Q72*Q73,0)</f>
        <v>#N/A</v>
      </c>
      <c r="R70" s="2405"/>
    </row>
    <row r="71" spans="1:18" s="2061" customFormat="1" ht="15.75" thickBot="1">
      <c r="A71" s="2098"/>
      <c r="B71" s="2099"/>
      <c r="C71" s="2099"/>
      <c r="K71" s="2088"/>
      <c r="O71" s="2403" t="s">
        <v>2399</v>
      </c>
      <c r="P71" s="2409" t="s">
        <v>2400</v>
      </c>
      <c r="Q71" s="2402" t="e">
        <f ca="1">C42</f>
        <v>#N/A</v>
      </c>
      <c r="R71" s="2401" t="s">
        <v>2380</v>
      </c>
    </row>
    <row r="72" spans="1:18" s="2061" customFormat="1" ht="15.75" thickBot="1">
      <c r="A72" s="2098"/>
      <c r="B72" s="2099"/>
      <c r="C72" s="2099"/>
      <c r="K72" s="2088"/>
      <c r="O72" s="2403" t="s">
        <v>2401</v>
      </c>
      <c r="P72" s="2409" t="s">
        <v>2402</v>
      </c>
      <c r="Q72" s="2402" t="e">
        <f ca="1">C15</f>
        <v>#N/A</v>
      </c>
      <c r="R72" s="2401" t="s">
        <v>2380</v>
      </c>
    </row>
    <row r="73" spans="1:18" s="2061" customFormat="1" ht="15.75" thickBot="1">
      <c r="A73" s="2098"/>
      <c r="B73" s="2099"/>
      <c r="C73" s="2099"/>
      <c r="K73" s="2088"/>
      <c r="O73" s="2403" t="s">
        <v>2403</v>
      </c>
      <c r="P73" s="2409" t="s">
        <v>2404</v>
      </c>
      <c r="Q73" s="2404" t="e">
        <f ca="1">F43</f>
        <v>#N/A</v>
      </c>
      <c r="R73" s="2405"/>
    </row>
    <row r="74" spans="1:18" s="2061" customFormat="1" ht="15.75" thickBot="1">
      <c r="A74" s="2098"/>
      <c r="B74" s="2099"/>
      <c r="C74" s="2099"/>
      <c r="K74" s="2088"/>
      <c r="O74" s="2403" t="s">
        <v>2386</v>
      </c>
      <c r="P74" s="2401" t="s">
        <v>2393</v>
      </c>
      <c r="Q74" s="2404">
        <f>L53</f>
        <v>0</v>
      </c>
      <c r="R74" s="2405"/>
    </row>
    <row r="75" spans="1:18" s="2061" customFormat="1" ht="20.25" thickBot="1">
      <c r="A75" s="2098"/>
      <c r="B75" s="2099"/>
      <c r="C75" s="2099"/>
      <c r="K75" s="2088"/>
      <c r="O75" s="2403" t="s">
        <v>2388</v>
      </c>
      <c r="P75" s="2401" t="s">
        <v>2394</v>
      </c>
      <c r="Q75" s="2402">
        <f ca="1">L59</f>
        <v>0</v>
      </c>
      <c r="R75" s="2405" t="s">
        <v>2395</v>
      </c>
    </row>
    <row r="76" spans="1:18" s="2061" customFormat="1" ht="20.25" thickBot="1">
      <c r="A76" s="2098"/>
      <c r="B76" s="2099"/>
      <c r="C76" s="2099"/>
      <c r="K76" s="2088"/>
      <c r="O76" s="2403" t="s">
        <v>2417</v>
      </c>
      <c r="P76" s="2401" t="s">
        <v>2396</v>
      </c>
      <c r="Q76" s="2402">
        <f ca="1">L60</f>
        <v>0</v>
      </c>
      <c r="R76" s="2405" t="s">
        <v>2397</v>
      </c>
    </row>
    <row r="77" spans="1:18" s="2061" customFormat="1" ht="15.75" thickBot="1">
      <c r="A77" s="2098"/>
      <c r="B77" s="2099"/>
      <c r="C77" s="2099"/>
      <c r="K77" s="2088"/>
      <c r="O77" s="2400" t="s">
        <v>2391</v>
      </c>
      <c r="P77" s="2401" t="s">
        <v>2408</v>
      </c>
      <c r="Q77" s="2402" t="e">
        <f ca="1">Q67+Q68</f>
        <v>#N/A</v>
      </c>
      <c r="R77" s="2405" t="s">
        <v>2392</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40290平方米。根据《建设工程规划许可证》[]、《出让合同》[]，估价对象规划建筑面积为100725平方米。</v>
      </c>
    </row>
    <row r="7" spans="1:4" ht="56.25">
      <c r="A7" s="1797" t="s">
        <v>2745</v>
      </c>
    </row>
    <row r="8" spans="1:4" ht="18.75">
      <c r="A8" s="1796" t="s">
        <v>1905</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2018年12月12日（评估专业人员勘察现场之日）</v>
      </c>
    </row>
    <row r="12" spans="1:4" ht="18.75">
      <c r="A12" s="1799" t="s">
        <v>2026</v>
      </c>
    </row>
    <row r="13" spans="1:4" ht="18.75">
      <c r="A13" s="1793" t="s">
        <v>2939</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2074</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根据《国有土地使用证》[]，估价对象（分摊）出让国有建设用地使用权面积为40290平方米。根据《建设工程规划许可证》[]、《出让合同》[]，估价对象规划建筑面积为100725平方米。</v>
      </c>
    </row>
    <row r="21" spans="1:1" ht="18.75">
      <c r="A21" s="1793" t="s">
        <v>2075</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本次估价对象为出让国有建设用地使用权，《国有土地使用证》[]证载土地终止日期为住宅2067年6月29日、商业2057年6月29日地下车库2067年6月29日。截至估价期日，出让国有建设用地使用权剩余土地使用年限为。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12月12日，在规划利用条件下、设定土地开发程度为红线外“七通”、宗地内场地平整，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F33" sqref="F33"/>
    </sheetView>
  </sheetViews>
  <sheetFormatPr defaultColWidth="9"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1" t="s">
        <v>2574</v>
      </c>
      <c r="C1" s="3461"/>
      <c r="D1" s="3461"/>
      <c r="E1" s="3461"/>
      <c r="F1" s="3461"/>
      <c r="G1" s="3460" t="s">
        <v>2575</v>
      </c>
      <c r="H1" s="3460"/>
      <c r="I1" s="3460"/>
      <c r="J1" s="3460"/>
      <c r="K1" s="3460"/>
      <c r="L1" s="3460"/>
      <c r="N1" s="3460" t="s">
        <v>2576</v>
      </c>
      <c r="O1" s="3460"/>
      <c r="P1" s="3460"/>
      <c r="Q1" s="3460"/>
      <c r="R1" s="2656"/>
      <c r="S1" s="3460" t="s">
        <v>2577</v>
      </c>
      <c r="T1" s="3460"/>
      <c r="U1" s="3460"/>
      <c r="V1" s="3460"/>
      <c r="X1" s="3459" t="s">
        <v>2637</v>
      </c>
      <c r="Y1" s="3460"/>
      <c r="Z1" s="3460"/>
      <c r="AA1" s="3460"/>
      <c r="AB1" s="3460"/>
      <c r="AD1" s="3459" t="s">
        <v>2641</v>
      </c>
      <c r="AE1" s="3460"/>
      <c r="AF1" s="3460"/>
      <c r="AG1" s="3460"/>
      <c r="AH1" s="3460"/>
    </row>
    <row r="2" spans="1:34" s="2758" customFormat="1" ht="14.25" thickBot="1">
      <c r="B2" s="2766" t="s">
        <v>2578</v>
      </c>
      <c r="C2" s="2766" t="s">
        <v>2639</v>
      </c>
      <c r="D2" s="2759" t="s">
        <v>1644</v>
      </c>
      <c r="E2" s="2759" t="s">
        <v>1950</v>
      </c>
      <c r="F2" s="2766" t="s">
        <v>2640</v>
      </c>
      <c r="G2" s="2762"/>
      <c r="H2" s="2761"/>
      <c r="I2" s="2766" t="s">
        <v>2954</v>
      </c>
      <c r="J2" s="2759" t="s">
        <v>2956</v>
      </c>
      <c r="K2" s="2759" t="s">
        <v>2957</v>
      </c>
      <c r="L2" s="2766" t="s">
        <v>2958</v>
      </c>
      <c r="N2" s="2766" t="s">
        <v>2578</v>
      </c>
      <c r="O2" s="2759" t="s">
        <v>2955</v>
      </c>
      <c r="P2" s="2759" t="s">
        <v>1950</v>
      </c>
      <c r="Q2" s="2766" t="s">
        <v>2640</v>
      </c>
      <c r="R2" s="2760"/>
      <c r="S2" s="2766" t="s">
        <v>2578</v>
      </c>
      <c r="T2" s="2759" t="s">
        <v>2955</v>
      </c>
      <c r="U2" s="2759" t="s">
        <v>1950</v>
      </c>
      <c r="V2" s="2766" t="s">
        <v>2640</v>
      </c>
      <c r="X2" s="2766" t="s">
        <v>2578</v>
      </c>
      <c r="Y2" s="2766" t="s">
        <v>2639</v>
      </c>
      <c r="Z2" s="2759" t="s">
        <v>1644</v>
      </c>
      <c r="AA2" s="2759" t="s">
        <v>1950</v>
      </c>
      <c r="AB2" s="2766" t="s">
        <v>2640</v>
      </c>
      <c r="AD2" s="2766" t="s">
        <v>2578</v>
      </c>
      <c r="AE2" s="2766" t="s">
        <v>2639</v>
      </c>
      <c r="AF2" s="2759" t="s">
        <v>1644</v>
      </c>
      <c r="AG2" s="2759" t="s">
        <v>1950</v>
      </c>
      <c r="AH2" s="2766" t="s">
        <v>2640</v>
      </c>
    </row>
    <row r="3" spans="1:34" s="3135" customFormat="1" ht="14.25">
      <c r="A3" s="3147" t="s">
        <v>2966</v>
      </c>
      <c r="B3" s="3136"/>
      <c r="C3" s="3136"/>
      <c r="D3" s="3137"/>
      <c r="E3" s="3137"/>
      <c r="F3" s="3136"/>
      <c r="G3" s="3138"/>
      <c r="H3" s="3139"/>
      <c r="I3" s="3146">
        <f>ROUND(AVERAGE($I4:$I24),2)</f>
        <v>2.19</v>
      </c>
      <c r="J3" s="3146">
        <f>ROUND(AVERAGE($J4:$J24),2)</f>
        <v>1.53</v>
      </c>
      <c r="K3" s="3146">
        <f>ROUND(AVERAGE($K4:$K24),2)</f>
        <v>2.41</v>
      </c>
      <c r="L3" s="3146">
        <f>ROUND(AVERAGE($L4:$L24),2)</f>
        <v>1.42</v>
      </c>
      <c r="N3" s="3138"/>
      <c r="O3" s="3140"/>
      <c r="P3" s="3140"/>
      <c r="Q3" s="3140"/>
      <c r="R3" s="3140"/>
      <c r="S3" s="3138"/>
      <c r="T3" s="3140"/>
      <c r="U3" s="3140"/>
      <c r="V3" s="3140"/>
      <c r="W3" s="3143"/>
      <c r="X3" s="3141">
        <f>ROUND(SUMPRODUCT(PRODUCT(1+N3:N$23)),4)</f>
        <v>1.4956</v>
      </c>
      <c r="Y3" s="3141">
        <f>ROUND(SUMPRODUCT(PRODUCT(1+O3:O$23)),4)</f>
        <v>1.3237000000000001</v>
      </c>
      <c r="Z3" s="3141">
        <f t="shared" ref="Z3:Z21" si="0">Y3</f>
        <v>1.3237000000000001</v>
      </c>
      <c r="AA3" s="3141">
        <f>ROUND(SUMPRODUCT(PRODUCT(1+P3:P$23)),4)</f>
        <v>1.554</v>
      </c>
      <c r="AB3" s="3141">
        <f>ROUND(SUMPRODUCT(PRODUCT(1+Q3:Q$23)),4)</f>
        <v>1.3087</v>
      </c>
      <c r="AD3" s="3142">
        <f>ROUND(AVERAGE(I3:I$24)/100,4)</f>
        <v>2.1899999999999999E-2</v>
      </c>
      <c r="AE3" s="3142">
        <f>ROUND(AVERAGE(J3:J$24)/100,4)</f>
        <v>1.5299999999999999E-2</v>
      </c>
      <c r="AF3" s="3142">
        <f t="shared" ref="AF3:AF22" si="1">AE3</f>
        <v>1.5299999999999999E-2</v>
      </c>
      <c r="AG3" s="3142">
        <f>ROUND(AVERAGE(K3:K$24)/100,4)</f>
        <v>2.41E-2</v>
      </c>
      <c r="AH3" s="3142">
        <f>ROUND(AVERAGE(L3:L$24)/100,4)</f>
        <v>1.4200000000000001E-2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2979</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5">
        <v>4</v>
      </c>
      <c r="I5" s="3129">
        <v>0</v>
      </c>
      <c r="J5" s="3129">
        <v>0</v>
      </c>
      <c r="K5" s="3129">
        <v>0</v>
      </c>
      <c r="L5" s="3129">
        <v>0</v>
      </c>
      <c r="N5" s="2764">
        <f t="shared" ref="N5" si="6">I5/100</f>
        <v>0</v>
      </c>
      <c r="O5" s="2764">
        <f t="shared" ref="O5" si="7">J5/100</f>
        <v>0</v>
      </c>
      <c r="P5" s="2764">
        <f t="shared" ref="P5" si="8">K5/100</f>
        <v>0</v>
      </c>
      <c r="Q5" s="2764">
        <f t="shared" ref="Q5" si="9">L5/100</f>
        <v>0</v>
      </c>
      <c r="R5" s="3117"/>
      <c r="S5" s="3118"/>
      <c r="T5" s="3117"/>
      <c r="U5" s="3117"/>
      <c r="V5" s="3117"/>
      <c r="W5" s="3145" t="s">
        <v>2967</v>
      </c>
      <c r="X5" s="3119">
        <f>ROUND(SUMPRODUCT(PRODUCT(1+N5:N$23)),4)</f>
        <v>1.4956</v>
      </c>
      <c r="Y5" s="3119">
        <f>ROUND(SUMPRODUCT(PRODUCT(1+O5:O$23)),4)</f>
        <v>1.3237000000000001</v>
      </c>
      <c r="Z5" s="3119">
        <f t="shared" ref="Z5" si="10">Y5</f>
        <v>1.3237000000000001</v>
      </c>
      <c r="AA5" s="3119">
        <f>ROUND(SUMPRODUCT(PRODUCT(1+P5:P$23)),4)</f>
        <v>1.554</v>
      </c>
      <c r="AB5" s="3119">
        <f>ROUND(SUMPRODUCT(PRODUCT(1+Q5:Q$23)),4)</f>
        <v>1.3087</v>
      </c>
      <c r="AD5" s="3120">
        <f>ROUND(AVERAGE(I5:I$24)/100,4)</f>
        <v>2.1899999999999999E-2</v>
      </c>
      <c r="AE5" s="3120">
        <f>ROUND(AVERAGE(J5:J$24)/100,4)</f>
        <v>1.5299999999999999E-2</v>
      </c>
      <c r="AF5" s="3120">
        <f t="shared" ref="AF5" si="11">AE5</f>
        <v>1.5299999999999999E-2</v>
      </c>
      <c r="AG5" s="3120">
        <f>ROUND(AVERAGE(K5:K$24)/100,4)</f>
        <v>2.41E-2</v>
      </c>
      <c r="AH5" s="3120">
        <f>ROUND(AVERAGE(L5:L$24)/100,4)</f>
        <v>1.4200000000000001E-2</v>
      </c>
    </row>
    <row r="6" spans="1:34" s="2763" customFormat="1" ht="13.5" thickBot="1">
      <c r="A6" s="2657" t="s">
        <v>2977</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4"/>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2978</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4"/>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2973</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4"/>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2964</v>
      </c>
      <c r="B9" s="3149">
        <v>439</v>
      </c>
      <c r="C9" s="3149">
        <v>327</v>
      </c>
      <c r="D9" s="3149">
        <f t="shared" si="33"/>
        <v>327</v>
      </c>
      <c r="E9" s="3149">
        <v>627</v>
      </c>
      <c r="F9" s="3150">
        <v>283</v>
      </c>
      <c r="G9" s="3132">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2968</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4"/>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2579</v>
      </c>
      <c r="B11" s="2671">
        <f t="shared" si="45"/>
        <v>419.31181600000002</v>
      </c>
      <c r="C11" s="2671">
        <f t="shared" si="45"/>
        <v>313.95436800000004</v>
      </c>
      <c r="D11" s="2671">
        <f t="shared" si="33"/>
        <v>313.95436800000004</v>
      </c>
      <c r="E11" s="2671">
        <f t="shared" si="46"/>
        <v>596.63028431999999</v>
      </c>
      <c r="F11" s="2671">
        <f t="shared" si="46"/>
        <v>274.74220703999998</v>
      </c>
      <c r="G11" s="3133"/>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2580</v>
      </c>
      <c r="B12" s="2671">
        <f t="shared" si="45"/>
        <v>405.524</v>
      </c>
      <c r="C12" s="2671">
        <f t="shared" si="45"/>
        <v>307.79840000000002</v>
      </c>
      <c r="D12" s="2671">
        <f t="shared" si="33"/>
        <v>307.79840000000002</v>
      </c>
      <c r="E12" s="2671">
        <f t="shared" si="46"/>
        <v>574.67759999999998</v>
      </c>
      <c r="F12" s="2671">
        <f t="shared" si="46"/>
        <v>270.20280000000002</v>
      </c>
      <c r="G12" s="3134"/>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970</v>
      </c>
      <c r="B13" s="2663">
        <v>392</v>
      </c>
      <c r="C13" s="2663">
        <v>302</v>
      </c>
      <c r="D13" s="2663">
        <f t="shared" si="33"/>
        <v>302</v>
      </c>
      <c r="E13" s="2663">
        <v>553</v>
      </c>
      <c r="F13" s="2664">
        <v>266</v>
      </c>
      <c r="G13" s="3468">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969</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63"/>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959</v>
      </c>
      <c r="B15" s="2671">
        <f t="shared" si="54"/>
        <v>360.06949782209392</v>
      </c>
      <c r="C15" s="2671">
        <f t="shared" si="54"/>
        <v>289.84672674747821</v>
      </c>
      <c r="D15" s="2671">
        <f t="shared" si="55"/>
        <v>289.84672674747821</v>
      </c>
      <c r="E15" s="2671">
        <f t="shared" si="56"/>
        <v>501.06543001181495</v>
      </c>
      <c r="F15" s="2671">
        <f t="shared" si="56"/>
        <v>256.82882500744967</v>
      </c>
      <c r="G15" s="3463"/>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968</v>
      </c>
      <c r="B16" s="2671">
        <f t="shared" si="54"/>
        <v>346.720748986128</v>
      </c>
      <c r="C16" s="2671">
        <f t="shared" si="54"/>
        <v>284.30282172386285</v>
      </c>
      <c r="D16" s="2671">
        <f t="shared" si="55"/>
        <v>284.30282172386285</v>
      </c>
      <c r="E16" s="2671">
        <f t="shared" si="56"/>
        <v>479.58023546306947</v>
      </c>
      <c r="F16" s="2671">
        <f t="shared" si="56"/>
        <v>253.25788877571213</v>
      </c>
      <c r="G16" s="3464"/>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967</v>
      </c>
      <c r="B17" s="2663">
        <v>333</v>
      </c>
      <c r="C17" s="2663">
        <v>277</v>
      </c>
      <c r="D17" s="2663">
        <f t="shared" si="55"/>
        <v>277</v>
      </c>
      <c r="E17" s="2663">
        <v>459</v>
      </c>
      <c r="F17" s="2664">
        <v>249</v>
      </c>
      <c r="G17" s="3462">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966</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63"/>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965</v>
      </c>
      <c r="B19" s="2671">
        <f t="shared" si="58"/>
        <v>322.34053690220776</v>
      </c>
      <c r="C19" s="2671">
        <f t="shared" si="58"/>
        <v>271.46160770422546</v>
      </c>
      <c r="D19" s="2671">
        <f t="shared" si="55"/>
        <v>271.46160770422546</v>
      </c>
      <c r="E19" s="2671">
        <f t="shared" si="59"/>
        <v>442.69434542172456</v>
      </c>
      <c r="F19" s="2671">
        <f t="shared" si="59"/>
        <v>241.34030753190925</v>
      </c>
      <c r="G19" s="3463"/>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964</v>
      </c>
      <c r="B20" s="2671">
        <f t="shared" si="58"/>
        <v>319.87748030386797</v>
      </c>
      <c r="C20" s="2671">
        <f t="shared" si="58"/>
        <v>269.60135833173649</v>
      </c>
      <c r="D20" s="2671">
        <f t="shared" si="55"/>
        <v>269.60135833173649</v>
      </c>
      <c r="E20" s="2671">
        <f t="shared" si="59"/>
        <v>439.18089823583784</v>
      </c>
      <c r="F20" s="2671">
        <f t="shared" si="59"/>
        <v>239.23503918706311</v>
      </c>
      <c r="G20" s="3464"/>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963</v>
      </c>
      <c r="B21" s="2685">
        <v>318</v>
      </c>
      <c r="C21" s="2685">
        <v>268</v>
      </c>
      <c r="D21" s="2685">
        <f t="shared" si="55"/>
        <v>268</v>
      </c>
      <c r="E21" s="2685">
        <v>437</v>
      </c>
      <c r="F21" s="2686">
        <v>237</v>
      </c>
      <c r="G21" s="3462">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962</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63"/>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961</v>
      </c>
      <c r="B23" s="2671">
        <f t="shared" si="60"/>
        <v>314.72141172386546</v>
      </c>
      <c r="C23" s="2671">
        <f t="shared" si="60"/>
        <v>263.03901319069001</v>
      </c>
      <c r="D23" s="2671">
        <f t="shared" si="55"/>
        <v>263.03901319069001</v>
      </c>
      <c r="E23" s="2671">
        <f t="shared" si="61"/>
        <v>433.65745506782821</v>
      </c>
      <c r="F23" s="2671">
        <f t="shared" si="61"/>
        <v>233.23005080045735</v>
      </c>
      <c r="G23" s="3463"/>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960</v>
      </c>
      <c r="B24" s="2690">
        <f t="shared" si="60"/>
        <v>307.34512863658733</v>
      </c>
      <c r="C24" s="2690">
        <f t="shared" si="60"/>
        <v>257.80556031626975</v>
      </c>
      <c r="D24" s="2690">
        <f t="shared" si="55"/>
        <v>257.80556031626975</v>
      </c>
      <c r="E24" s="2690">
        <f t="shared" si="61"/>
        <v>422.70928459677179</v>
      </c>
      <c r="F24" s="2690">
        <f t="shared" si="61"/>
        <v>229.73803270336617</v>
      </c>
      <c r="G24" s="3464"/>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2638</v>
      </c>
      <c r="X24" s="2767">
        <v>1</v>
      </c>
      <c r="Y24" s="2767">
        <v>1</v>
      </c>
      <c r="Z24" s="2767">
        <v>1</v>
      </c>
      <c r="AA24" s="2767">
        <v>1</v>
      </c>
      <c r="AB24" s="2767">
        <v>1</v>
      </c>
      <c r="AD24" s="3011">
        <f>I24/100</f>
        <v>2.9700000000000001E-2</v>
      </c>
      <c r="AE24" s="3011">
        <f>J24/100</f>
        <v>2.3399999999999997E-2</v>
      </c>
      <c r="AF24" s="3011">
        <f>AE24</f>
        <v>2.3399999999999997E-2</v>
      </c>
      <c r="AG24" s="3011">
        <f>K24/100</f>
        <v>3.2799999999999996E-2</v>
      </c>
      <c r="AH24" s="3011">
        <f>L24/100</f>
        <v>1.3600000000000001E-2</v>
      </c>
    </row>
    <row r="25" spans="1:34" ht="13.5" thickBot="1">
      <c r="A25" s="2657" t="s">
        <v>2581</v>
      </c>
      <c r="B25" s="2663">
        <v>299</v>
      </c>
      <c r="C25" s="2663">
        <v>252</v>
      </c>
      <c r="D25" s="2663">
        <f t="shared" si="55"/>
        <v>252</v>
      </c>
      <c r="E25" s="2663">
        <v>409</v>
      </c>
      <c r="F25" s="2664">
        <v>227</v>
      </c>
      <c r="G25" s="3465">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2582</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66"/>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2583</v>
      </c>
      <c r="B27" s="2671">
        <f t="shared" si="64"/>
        <v>288.2649053828776</v>
      </c>
      <c r="C27" s="2671">
        <f t="shared" si="64"/>
        <v>243.64564425013293</v>
      </c>
      <c r="D27" s="2671">
        <f t="shared" si="55"/>
        <v>243.64564425013293</v>
      </c>
      <c r="E27" s="2671">
        <f t="shared" si="65"/>
        <v>393.31080825986544</v>
      </c>
      <c r="F27" s="2671">
        <f t="shared" si="65"/>
        <v>223.07903790551154</v>
      </c>
      <c r="G27" s="3466"/>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2584</v>
      </c>
      <c r="B28" s="2671">
        <f t="shared" si="64"/>
        <v>282.50186729015837</v>
      </c>
      <c r="C28" s="2671">
        <f t="shared" si="64"/>
        <v>238.09796174155468</v>
      </c>
      <c r="D28" s="2671">
        <f t="shared" si="55"/>
        <v>238.09796174155468</v>
      </c>
      <c r="E28" s="2671">
        <f t="shared" si="65"/>
        <v>385.33438646014054</v>
      </c>
      <c r="F28" s="2671">
        <f t="shared" si="65"/>
        <v>221.55034055567739</v>
      </c>
      <c r="G28" s="3467"/>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2585</v>
      </c>
      <c r="B29" s="2701">
        <v>278</v>
      </c>
      <c r="C29" s="2701">
        <v>234</v>
      </c>
      <c r="D29" s="2701">
        <f t="shared" si="55"/>
        <v>234</v>
      </c>
      <c r="E29" s="2701">
        <v>379</v>
      </c>
      <c r="F29" s="2702">
        <v>220</v>
      </c>
      <c r="G29" s="3462">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2586</v>
      </c>
      <c r="B30" s="2671">
        <f>B29/(1+N29)</f>
        <v>275.49301357645425</v>
      </c>
      <c r="C30" s="2671">
        <f>C29/(1+O29)</f>
        <v>232.41954707985698</v>
      </c>
      <c r="D30" s="2671">
        <f t="shared" si="55"/>
        <v>232.41954707985698</v>
      </c>
      <c r="E30" s="2671">
        <f t="shared" ref="E30:F32" si="66">E29/(1+P29)</f>
        <v>375.32184591008121</v>
      </c>
      <c r="F30" s="2671">
        <f t="shared" si="66"/>
        <v>218.03766105054513</v>
      </c>
      <c r="G30" s="3463"/>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2587</v>
      </c>
      <c r="B31" s="2671">
        <f>B30/(1+N30)</f>
        <v>275.24529281292263</v>
      </c>
      <c r="C31" s="2671">
        <f>C30/(1+O30)</f>
        <v>231.74747938962707</v>
      </c>
      <c r="D31" s="2671">
        <f t="shared" si="55"/>
        <v>231.74747938962707</v>
      </c>
      <c r="E31" s="2671">
        <f t="shared" si="66"/>
        <v>375.35938184826603</v>
      </c>
      <c r="F31" s="2671">
        <f t="shared" si="66"/>
        <v>216.78033510692495</v>
      </c>
      <c r="G31" s="3463"/>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2588</v>
      </c>
      <c r="B32" s="2671">
        <f>B31/(1+N31)</f>
        <v>275.19025476197027</v>
      </c>
      <c r="C32" s="2703">
        <v>232</v>
      </c>
      <c r="D32" s="2703">
        <f t="shared" si="55"/>
        <v>232</v>
      </c>
      <c r="E32" s="2671">
        <f t="shared" si="66"/>
        <v>375.65990977608692</v>
      </c>
      <c r="F32" s="2671">
        <f t="shared" si="66"/>
        <v>214.12518283971252</v>
      </c>
      <c r="G32" s="3464"/>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2589</v>
      </c>
      <c r="B33" s="2663">
        <v>275</v>
      </c>
      <c r="C33" s="2663">
        <v>232</v>
      </c>
      <c r="D33" s="2663">
        <f t="shared" si="55"/>
        <v>232</v>
      </c>
      <c r="E33" s="2663">
        <v>376</v>
      </c>
      <c r="F33" s="2664">
        <v>213</v>
      </c>
      <c r="G33" s="3462">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2590</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63">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2591</v>
      </c>
      <c r="B35" s="2671">
        <f t="shared" si="67"/>
        <v>275.19335084830601</v>
      </c>
      <c r="C35" s="2671">
        <f t="shared" si="67"/>
        <v>230.18088050139744</v>
      </c>
      <c r="D35" s="2671">
        <f t="shared" si="55"/>
        <v>230.18088050139744</v>
      </c>
      <c r="E35" s="2671">
        <f t="shared" si="68"/>
        <v>377.58482925212331</v>
      </c>
      <c r="F35" s="2671">
        <f t="shared" si="68"/>
        <v>210.90687997847917</v>
      </c>
      <c r="G35" s="3463">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2592</v>
      </c>
      <c r="B36" s="2671">
        <f t="shared" si="67"/>
        <v>276.29854502841971</v>
      </c>
      <c r="C36" s="2671">
        <f t="shared" si="67"/>
        <v>229.79023709833027</v>
      </c>
      <c r="D36" s="2671">
        <f t="shared" si="55"/>
        <v>229.79023709833027</v>
      </c>
      <c r="E36" s="2671">
        <f t="shared" si="68"/>
        <v>379.78759731655936</v>
      </c>
      <c r="F36" s="2671">
        <f t="shared" si="68"/>
        <v>211.32953905659235</v>
      </c>
      <c r="G36" s="3464">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2593</v>
      </c>
      <c r="B37" s="2663">
        <v>269</v>
      </c>
      <c r="C37" s="2663">
        <v>221</v>
      </c>
      <c r="D37" s="2663">
        <f t="shared" si="55"/>
        <v>221</v>
      </c>
      <c r="E37" s="2663">
        <v>373</v>
      </c>
      <c r="F37" s="2664">
        <v>196</v>
      </c>
      <c r="G37" s="3462">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2594</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63">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2595</v>
      </c>
      <c r="B39" s="2671">
        <f t="shared" si="69"/>
        <v>242.95398227588385</v>
      </c>
      <c r="C39" s="2671">
        <f t="shared" si="69"/>
        <v>199.59137053614126</v>
      </c>
      <c r="D39" s="2671">
        <f t="shared" si="55"/>
        <v>199.59137053614126</v>
      </c>
      <c r="E39" s="2671">
        <f t="shared" si="70"/>
        <v>335.92189522342125</v>
      </c>
      <c r="F39" s="2671">
        <f t="shared" si="70"/>
        <v>183.10139991109489</v>
      </c>
      <c r="G39" s="3463">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2596</v>
      </c>
      <c r="B40" s="2671">
        <f t="shared" si="69"/>
        <v>232.06990378821649</v>
      </c>
      <c r="C40" s="2671">
        <f t="shared" si="69"/>
        <v>192.74878854286936</v>
      </c>
      <c r="D40" s="2671">
        <f t="shared" si="55"/>
        <v>192.74878854286936</v>
      </c>
      <c r="E40" s="2671">
        <f t="shared" si="70"/>
        <v>319.71247284992984</v>
      </c>
      <c r="F40" s="2671">
        <f t="shared" si="70"/>
        <v>175.67053622862409</v>
      </c>
      <c r="G40" s="3464">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2597</v>
      </c>
      <c r="B41" s="2663">
        <v>220</v>
      </c>
      <c r="C41" s="2663">
        <v>187</v>
      </c>
      <c r="D41" s="2663">
        <f t="shared" si="55"/>
        <v>187</v>
      </c>
      <c r="E41" s="2663">
        <v>301</v>
      </c>
      <c r="F41" s="2664">
        <v>168</v>
      </c>
      <c r="G41" s="3462">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2598</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63">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2599</v>
      </c>
      <c r="B43" s="2671">
        <f t="shared" si="71"/>
        <v>210.630522469011</v>
      </c>
      <c r="C43" s="2671">
        <f t="shared" si="71"/>
        <v>181.69567812247232</v>
      </c>
      <c r="D43" s="2671">
        <f t="shared" si="55"/>
        <v>181.69567812247232</v>
      </c>
      <c r="E43" s="2671">
        <f t="shared" si="72"/>
        <v>286.13517466736738</v>
      </c>
      <c r="F43" s="2671">
        <f t="shared" si="72"/>
        <v>165.47535084591149</v>
      </c>
      <c r="G43" s="3463">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2600</v>
      </c>
      <c r="B44" s="2671">
        <f t="shared" si="71"/>
        <v>208.83454537875372</v>
      </c>
      <c r="C44" s="2671">
        <f t="shared" si="71"/>
        <v>183.77230517090351</v>
      </c>
      <c r="D44" s="2671">
        <f t="shared" si="55"/>
        <v>183.77230517090351</v>
      </c>
      <c r="E44" s="2671">
        <f t="shared" si="72"/>
        <v>281.10342338870947</v>
      </c>
      <c r="F44" s="2671">
        <f t="shared" si="72"/>
        <v>168.97309388942256</v>
      </c>
      <c r="G44" s="3464">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2601</v>
      </c>
      <c r="B45" s="2701">
        <v>214</v>
      </c>
      <c r="C45" s="2701">
        <v>188</v>
      </c>
      <c r="D45" s="2701">
        <f t="shared" si="55"/>
        <v>188</v>
      </c>
      <c r="E45" s="2701">
        <v>289</v>
      </c>
      <c r="F45" s="2702">
        <v>166</v>
      </c>
      <c r="G45" s="3462">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2602</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63">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2603</v>
      </c>
      <c r="B47" s="2671">
        <f t="shared" si="73"/>
        <v>206.31694671589116</v>
      </c>
      <c r="C47" s="2671">
        <f t="shared" si="73"/>
        <v>183.61041121036101</v>
      </c>
      <c r="D47" s="2671">
        <f t="shared" si="55"/>
        <v>183.61041121036101</v>
      </c>
      <c r="E47" s="2671">
        <f t="shared" si="74"/>
        <v>276.66850301795557</v>
      </c>
      <c r="F47" s="2671">
        <f t="shared" si="74"/>
        <v>165.1360938278614</v>
      </c>
      <c r="G47" s="3463">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2604</v>
      </c>
      <c r="B48" s="2704">
        <f t="shared" si="73"/>
        <v>196.62341248059772</v>
      </c>
      <c r="C48" s="2704">
        <f t="shared" si="73"/>
        <v>170.99125648199012</v>
      </c>
      <c r="D48" s="2704">
        <f t="shared" si="55"/>
        <v>170.99125648199012</v>
      </c>
      <c r="E48" s="2704">
        <f t="shared" si="74"/>
        <v>266.07857570490052</v>
      </c>
      <c r="F48" s="2704">
        <f t="shared" si="74"/>
        <v>154.53499328828505</v>
      </c>
      <c r="G48" s="3464">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2605</v>
      </c>
      <c r="B49" s="2663">
        <v>188</v>
      </c>
      <c r="C49" s="2663">
        <v>165</v>
      </c>
      <c r="D49" s="2663">
        <f t="shared" si="55"/>
        <v>165</v>
      </c>
      <c r="E49" s="2663">
        <v>254</v>
      </c>
      <c r="F49" s="2664">
        <v>148</v>
      </c>
      <c r="G49" s="3462">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2606</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63">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2607</v>
      </c>
      <c r="B51" s="2671">
        <f t="shared" si="77"/>
        <v>168.82017748715555</v>
      </c>
      <c r="C51" s="2671">
        <f t="shared" si="77"/>
        <v>148.06267029972753</v>
      </c>
      <c r="D51" s="2671">
        <f t="shared" si="55"/>
        <v>148.06267029972753</v>
      </c>
      <c r="E51" s="2671">
        <f t="shared" si="78"/>
        <v>216.46288379323747</v>
      </c>
      <c r="F51" s="2671">
        <f t="shared" si="78"/>
        <v>134.23529411764704</v>
      </c>
      <c r="G51" s="3463">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2608</v>
      </c>
      <c r="B52" s="2671">
        <f t="shared" si="77"/>
        <v>163.84913591779542</v>
      </c>
      <c r="C52" s="2671">
        <f t="shared" si="77"/>
        <v>145.0283378746594</v>
      </c>
      <c r="D52" s="2671">
        <f t="shared" si="55"/>
        <v>145.0283378746594</v>
      </c>
      <c r="E52" s="2671">
        <f t="shared" si="78"/>
        <v>204.95180722891567</v>
      </c>
      <c r="F52" s="2671">
        <f t="shared" si="78"/>
        <v>125.95920303605313</v>
      </c>
      <c r="G52" s="3464">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2609</v>
      </c>
      <c r="B53" s="2685">
        <v>159</v>
      </c>
      <c r="C53" s="2685">
        <v>141</v>
      </c>
      <c r="D53" s="2685">
        <f t="shared" si="55"/>
        <v>141</v>
      </c>
      <c r="E53" s="2685">
        <v>195</v>
      </c>
      <c r="F53" s="2686">
        <v>122</v>
      </c>
      <c r="G53" s="3462">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2610</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63">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2611</v>
      </c>
      <c r="B55" s="2671">
        <f t="shared" si="81"/>
        <v>146.57412060301507</v>
      </c>
      <c r="C55" s="2671">
        <f t="shared" si="81"/>
        <v>136.46831955922866</v>
      </c>
      <c r="D55" s="2671">
        <f t="shared" si="55"/>
        <v>136.46831955922866</v>
      </c>
      <c r="E55" s="2671">
        <f t="shared" si="82"/>
        <v>166.73864894795128</v>
      </c>
      <c r="F55" s="2671">
        <f t="shared" si="82"/>
        <v>115.05882352941177</v>
      </c>
      <c r="G55" s="3463">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2612</v>
      </c>
      <c r="B56" s="2671">
        <f t="shared" si="81"/>
        <v>144.04145728643215</v>
      </c>
      <c r="C56" s="2671">
        <f t="shared" si="81"/>
        <v>136.12396694214877</v>
      </c>
      <c r="D56" s="2671">
        <f t="shared" si="55"/>
        <v>136.12396694214877</v>
      </c>
      <c r="E56" s="2671">
        <f t="shared" si="82"/>
        <v>158.32225913621264</v>
      </c>
      <c r="F56" s="2671">
        <f t="shared" si="82"/>
        <v>114.04278074866311</v>
      </c>
      <c r="G56" s="3464">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2613</v>
      </c>
      <c r="B57" s="2685">
        <v>138</v>
      </c>
      <c r="C57" s="2685">
        <v>131</v>
      </c>
      <c r="D57" s="2685">
        <f t="shared" si="55"/>
        <v>131</v>
      </c>
      <c r="E57" s="2685">
        <v>155</v>
      </c>
      <c r="F57" s="2686">
        <v>114</v>
      </c>
      <c r="G57" s="3462">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2614</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63">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2615</v>
      </c>
      <c r="B59" s="2671">
        <f t="shared" si="85"/>
        <v>124.29032258064517</v>
      </c>
      <c r="C59" s="2671">
        <f t="shared" si="85"/>
        <v>123.8968609865471</v>
      </c>
      <c r="D59" s="2671">
        <f t="shared" si="55"/>
        <v>123.8968609865471</v>
      </c>
      <c r="E59" s="2671">
        <f t="shared" si="86"/>
        <v>138.00507614213197</v>
      </c>
      <c r="F59" s="2671">
        <f t="shared" si="86"/>
        <v>107.96106557377048</v>
      </c>
      <c r="G59" s="3463">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2616</v>
      </c>
      <c r="B60" s="2671">
        <f t="shared" si="85"/>
        <v>122.57204301075269</v>
      </c>
      <c r="C60" s="2671">
        <f t="shared" si="85"/>
        <v>123.4932735426009</v>
      </c>
      <c r="D60" s="2671">
        <f t="shared" si="55"/>
        <v>123.4932735426009</v>
      </c>
      <c r="E60" s="2671">
        <f t="shared" si="86"/>
        <v>129.82233502538071</v>
      </c>
      <c r="F60" s="2671">
        <f t="shared" si="86"/>
        <v>107.39446721311475</v>
      </c>
      <c r="G60" s="3464">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2617</v>
      </c>
      <c r="B61" s="2701">
        <v>121</v>
      </c>
      <c r="C61" s="2701">
        <v>122</v>
      </c>
      <c r="D61" s="2701">
        <f t="shared" si="55"/>
        <v>122</v>
      </c>
      <c r="E61" s="2701">
        <v>124</v>
      </c>
      <c r="F61" s="2702">
        <v>107</v>
      </c>
      <c r="G61" s="3462">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2618</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63">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2619</v>
      </c>
      <c r="B63" s="2671">
        <f t="shared" si="89"/>
        <v>116.99099099099099</v>
      </c>
      <c r="C63" s="2671">
        <f t="shared" si="89"/>
        <v>118.84848484848486</v>
      </c>
      <c r="D63" s="2671">
        <f t="shared" si="55"/>
        <v>118.84848484848486</v>
      </c>
      <c r="E63" s="2671">
        <f t="shared" si="90"/>
        <v>117.60960960960961</v>
      </c>
      <c r="F63" s="2671">
        <f t="shared" si="90"/>
        <v>104</v>
      </c>
      <c r="G63" s="3463">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2620</v>
      </c>
      <c r="B64" s="2704">
        <f t="shared" si="89"/>
        <v>112.48648648648648</v>
      </c>
      <c r="C64" s="2704">
        <f t="shared" si="89"/>
        <v>115.21212121212122</v>
      </c>
      <c r="D64" s="2704">
        <f t="shared" si="55"/>
        <v>115.21212121212122</v>
      </c>
      <c r="E64" s="2704">
        <f t="shared" si="90"/>
        <v>110.4024024024024</v>
      </c>
      <c r="F64" s="2704">
        <f t="shared" si="90"/>
        <v>104</v>
      </c>
      <c r="G64" s="3464">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2621</v>
      </c>
      <c r="B65" s="2722">
        <v>111</v>
      </c>
      <c r="C65" s="2722">
        <v>114</v>
      </c>
      <c r="D65" s="2722">
        <f t="shared" si="55"/>
        <v>114</v>
      </c>
      <c r="E65" s="2722">
        <v>108</v>
      </c>
      <c r="F65" s="2723">
        <v>104</v>
      </c>
      <c r="G65" s="3462">
        <v>2003</v>
      </c>
      <c r="H65" s="2712">
        <v>4</v>
      </c>
      <c r="I65" s="2724"/>
      <c r="J65" s="2724"/>
      <c r="K65" s="2724"/>
      <c r="L65" s="2724"/>
      <c r="N65" s="2725"/>
      <c r="O65" s="2724"/>
      <c r="P65" s="2724"/>
      <c r="Q65" s="2724"/>
      <c r="S65" s="2725"/>
      <c r="T65" s="2724"/>
      <c r="U65" s="2724"/>
      <c r="V65" s="2724"/>
      <c r="X65" s="2716"/>
      <c r="Y65" s="2716"/>
      <c r="Z65" s="2716"/>
    </row>
    <row r="66" spans="1:26">
      <c r="A66" s="2657" t="s">
        <v>2622</v>
      </c>
      <c r="B66" s="2726">
        <f t="shared" ref="B66:C68" si="91">B67+(B$65-B$69)/4</f>
        <v>109.75</v>
      </c>
      <c r="C66" s="2726">
        <f t="shared" si="91"/>
        <v>112.25</v>
      </c>
      <c r="D66" s="2726">
        <f t="shared" si="55"/>
        <v>112.25</v>
      </c>
      <c r="E66" s="2726">
        <f t="shared" ref="E66:F68" si="92">E67+(E$65-E$69)/4</f>
        <v>107.25</v>
      </c>
      <c r="F66" s="2726">
        <f t="shared" si="92"/>
        <v>103.5</v>
      </c>
      <c r="G66" s="3463">
        <v>2003</v>
      </c>
      <c r="H66" s="2682">
        <v>3</v>
      </c>
      <c r="I66" s="2724"/>
      <c r="J66" s="2724"/>
      <c r="K66" s="2724"/>
      <c r="L66" s="2724"/>
      <c r="X66" s="2716"/>
      <c r="Y66" s="2716"/>
      <c r="Z66" s="2716"/>
    </row>
    <row r="67" spans="1:26">
      <c r="A67" s="2657" t="s">
        <v>2623</v>
      </c>
      <c r="B67" s="2726">
        <f t="shared" si="91"/>
        <v>108.5</v>
      </c>
      <c r="C67" s="2726">
        <f t="shared" si="91"/>
        <v>110.5</v>
      </c>
      <c r="D67" s="2726">
        <f t="shared" si="55"/>
        <v>110.5</v>
      </c>
      <c r="E67" s="2726">
        <f t="shared" si="92"/>
        <v>106.5</v>
      </c>
      <c r="F67" s="2726">
        <f t="shared" si="92"/>
        <v>103</v>
      </c>
      <c r="G67" s="3463">
        <v>2003</v>
      </c>
      <c r="H67" s="2662">
        <v>2</v>
      </c>
      <c r="I67" s="2724"/>
      <c r="J67" s="2724"/>
      <c r="K67" s="2724"/>
      <c r="L67" s="2724"/>
      <c r="X67" s="2716"/>
      <c r="Y67" s="2716"/>
      <c r="Z67" s="2716"/>
    </row>
    <row r="68" spans="1:26" ht="13.5" thickBot="1">
      <c r="A68" s="2657" t="s">
        <v>2624</v>
      </c>
      <c r="B68" s="2726">
        <f t="shared" si="91"/>
        <v>107.25</v>
      </c>
      <c r="C68" s="2726">
        <f t="shared" si="91"/>
        <v>108.75</v>
      </c>
      <c r="D68" s="2726">
        <f t="shared" si="55"/>
        <v>108.75</v>
      </c>
      <c r="E68" s="2726">
        <f t="shared" si="92"/>
        <v>105.75</v>
      </c>
      <c r="F68" s="2726">
        <f t="shared" si="92"/>
        <v>102.5</v>
      </c>
      <c r="G68" s="3464">
        <v>2003</v>
      </c>
      <c r="H68" s="2727">
        <v>1</v>
      </c>
      <c r="I68" s="2724"/>
      <c r="J68" s="2724"/>
      <c r="K68" s="2724"/>
      <c r="L68" s="2724"/>
      <c r="S68" s="2666"/>
      <c r="T68" s="2667"/>
      <c r="U68" s="2667"/>
      <c r="X68" s="2716"/>
      <c r="Y68" s="2716"/>
      <c r="Z68" s="2716"/>
    </row>
    <row r="69" spans="1:26" ht="13.5" thickBot="1">
      <c r="A69" s="2657" t="s">
        <v>2625</v>
      </c>
      <c r="B69" s="2728">
        <v>106</v>
      </c>
      <c r="C69" s="2728">
        <v>107</v>
      </c>
      <c r="D69" s="2728">
        <f t="shared" si="55"/>
        <v>107</v>
      </c>
      <c r="E69" s="2728">
        <v>105</v>
      </c>
      <c r="F69" s="2729">
        <v>102</v>
      </c>
      <c r="G69" s="3462">
        <v>2002</v>
      </c>
      <c r="H69" s="2677">
        <v>4</v>
      </c>
      <c r="I69" s="2724"/>
      <c r="J69" s="2724"/>
      <c r="K69" s="2724"/>
      <c r="L69" s="2724"/>
      <c r="N69" s="2725"/>
      <c r="O69" s="2724"/>
      <c r="P69" s="2724"/>
      <c r="Q69" s="2724"/>
      <c r="S69" s="2725"/>
      <c r="T69" s="2724"/>
      <c r="U69" s="2724"/>
      <c r="V69" s="2724"/>
      <c r="X69" s="2716"/>
      <c r="Y69" s="2716"/>
      <c r="Z69" s="2716"/>
    </row>
    <row r="70" spans="1:26">
      <c r="A70" s="2657" t="s">
        <v>2626</v>
      </c>
      <c r="B70" s="2726">
        <f t="shared" ref="B70:C72" si="93">B71+(B$69-B$73)/4</f>
        <v>105</v>
      </c>
      <c r="C70" s="2726">
        <f t="shared" si="93"/>
        <v>106</v>
      </c>
      <c r="D70" s="2726">
        <f t="shared" si="55"/>
        <v>106</v>
      </c>
      <c r="E70" s="2726">
        <f t="shared" ref="E70:F72" si="94">E71+(E$69-E$73)/4</f>
        <v>104.5</v>
      </c>
      <c r="F70" s="2726">
        <f t="shared" si="94"/>
        <v>101.5</v>
      </c>
      <c r="G70" s="3463">
        <v>2002</v>
      </c>
      <c r="H70" s="2682">
        <v>3</v>
      </c>
      <c r="I70" s="2724"/>
      <c r="J70" s="2724"/>
      <c r="K70" s="2724"/>
      <c r="L70" s="2724"/>
      <c r="X70" s="2716"/>
      <c r="Y70" s="2716"/>
      <c r="Z70" s="2716"/>
    </row>
    <row r="71" spans="1:26">
      <c r="A71" s="2657" t="s">
        <v>2627</v>
      </c>
      <c r="B71" s="2726">
        <f t="shared" si="93"/>
        <v>104</v>
      </c>
      <c r="C71" s="2726">
        <f t="shared" si="93"/>
        <v>105</v>
      </c>
      <c r="D71" s="2726">
        <f t="shared" si="55"/>
        <v>105</v>
      </c>
      <c r="E71" s="2726">
        <f t="shared" si="94"/>
        <v>104</v>
      </c>
      <c r="F71" s="2726">
        <f t="shared" si="94"/>
        <v>101</v>
      </c>
      <c r="G71" s="3463">
        <v>2002</v>
      </c>
      <c r="H71" s="2662">
        <v>2</v>
      </c>
      <c r="I71" s="2724"/>
      <c r="J71" s="2724"/>
      <c r="K71" s="2724"/>
      <c r="L71" s="2724"/>
      <c r="X71" s="2716"/>
      <c r="Y71" s="2716"/>
      <c r="Z71" s="2716"/>
    </row>
    <row r="72" spans="1:26" s="2693" customFormat="1" ht="13.5" thickBot="1">
      <c r="A72" s="2689" t="s">
        <v>2628</v>
      </c>
      <c r="B72" s="2730">
        <f t="shared" si="93"/>
        <v>103</v>
      </c>
      <c r="C72" s="2730">
        <f t="shared" si="93"/>
        <v>104</v>
      </c>
      <c r="D72" s="2730">
        <f t="shared" si="55"/>
        <v>104</v>
      </c>
      <c r="E72" s="2730">
        <f t="shared" si="94"/>
        <v>103.5</v>
      </c>
      <c r="F72" s="2730">
        <f t="shared" si="94"/>
        <v>100.5</v>
      </c>
      <c r="G72" s="3464">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2629</v>
      </c>
      <c r="G75" s="2740"/>
      <c r="N75" s="2740"/>
      <c r="S75" s="2740"/>
    </row>
    <row r="76" spans="1:26" s="2739" customFormat="1">
      <c r="A76" s="2739" t="s">
        <v>2630</v>
      </c>
      <c r="G76" s="2740"/>
      <c r="N76" s="2740"/>
      <c r="S76" s="2740"/>
    </row>
    <row r="77" spans="1:26" s="2739" customFormat="1">
      <c r="A77" s="2739" t="s">
        <v>2631</v>
      </c>
      <c r="G77" s="2740"/>
      <c r="I77" s="2741"/>
      <c r="J77" s="2741"/>
      <c r="K77" s="2741"/>
      <c r="L77" s="2741"/>
      <c r="N77" s="2742"/>
      <c r="O77" s="2741"/>
      <c r="P77" s="2741"/>
      <c r="Q77" s="2741"/>
      <c r="S77" s="2742"/>
      <c r="T77" s="2741"/>
      <c r="U77" s="2741"/>
      <c r="V77" s="2741"/>
    </row>
    <row r="78" spans="1:26" s="2739" customFormat="1">
      <c r="A78" s="2739" t="s">
        <v>2632</v>
      </c>
      <c r="G78" s="2740"/>
      <c r="N78" s="2740"/>
      <c r="S78" s="2740"/>
    </row>
    <row r="85" spans="7:22" ht="13.5" thickBot="1"/>
    <row r="86" spans="7:22">
      <c r="G86" s="2665"/>
      <c r="S86" s="2743" t="s">
        <v>2633</v>
      </c>
      <c r="T86" s="2744" t="s">
        <v>2634</v>
      </c>
      <c r="U86" s="2744" t="s">
        <v>2635</v>
      </c>
      <c r="V86" s="2744" t="s">
        <v>2636</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G33:G36"/>
    <mergeCell ref="G37:G40"/>
    <mergeCell ref="G41:G44"/>
    <mergeCell ref="G13:G16"/>
    <mergeCell ref="G17:G20"/>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9" zoomScale="80" zoomScaleNormal="80" workbookViewId="0">
      <selection activeCell="G47" sqref="G47"/>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6.75" style="1337" customWidth="1"/>
    <col min="6" max="6" width="12.25" style="1337" customWidth="1"/>
    <col min="7" max="7" width="16.875" style="1337" customWidth="1"/>
    <col min="8" max="8" width="12.25" style="1337" customWidth="1"/>
    <col min="9" max="9" width="16.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5" t="s">
        <v>718</v>
      </c>
      <c r="C1" s="2626" t="s">
        <v>719</v>
      </c>
      <c r="D1" s="2627" t="s">
        <v>922</v>
      </c>
      <c r="E1" s="2628"/>
      <c r="F1" s="2809" t="s">
        <v>3047</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4">
        <f>ROUND(B3*D3/10000,0)</f>
        <v>48897</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6935</v>
      </c>
      <c r="C3" s="852" t="s">
        <v>721</v>
      </c>
      <c r="D3" s="851">
        <f>SUMIF('数据-汇总表'!$C19:$C33,D1,'数据-汇总表'!$E19:$E33)</f>
        <v>70507.5</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99" t="s">
        <v>521</v>
      </c>
      <c r="D4" s="3400"/>
      <c r="E4" s="3423" t="s">
        <v>522</v>
      </c>
      <c r="F4" s="3424"/>
      <c r="G4" s="3399" t="s">
        <v>523</v>
      </c>
      <c r="H4" s="3400"/>
      <c r="I4" s="3399" t="s">
        <v>524</v>
      </c>
      <c r="J4" s="3400"/>
      <c r="K4" s="853" t="s">
        <v>525</v>
      </c>
      <c r="L4" s="2135"/>
      <c r="M4" s="2136"/>
      <c r="N4" s="2136"/>
      <c r="O4" s="2136"/>
      <c r="P4" s="3401" t="s">
        <v>526</v>
      </c>
      <c r="Q4" s="3402"/>
      <c r="R4" s="3387" t="s">
        <v>522</v>
      </c>
      <c r="S4" s="3388"/>
      <c r="T4" s="3387" t="s">
        <v>523</v>
      </c>
      <c r="U4" s="3388"/>
      <c r="V4" s="3407" t="s">
        <v>524</v>
      </c>
      <c r="W4" s="3407"/>
      <c r="X4" s="1568"/>
      <c r="Y4" s="3387" t="s">
        <v>526</v>
      </c>
      <c r="Z4" s="3388"/>
      <c r="AA4" s="3382" t="s">
        <v>522</v>
      </c>
      <c r="AB4" s="3382" t="s">
        <v>523</v>
      </c>
      <c r="AC4" s="3382" t="s">
        <v>524</v>
      </c>
    </row>
    <row r="5" spans="1:29" ht="15">
      <c r="A5" s="515"/>
      <c r="B5" s="516"/>
      <c r="C5" s="3410" t="s">
        <v>2925</v>
      </c>
      <c r="D5" s="3411"/>
      <c r="E5" s="3469" t="s">
        <v>3251</v>
      </c>
      <c r="F5" s="3426"/>
      <c r="G5" s="3470" t="s">
        <v>3245</v>
      </c>
      <c r="H5" s="3411"/>
      <c r="I5" s="3470" t="s">
        <v>3247</v>
      </c>
      <c r="J5" s="3411"/>
      <c r="K5" s="854"/>
      <c r="L5" s="2135"/>
      <c r="M5" s="2136"/>
      <c r="N5" s="2136"/>
      <c r="O5" s="2136"/>
      <c r="P5" s="3403"/>
      <c r="Q5" s="3404"/>
      <c r="R5" s="3389"/>
      <c r="S5" s="3390"/>
      <c r="T5" s="3389"/>
      <c r="U5" s="3390"/>
      <c r="V5" s="3407"/>
      <c r="W5" s="3407"/>
      <c r="X5" s="1568"/>
      <c r="Y5" s="3389"/>
      <c r="Z5" s="3390"/>
      <c r="AA5" s="3383"/>
      <c r="AB5" s="3383"/>
      <c r="AC5" s="3383"/>
    </row>
    <row r="6" spans="1:29" ht="15.75" thickBot="1">
      <c r="A6" s="517"/>
      <c r="B6" s="518"/>
      <c r="C6" s="3408" t="s">
        <v>2929</v>
      </c>
      <c r="D6" s="3409"/>
      <c r="E6" s="3471" t="s">
        <v>3250</v>
      </c>
      <c r="F6" s="3428"/>
      <c r="G6" s="3472" t="s">
        <v>3249</v>
      </c>
      <c r="H6" s="3409"/>
      <c r="I6" s="3472" t="s">
        <v>3248</v>
      </c>
      <c r="J6" s="3409"/>
      <c r="K6" s="854" t="s">
        <v>527</v>
      </c>
      <c r="L6" s="2135"/>
      <c r="M6" s="2136"/>
      <c r="N6" s="2136"/>
      <c r="O6" s="2136"/>
      <c r="P6" s="3405"/>
      <c r="Q6" s="3406"/>
      <c r="R6" s="3389"/>
      <c r="S6" s="3390"/>
      <c r="T6" s="3391"/>
      <c r="U6" s="3392"/>
      <c r="V6" s="3407"/>
      <c r="W6" s="3407"/>
      <c r="X6" s="1568"/>
      <c r="Y6" s="3391"/>
      <c r="Z6" s="3392"/>
      <c r="AA6" s="3384"/>
      <c r="AB6" s="3384"/>
      <c r="AC6" s="3384"/>
    </row>
    <row r="7" spans="1:29" s="1220" customFormat="1" ht="15.75" thickBot="1">
      <c r="A7" s="2914"/>
      <c r="B7" s="2921" t="s">
        <v>528</v>
      </c>
      <c r="C7" s="519">
        <f>'数据-取费表'!B2</f>
        <v>43446</v>
      </c>
      <c r="D7" s="520">
        <v>100</v>
      </c>
      <c r="E7" s="521">
        <f>C7</f>
        <v>43446</v>
      </c>
      <c r="F7" s="522">
        <f>SUMIF(58:58,YEAR(E7)&amp;"-"&amp;MONTH(E7),59:59)</f>
        <v>100</v>
      </c>
      <c r="G7" s="523">
        <f>C7</f>
        <v>43446</v>
      </c>
      <c r="H7" s="520">
        <f>SUMIF(58:58,YEAR(G7)&amp;"-"&amp;MONTH(G7),59:59)</f>
        <v>100</v>
      </c>
      <c r="I7" s="523">
        <f>C7</f>
        <v>43446</v>
      </c>
      <c r="J7" s="520">
        <f>SUMIF(58:58,YEAR(I7)&amp;"-"&amp;MONTH(I7),59:59)</f>
        <v>100</v>
      </c>
      <c r="K7" s="855"/>
      <c r="L7" s="2137"/>
      <c r="M7" s="2138"/>
      <c r="N7" s="2138"/>
      <c r="O7" s="2138"/>
      <c r="P7" s="3385" t="s">
        <v>529</v>
      </c>
      <c r="Q7" s="3394"/>
      <c r="R7" s="1569" t="s">
        <v>13</v>
      </c>
      <c r="S7" s="1570">
        <f t="shared" ref="S7:S15" si="0">F7</f>
        <v>100</v>
      </c>
      <c r="T7" s="1569" t="s">
        <v>13</v>
      </c>
      <c r="U7" s="1570">
        <f t="shared" ref="U7:U15" si="1">H7</f>
        <v>100</v>
      </c>
      <c r="V7" s="1569" t="s">
        <v>13</v>
      </c>
      <c r="W7" s="1570">
        <f t="shared" ref="W7:W15" si="2">J7</f>
        <v>100</v>
      </c>
      <c r="X7" s="1571"/>
      <c r="Y7" s="3385" t="s">
        <v>529</v>
      </c>
      <c r="Z7" s="3386"/>
      <c r="AA7" s="1572">
        <f>D7/F7</f>
        <v>1</v>
      </c>
      <c r="AB7" s="1572">
        <f>D7/H7</f>
        <v>1</v>
      </c>
      <c r="AC7" s="1572">
        <f>D7/J7</f>
        <v>1</v>
      </c>
    </row>
    <row r="8" spans="1:29" s="1220" customFormat="1" ht="15.75" thickBot="1">
      <c r="A8" s="2915"/>
      <c r="B8" s="2922" t="s">
        <v>530</v>
      </c>
      <c r="C8" s="525" t="s">
        <v>575</v>
      </c>
      <c r="D8" s="520">
        <v>100</v>
      </c>
      <c r="E8" s="856" t="s">
        <v>3013</v>
      </c>
      <c r="F8" s="522">
        <f>SUMIF(61:61,E8,62:62)-SUMIF(61:61,C8,62:62)+100</f>
        <v>100</v>
      </c>
      <c r="G8" s="525" t="s">
        <v>3013</v>
      </c>
      <c r="H8" s="520">
        <f>SUMIF(61:61,G8,62:62)-SUMIF(61:61,C8,62:62)+100</f>
        <v>100</v>
      </c>
      <c r="I8" s="856" t="s">
        <v>3013</v>
      </c>
      <c r="J8" s="520">
        <f>SUMIF(61:61,I8,62:62)-SUMIF(61:61,C8,62:62)+100</f>
        <v>100</v>
      </c>
      <c r="K8" s="855"/>
      <c r="L8" s="2137"/>
      <c r="M8" s="2138"/>
      <c r="N8" s="2138"/>
      <c r="O8" s="2138"/>
      <c r="P8" s="3385" t="s">
        <v>532</v>
      </c>
      <c r="Q8" s="3386"/>
      <c r="R8" s="1569" t="s">
        <v>13</v>
      </c>
      <c r="S8" s="1570">
        <f t="shared" si="0"/>
        <v>100</v>
      </c>
      <c r="T8" s="1569" t="s">
        <v>13</v>
      </c>
      <c r="U8" s="1570">
        <f t="shared" si="1"/>
        <v>100</v>
      </c>
      <c r="V8" s="1569" t="s">
        <v>13</v>
      </c>
      <c r="W8" s="1570">
        <f t="shared" si="2"/>
        <v>100</v>
      </c>
      <c r="X8" s="1571"/>
      <c r="Y8" s="3385" t="s">
        <v>532</v>
      </c>
      <c r="Z8" s="3386"/>
      <c r="AA8" s="1572">
        <f t="shared" ref="AA8:AA46" si="3">D8/F8</f>
        <v>1</v>
      </c>
      <c r="AB8" s="1572">
        <f t="shared" ref="AB8:AB46" si="4">D8/H8</f>
        <v>1</v>
      </c>
      <c r="AC8" s="1572">
        <f t="shared" ref="AC8:AC46" si="5">D8/J8</f>
        <v>1</v>
      </c>
    </row>
    <row r="9" spans="1:29" s="1220" customFormat="1" ht="15">
      <c r="A9" s="2916"/>
      <c r="B9" s="2923" t="s">
        <v>2754</v>
      </c>
      <c r="C9" s="3192" t="s">
        <v>3052</v>
      </c>
      <c r="D9" s="254">
        <v>100</v>
      </c>
      <c r="E9" s="3193" t="s">
        <v>3052</v>
      </c>
      <c r="F9" s="859">
        <f>SUMIF(63:63,E9,64:64)-SUMIF(63:63,C9,64:64)+100</f>
        <v>100</v>
      </c>
      <c r="G9" s="3194" t="s">
        <v>3052</v>
      </c>
      <c r="H9" s="254">
        <f>SUMIF(63:63,G9,64:64)-SUMIF(63:63,C9,64:64)+100</f>
        <v>100</v>
      </c>
      <c r="I9" s="3194" t="s">
        <v>3052</v>
      </c>
      <c r="J9" s="254">
        <f>SUMIF(63:63,I9,64:64)-SUMIF(63:63,C9,64:64)+100</f>
        <v>100</v>
      </c>
      <c r="K9" s="855"/>
      <c r="L9" s="2137"/>
      <c r="M9" s="2138"/>
      <c r="N9" s="2138"/>
      <c r="O9" s="2139"/>
      <c r="P9" s="3393" t="s">
        <v>534</v>
      </c>
      <c r="Q9" s="1151" t="str">
        <f t="shared" ref="Q9:Q15" si="6">B9</f>
        <v>用途</v>
      </c>
      <c r="R9" s="1569" t="s">
        <v>8</v>
      </c>
      <c r="S9" s="1570">
        <f t="shared" si="0"/>
        <v>100</v>
      </c>
      <c r="T9" s="1569" t="s">
        <v>8</v>
      </c>
      <c r="U9" s="1570">
        <f t="shared" si="1"/>
        <v>100</v>
      </c>
      <c r="V9" s="1569" t="s">
        <v>8</v>
      </c>
      <c r="W9" s="1570">
        <f t="shared" si="2"/>
        <v>100</v>
      </c>
      <c r="X9" s="1571"/>
      <c r="Y9" s="3350" t="s">
        <v>535</v>
      </c>
      <c r="Z9" s="1150" t="str">
        <f t="shared" ref="Z9:Z15" si="7">Q9</f>
        <v>用途</v>
      </c>
      <c r="AA9" s="1572">
        <f t="shared" si="3"/>
        <v>1</v>
      </c>
      <c r="AB9" s="1572">
        <f t="shared" si="4"/>
        <v>1</v>
      </c>
      <c r="AC9" s="1572">
        <f t="shared" si="5"/>
        <v>1</v>
      </c>
    </row>
    <row r="10" spans="1:29" s="1338" customFormat="1" ht="27">
      <c r="A10" s="2917"/>
      <c r="B10" s="2922" t="s">
        <v>2755</v>
      </c>
      <c r="C10" s="861" t="s">
        <v>3246</v>
      </c>
      <c r="D10" s="255">
        <v>100</v>
      </c>
      <c r="E10" s="862" t="s">
        <v>3246</v>
      </c>
      <c r="F10" s="863">
        <f>SUMIF(65:65,E10,66:66)-SUMIF(65:65,C10,66:66)+100</f>
        <v>100</v>
      </c>
      <c r="G10" s="861" t="s">
        <v>3246</v>
      </c>
      <c r="H10" s="255">
        <f>SUMIF(65:65,G10,66:66)-SUMIF(65:65,C10,66:66)+100</f>
        <v>100</v>
      </c>
      <c r="I10" s="861" t="s">
        <v>3246</v>
      </c>
      <c r="J10" s="255">
        <f>SUMIF(65:65,I10,66:66)-SUMIF(65:65,C10,66:66)+100</f>
        <v>100</v>
      </c>
      <c r="K10" s="864">
        <v>2</v>
      </c>
      <c r="L10" s="2140"/>
      <c r="M10" s="2180"/>
      <c r="N10" s="2180"/>
      <c r="O10" s="2141"/>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8"/>
      <c r="B11" s="2922" t="s">
        <v>2756</v>
      </c>
      <c r="C11" s="3205">
        <f>'比较法-住宅、综合'!C13</f>
        <v>2.5</v>
      </c>
      <c r="D11" s="255">
        <v>100</v>
      </c>
      <c r="E11" s="534">
        <v>3.3</v>
      </c>
      <c r="F11" s="863">
        <f>LOOKUP(E11,68:68,69:69)-LOOKUP(C11,68:68,69:69)+100</f>
        <v>98</v>
      </c>
      <c r="G11" s="533">
        <v>2.8</v>
      </c>
      <c r="H11" s="255">
        <f>LOOKUP(G11,68:68,69:69)-LOOKUP(C11,68:68,69:69)+100</f>
        <v>100</v>
      </c>
      <c r="I11" s="533">
        <v>2.77</v>
      </c>
      <c r="J11" s="255">
        <f>LOOKUP(I11,68:68,69:69)-LOOKUP(C11,68:68,69:69)+100</f>
        <v>100</v>
      </c>
      <c r="K11" s="864">
        <v>2</v>
      </c>
      <c r="L11" s="2142"/>
      <c r="M11" s="2136"/>
      <c r="N11" s="2136"/>
      <c r="O11" s="2143"/>
      <c r="P11" s="3393"/>
      <c r="Q11" s="1151" t="str">
        <f t="shared" si="6"/>
        <v>容积率</v>
      </c>
      <c r="R11" s="1569" t="s">
        <v>11</v>
      </c>
      <c r="S11" s="1570">
        <f t="shared" si="0"/>
        <v>98</v>
      </c>
      <c r="T11" s="1569" t="s">
        <v>11</v>
      </c>
      <c r="U11" s="1570">
        <f t="shared" si="1"/>
        <v>100</v>
      </c>
      <c r="V11" s="1569" t="s">
        <v>11</v>
      </c>
      <c r="W11" s="1570">
        <f t="shared" si="2"/>
        <v>100</v>
      </c>
      <c r="X11" s="1571"/>
      <c r="Y11" s="3350"/>
      <c r="Z11" s="1150" t="str">
        <f t="shared" si="7"/>
        <v>容积率</v>
      </c>
      <c r="AA11" s="1572">
        <f t="shared" si="3"/>
        <v>1.0204081632653061</v>
      </c>
      <c r="AB11" s="1572">
        <f t="shared" si="4"/>
        <v>1</v>
      </c>
      <c r="AC11" s="1572">
        <f t="shared" si="5"/>
        <v>1</v>
      </c>
    </row>
    <row r="12" spans="1:29" s="1220" customFormat="1" ht="15">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93"/>
      <c r="Q12" s="1151">
        <f t="shared" si="6"/>
        <v>111</v>
      </c>
      <c r="R12" s="1569" t="s">
        <v>11</v>
      </c>
      <c r="S12" s="1570">
        <f t="shared" si="0"/>
        <v>100</v>
      </c>
      <c r="T12" s="1569" t="s">
        <v>11</v>
      </c>
      <c r="U12" s="1570">
        <f t="shared" si="1"/>
        <v>100</v>
      </c>
      <c r="V12" s="1569" t="s">
        <v>11</v>
      </c>
      <c r="W12" s="1570">
        <f t="shared" si="2"/>
        <v>100</v>
      </c>
      <c r="X12" s="1571"/>
      <c r="Y12" s="3350"/>
      <c r="Z12" s="1150">
        <f t="shared" si="7"/>
        <v>111</v>
      </c>
      <c r="AA12" s="1572">
        <f>D12/F12</f>
        <v>1</v>
      </c>
      <c r="AB12" s="1572">
        <f>D12/H12</f>
        <v>1</v>
      </c>
      <c r="AC12" s="1572">
        <f>D12/J12</f>
        <v>1</v>
      </c>
    </row>
    <row r="13" spans="1:29" ht="15">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93"/>
      <c r="Q13" s="1151">
        <f t="shared" si="6"/>
        <v>111</v>
      </c>
      <c r="R13" s="1569" t="s">
        <v>11</v>
      </c>
      <c r="S13" s="1570">
        <f t="shared" si="0"/>
        <v>100</v>
      </c>
      <c r="T13" s="1569" t="s">
        <v>11</v>
      </c>
      <c r="U13" s="1570">
        <f t="shared" si="1"/>
        <v>100</v>
      </c>
      <c r="V13" s="1569" t="s">
        <v>11</v>
      </c>
      <c r="W13" s="1570">
        <f t="shared" si="2"/>
        <v>100</v>
      </c>
      <c r="X13" s="1571"/>
      <c r="Y13" s="3350"/>
      <c r="Z13" s="1150">
        <f t="shared" si="7"/>
        <v>111</v>
      </c>
      <c r="AA13" s="1572">
        <f t="shared" si="3"/>
        <v>1</v>
      </c>
      <c r="AB13" s="1572">
        <f t="shared" si="4"/>
        <v>1</v>
      </c>
      <c r="AC13" s="1572">
        <f t="shared" si="5"/>
        <v>1</v>
      </c>
    </row>
    <row r="14" spans="1:29" ht="15.75"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93"/>
      <c r="Q14" s="1151">
        <f t="shared" si="6"/>
        <v>111</v>
      </c>
      <c r="R14" s="1569" t="s">
        <v>11</v>
      </c>
      <c r="S14" s="1570">
        <f t="shared" si="0"/>
        <v>100</v>
      </c>
      <c r="T14" s="1569" t="s">
        <v>11</v>
      </c>
      <c r="U14" s="1570">
        <f t="shared" si="1"/>
        <v>100</v>
      </c>
      <c r="V14" s="1569" t="s">
        <v>11</v>
      </c>
      <c r="W14" s="1570">
        <f t="shared" si="2"/>
        <v>100</v>
      </c>
      <c r="X14" s="1571"/>
      <c r="Y14" s="3350"/>
      <c r="Z14" s="1150">
        <f t="shared" si="7"/>
        <v>111</v>
      </c>
      <c r="AA14" s="1572">
        <f t="shared" si="3"/>
        <v>1</v>
      </c>
      <c r="AB14" s="1572">
        <f t="shared" si="4"/>
        <v>1</v>
      </c>
      <c r="AC14" s="1572">
        <f t="shared" si="5"/>
        <v>1</v>
      </c>
    </row>
    <row r="15" spans="1:29" ht="128.25">
      <c r="A15" s="2912" t="s">
        <v>2752</v>
      </c>
      <c r="B15" s="166" t="s">
        <v>294</v>
      </c>
      <c r="C15" s="867" t="str">
        <f>估价对象房地状况!C3</f>
        <v>估价对象周边居住用地比例较小、钱佳花园海愉半岛花园、钰海帝景等居住小区，社区发展较完善，综合评价居住社区成熟度一般</v>
      </c>
      <c r="D15" s="549">
        <v>100</v>
      </c>
      <c r="E15" s="550"/>
      <c r="F15" s="551">
        <f>SUMIF(76:76,E16,77:77)-SUMIF(76:76,C16,77:77)+100</f>
        <v>110</v>
      </c>
      <c r="G15" s="552"/>
      <c r="H15" s="549">
        <f>SUMIF(76:76,G16,77:77)-SUMIF(76:76,C16,77:77)+100</f>
        <v>110</v>
      </c>
      <c r="I15" s="550"/>
      <c r="J15" s="549">
        <f>SUMIF(76:76,I16,77:77)-SUMIF(76:76,C16,77:77)+100</f>
        <v>110</v>
      </c>
      <c r="K15" s="868">
        <v>5</v>
      </c>
      <c r="L15" s="2144"/>
      <c r="M15" s="2136"/>
      <c r="N15" s="2136"/>
      <c r="O15" s="2143"/>
      <c r="P15" s="3395" t="s">
        <v>539</v>
      </c>
      <c r="Q15" s="1573" t="str">
        <f t="shared" si="6"/>
        <v>居住社区成熟度</v>
      </c>
      <c r="R15" s="1574" t="s">
        <v>11</v>
      </c>
      <c r="S15" s="1575">
        <f t="shared" si="0"/>
        <v>110</v>
      </c>
      <c r="T15" s="1574" t="s">
        <v>11</v>
      </c>
      <c r="U15" s="1575">
        <f t="shared" si="1"/>
        <v>110</v>
      </c>
      <c r="V15" s="1574" t="s">
        <v>11</v>
      </c>
      <c r="W15" s="1575">
        <f t="shared" si="2"/>
        <v>110</v>
      </c>
      <c r="X15" s="1568"/>
      <c r="Y15" s="3395" t="s">
        <v>539</v>
      </c>
      <c r="Z15" s="1576" t="str">
        <f t="shared" si="7"/>
        <v>居住社区成熟度</v>
      </c>
      <c r="AA15" s="1577">
        <f t="shared" si="3"/>
        <v>0.90909090909090906</v>
      </c>
      <c r="AB15" s="1577">
        <f t="shared" si="4"/>
        <v>0.90909090909090906</v>
      </c>
      <c r="AC15" s="1577">
        <f t="shared" si="5"/>
        <v>0.90909090909090906</v>
      </c>
    </row>
    <row r="16" spans="1:29" ht="15">
      <c r="A16" s="532"/>
      <c r="B16" s="869"/>
      <c r="C16" s="576" t="s">
        <v>3261</v>
      </c>
      <c r="D16" s="555"/>
      <c r="E16" s="556" t="s">
        <v>3041</v>
      </c>
      <c r="F16" s="557"/>
      <c r="G16" s="558" t="s">
        <v>3041</v>
      </c>
      <c r="H16" s="559"/>
      <c r="I16" s="558" t="s">
        <v>3041</v>
      </c>
      <c r="J16" s="555"/>
      <c r="K16" s="870"/>
      <c r="L16" s="2144"/>
      <c r="M16" s="2136"/>
      <c r="N16" s="2136"/>
      <c r="O16" s="2143"/>
      <c r="P16" s="3396"/>
      <c r="Q16" s="1573"/>
      <c r="R16" s="1574"/>
      <c r="S16" s="1575"/>
      <c r="T16" s="1574"/>
      <c r="U16" s="1575"/>
      <c r="V16" s="1574"/>
      <c r="W16" s="1575"/>
      <c r="X16" s="1568"/>
      <c r="Y16" s="3396"/>
      <c r="Z16" s="1576"/>
      <c r="AA16" s="1577">
        <v>1</v>
      </c>
      <c r="AB16" s="1577">
        <v>1</v>
      </c>
      <c r="AC16" s="1577">
        <v>1</v>
      </c>
    </row>
    <row r="17" spans="1:29" ht="99.75">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103</v>
      </c>
      <c r="G17" s="564"/>
      <c r="H17" s="565">
        <f>SUMIF(78:78,G18,79:79)-SUMIF(78:78,C18,79:79)+100</f>
        <v>103</v>
      </c>
      <c r="I17" s="562"/>
      <c r="J17" s="565">
        <f>SUMIF(78:78,I18,79:79)-SUMIF(78:78,C18,79:79)+100</f>
        <v>103</v>
      </c>
      <c r="K17" s="868">
        <v>3</v>
      </c>
      <c r="L17" s="2144"/>
      <c r="M17" s="2136"/>
      <c r="N17" s="2136"/>
      <c r="O17" s="2143"/>
      <c r="P17" s="3396"/>
      <c r="Q17" s="1573" t="str">
        <f>B17</f>
        <v>交通便捷度</v>
      </c>
      <c r="R17" s="1574" t="s">
        <v>11</v>
      </c>
      <c r="S17" s="1575">
        <f>F17</f>
        <v>103</v>
      </c>
      <c r="T17" s="1574" t="s">
        <v>11</v>
      </c>
      <c r="U17" s="1575">
        <f>H17</f>
        <v>103</v>
      </c>
      <c r="V17" s="1574" t="s">
        <v>11</v>
      </c>
      <c r="W17" s="1575">
        <f>J17</f>
        <v>103</v>
      </c>
      <c r="X17" s="1568"/>
      <c r="Y17" s="3396"/>
      <c r="Z17" s="1576" t="str">
        <f>Q17</f>
        <v>交通便捷度</v>
      </c>
      <c r="AA17" s="1577">
        <f t="shared" si="3"/>
        <v>0.970873786407767</v>
      </c>
      <c r="AB17" s="1577">
        <f t="shared" si="4"/>
        <v>0.970873786407767</v>
      </c>
      <c r="AC17" s="1577">
        <f t="shared" si="5"/>
        <v>0.970873786407767</v>
      </c>
    </row>
    <row r="18" spans="1:29" ht="15">
      <c r="A18" s="532"/>
      <c r="B18" s="595"/>
      <c r="C18" s="558" t="s">
        <v>3072</v>
      </c>
      <c r="D18" s="559"/>
      <c r="E18" s="558" t="s">
        <v>3041</v>
      </c>
      <c r="F18" s="563"/>
      <c r="G18" s="558" t="s">
        <v>3041</v>
      </c>
      <c r="H18" s="555"/>
      <c r="I18" s="558" t="s">
        <v>3041</v>
      </c>
      <c r="J18" s="555"/>
      <c r="K18" s="870"/>
      <c r="L18" s="2144"/>
      <c r="M18" s="2136"/>
      <c r="N18" s="2136"/>
      <c r="O18" s="2143"/>
      <c r="P18" s="3396"/>
      <c r="Q18" s="1573"/>
      <c r="R18" s="1574"/>
      <c r="S18" s="1575"/>
      <c r="T18" s="1574"/>
      <c r="U18" s="1575"/>
      <c r="V18" s="1574"/>
      <c r="W18" s="1575"/>
      <c r="X18" s="1568"/>
      <c r="Y18" s="3396"/>
      <c r="Z18" s="1576"/>
      <c r="AA18" s="1577">
        <v>1</v>
      </c>
      <c r="AB18" s="1577">
        <v>1</v>
      </c>
      <c r="AC18" s="1577">
        <v>1</v>
      </c>
    </row>
    <row r="19" spans="1:29" ht="42.75">
      <c r="A19" s="532"/>
      <c r="B19" s="2602" t="s">
        <v>2544</v>
      </c>
      <c r="C19" s="872" t="str">
        <f>估价对象房地状况!C7</f>
        <v>估价对象所在区域公共配套设施齐备情况一般</v>
      </c>
      <c r="D19" s="565">
        <v>100</v>
      </c>
      <c r="E19" s="570"/>
      <c r="F19" s="571">
        <f>SUMIF(80:80,E20,81:81)-SUMIF(80:80,C20,81:81)+100</f>
        <v>105</v>
      </c>
      <c r="G19" s="572"/>
      <c r="H19" s="559">
        <f>SUMIF(80:80,G20,81:81)-SUMIF(80:80,C20,81:81)+100</f>
        <v>105</v>
      </c>
      <c r="I19" s="570"/>
      <c r="J19" s="559">
        <f>SUMIF(80:80,I20,81:81)-SUMIF(80:80,C20,81:81)+100</f>
        <v>105</v>
      </c>
      <c r="K19" s="868">
        <v>5</v>
      </c>
      <c r="L19" s="2144"/>
      <c r="M19" s="2136"/>
      <c r="N19" s="2136"/>
      <c r="O19" s="2143"/>
      <c r="P19" s="3396"/>
      <c r="Q19" s="1573" t="str">
        <f>B19</f>
        <v>公共配套设施</v>
      </c>
      <c r="R19" s="1574" t="s">
        <v>11</v>
      </c>
      <c r="S19" s="1575">
        <f>F19</f>
        <v>105</v>
      </c>
      <c r="T19" s="1574" t="s">
        <v>11</v>
      </c>
      <c r="U19" s="1575">
        <f>H19</f>
        <v>105</v>
      </c>
      <c r="V19" s="1574" t="s">
        <v>11</v>
      </c>
      <c r="W19" s="1575">
        <f>J19</f>
        <v>105</v>
      </c>
      <c r="X19" s="1568"/>
      <c r="Y19" s="3396"/>
      <c r="Z19" s="1576" t="str">
        <f>Q19</f>
        <v>公共配套设施</v>
      </c>
      <c r="AA19" s="1577">
        <f t="shared" si="3"/>
        <v>0.95238095238095233</v>
      </c>
      <c r="AB19" s="1577">
        <f t="shared" si="4"/>
        <v>0.95238095238095233</v>
      </c>
      <c r="AC19" s="1577">
        <f t="shared" si="5"/>
        <v>0.95238095238095233</v>
      </c>
    </row>
    <row r="20" spans="1:29" ht="15">
      <c r="A20" s="532"/>
      <c r="B20" s="595"/>
      <c r="C20" s="558" t="s">
        <v>3072</v>
      </c>
      <c r="D20" s="555"/>
      <c r="E20" s="558" t="s">
        <v>3041</v>
      </c>
      <c r="F20" s="557"/>
      <c r="G20" s="558" t="s">
        <v>3041</v>
      </c>
      <c r="H20" s="555"/>
      <c r="I20" s="558" t="s">
        <v>3041</v>
      </c>
      <c r="J20" s="555"/>
      <c r="K20" s="870"/>
      <c r="L20" s="2144"/>
      <c r="M20" s="2136"/>
      <c r="N20" s="2136"/>
      <c r="O20" s="2143"/>
      <c r="P20" s="3396"/>
      <c r="Q20" s="1573"/>
      <c r="R20" s="1574"/>
      <c r="S20" s="1575"/>
      <c r="T20" s="1574"/>
      <c r="U20" s="1575"/>
      <c r="V20" s="1574"/>
      <c r="W20" s="1575"/>
      <c r="X20" s="1568"/>
      <c r="Y20" s="3396"/>
      <c r="Z20" s="1576"/>
      <c r="AA20" s="1577">
        <v>1</v>
      </c>
      <c r="AB20" s="1577">
        <v>1</v>
      </c>
      <c r="AC20" s="1577">
        <v>1</v>
      </c>
    </row>
    <row r="21" spans="1:29" ht="42.75">
      <c r="A21" s="532"/>
      <c r="B21" s="259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44"/>
      <c r="M21" s="2136"/>
      <c r="N21" s="2136"/>
      <c r="O21" s="2143"/>
      <c r="P21" s="3396"/>
      <c r="Q21" s="2581" t="str">
        <f>B21</f>
        <v>基础设施水平</v>
      </c>
      <c r="R21" s="1574" t="s">
        <v>11</v>
      </c>
      <c r="S21" s="1575">
        <f>F21</f>
        <v>100</v>
      </c>
      <c r="T21" s="1574" t="s">
        <v>11</v>
      </c>
      <c r="U21" s="1575">
        <f>H21</f>
        <v>100</v>
      </c>
      <c r="V21" s="1574" t="s">
        <v>11</v>
      </c>
      <c r="W21" s="1575">
        <f>J21</f>
        <v>100</v>
      </c>
      <c r="X21" s="2583"/>
      <c r="Y21" s="3396"/>
      <c r="Z21" s="2582" t="str">
        <f>Q21</f>
        <v>基础设施水平</v>
      </c>
      <c r="AA21" s="1577">
        <f t="shared" ref="AA21" si="8">D21/F21</f>
        <v>1</v>
      </c>
      <c r="AB21" s="1577">
        <f t="shared" ref="AB21" si="9">D21/H21</f>
        <v>1</v>
      </c>
      <c r="AC21" s="1577">
        <f t="shared" ref="AC21" si="10">D21/J21</f>
        <v>1</v>
      </c>
    </row>
    <row r="22" spans="1:29" ht="15">
      <c r="A22" s="532"/>
      <c r="B22" s="922"/>
      <c r="C22" s="558" t="s">
        <v>3066</v>
      </c>
      <c r="D22" s="555"/>
      <c r="E22" s="558" t="s">
        <v>3066</v>
      </c>
      <c r="F22" s="557"/>
      <c r="G22" s="558" t="s">
        <v>3066</v>
      </c>
      <c r="H22" s="555"/>
      <c r="I22" s="558" t="s">
        <v>3066</v>
      </c>
      <c r="J22" s="555"/>
      <c r="K22" s="2601"/>
      <c r="L22" s="2144"/>
      <c r="M22" s="2136"/>
      <c r="N22" s="2136"/>
      <c r="O22" s="2143"/>
      <c r="P22" s="3396"/>
      <c r="Q22" s="2581"/>
      <c r="R22" s="1574"/>
      <c r="S22" s="1575"/>
      <c r="T22" s="1574"/>
      <c r="U22" s="1575"/>
      <c r="V22" s="1574"/>
      <c r="W22" s="1575"/>
      <c r="X22" s="2583"/>
      <c r="Y22" s="3396"/>
      <c r="Z22" s="2582"/>
      <c r="AA22" s="1577">
        <v>1</v>
      </c>
      <c r="AB22" s="1577">
        <v>1</v>
      </c>
      <c r="AC22" s="1577">
        <v>1</v>
      </c>
    </row>
    <row r="23" spans="1:29" ht="57">
      <c r="A23" s="532"/>
      <c r="B23" s="871" t="s">
        <v>296</v>
      </c>
      <c r="C23" s="872" t="str">
        <f>估价对象房地状况!C9</f>
        <v>区域自然环境较好；人文环境一般；综合评价环境状况一般</v>
      </c>
      <c r="D23" s="559">
        <v>100</v>
      </c>
      <c r="E23" s="562"/>
      <c r="F23" s="563">
        <f>SUMIF(84:84,E24,85:85)-SUMIF(84:84,C24,85:85)+100</f>
        <v>105</v>
      </c>
      <c r="G23" s="564"/>
      <c r="H23" s="559">
        <f>SUMIF(84:84,G24,85:85)-SUMIF(84:84,C24,85:85)+100</f>
        <v>105</v>
      </c>
      <c r="I23" s="562"/>
      <c r="J23" s="559">
        <f>SUMIF(84:84,I24,85:85)-SUMIF(84:84,C24,85:85)+100</f>
        <v>105</v>
      </c>
      <c r="K23" s="868">
        <v>5</v>
      </c>
      <c r="L23" s="2144"/>
      <c r="M23" s="2136"/>
      <c r="N23" s="2136"/>
      <c r="O23" s="2143"/>
      <c r="P23" s="3396"/>
      <c r="Q23" s="1573" t="str">
        <f>B23</f>
        <v>自然及人文环境</v>
      </c>
      <c r="R23" s="1574" t="s">
        <v>11</v>
      </c>
      <c r="S23" s="1575">
        <f>F23</f>
        <v>105</v>
      </c>
      <c r="T23" s="1574" t="s">
        <v>11</v>
      </c>
      <c r="U23" s="1575">
        <f>H23</f>
        <v>105</v>
      </c>
      <c r="V23" s="1574" t="s">
        <v>11</v>
      </c>
      <c r="W23" s="1575">
        <f>J23</f>
        <v>105</v>
      </c>
      <c r="X23" s="1568"/>
      <c r="Y23" s="3396"/>
      <c r="Z23" s="1576" t="str">
        <f>Q23</f>
        <v>自然及人文环境</v>
      </c>
      <c r="AA23" s="1577">
        <f t="shared" si="3"/>
        <v>0.95238095238095233</v>
      </c>
      <c r="AB23" s="1577">
        <f t="shared" si="4"/>
        <v>0.95238095238095233</v>
      </c>
      <c r="AC23" s="1577">
        <f t="shared" si="5"/>
        <v>0.95238095238095233</v>
      </c>
    </row>
    <row r="24" spans="1:29" ht="15">
      <c r="A24" s="532"/>
      <c r="B24" s="595"/>
      <c r="C24" s="558" t="s">
        <v>3072</v>
      </c>
      <c r="D24" s="555"/>
      <c r="E24" s="558" t="s">
        <v>3041</v>
      </c>
      <c r="F24" s="557"/>
      <c r="G24" s="558" t="s">
        <v>3041</v>
      </c>
      <c r="H24" s="555"/>
      <c r="I24" s="558" t="s">
        <v>3041</v>
      </c>
      <c r="J24" s="555"/>
      <c r="K24" s="870"/>
      <c r="L24" s="2144"/>
      <c r="M24" s="2136"/>
      <c r="N24" s="2136"/>
      <c r="O24" s="2143"/>
      <c r="P24" s="3396"/>
      <c r="Q24" s="1573"/>
      <c r="R24" s="1574"/>
      <c r="S24" s="1575"/>
      <c r="T24" s="1574"/>
      <c r="U24" s="1575"/>
      <c r="V24" s="1574"/>
      <c r="W24" s="1575"/>
      <c r="X24" s="1568"/>
      <c r="Y24" s="3396"/>
      <c r="Z24" s="1576"/>
      <c r="AA24" s="1577">
        <v>1</v>
      </c>
      <c r="AB24" s="1577">
        <v>1</v>
      </c>
      <c r="AC24" s="1577">
        <v>1</v>
      </c>
    </row>
    <row r="25" spans="1:29" ht="15">
      <c r="A25" s="532"/>
      <c r="B25" s="1897" t="s">
        <v>2257</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396"/>
      <c r="Q25" s="1573" t="str">
        <f t="shared" ref="Q25:Q46" si="11">B25</f>
        <v>楼层-1</v>
      </c>
      <c r="R25" s="1574" t="s">
        <v>11</v>
      </c>
      <c r="S25" s="1575">
        <f>F25</f>
        <v>100</v>
      </c>
      <c r="T25" s="1574" t="s">
        <v>11</v>
      </c>
      <c r="U25" s="1575">
        <f>H25</f>
        <v>100</v>
      </c>
      <c r="V25" s="1574" t="s">
        <v>11</v>
      </c>
      <c r="W25" s="1575">
        <f>J25</f>
        <v>100</v>
      </c>
      <c r="X25" s="1568"/>
      <c r="Y25" s="3396"/>
      <c r="Z25" s="1576" t="str">
        <f>Q25</f>
        <v>楼层-1</v>
      </c>
      <c r="AA25" s="1577">
        <f t="shared" si="3"/>
        <v>1</v>
      </c>
      <c r="AB25" s="1577">
        <f t="shared" si="4"/>
        <v>1</v>
      </c>
      <c r="AC25" s="1577">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396"/>
      <c r="Q26" s="1573" t="str">
        <f t="shared" si="11"/>
        <v>朝向</v>
      </c>
      <c r="R26" s="1574" t="s">
        <v>11</v>
      </c>
      <c r="S26" s="1575">
        <f>F26</f>
        <v>100</v>
      </c>
      <c r="T26" s="1574" t="s">
        <v>11</v>
      </c>
      <c r="U26" s="1575">
        <f>H26</f>
        <v>100</v>
      </c>
      <c r="V26" s="1574" t="s">
        <v>11</v>
      </c>
      <c r="W26" s="1575">
        <f>J26</f>
        <v>100</v>
      </c>
      <c r="X26" s="1568"/>
      <c r="Y26" s="3396"/>
      <c r="Z26" s="1576" t="str">
        <f>Q26</f>
        <v>朝向</v>
      </c>
      <c r="AA26" s="1577">
        <f t="shared" si="3"/>
        <v>1</v>
      </c>
      <c r="AB26" s="1577">
        <f t="shared" si="4"/>
        <v>1</v>
      </c>
      <c r="AC26" s="1577">
        <f t="shared" si="5"/>
        <v>1</v>
      </c>
    </row>
    <row r="27" spans="1:29" s="1220"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396"/>
      <c r="Q27" s="1151" t="str">
        <f t="shared" si="11"/>
        <v>道路级别</v>
      </c>
      <c r="R27" s="1569" t="s">
        <v>11</v>
      </c>
      <c r="S27" s="1570">
        <f>F27</f>
        <v>100</v>
      </c>
      <c r="T27" s="1569" t="s">
        <v>11</v>
      </c>
      <c r="U27" s="1570">
        <f>H27</f>
        <v>100</v>
      </c>
      <c r="V27" s="1569" t="s">
        <v>11</v>
      </c>
      <c r="W27" s="1570">
        <f>J27</f>
        <v>100</v>
      </c>
      <c r="X27" s="1571"/>
      <c r="Y27" s="3396"/>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396"/>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6"/>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396"/>
      <c r="Q29" s="1573">
        <f t="shared" si="11"/>
        <v>111</v>
      </c>
      <c r="R29" s="1574" t="s">
        <v>11</v>
      </c>
      <c r="S29" s="1575">
        <f t="shared" si="12"/>
        <v>100</v>
      </c>
      <c r="T29" s="1574" t="s">
        <v>11</v>
      </c>
      <c r="U29" s="1575">
        <f t="shared" si="13"/>
        <v>100</v>
      </c>
      <c r="V29" s="1574" t="s">
        <v>11</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396"/>
      <c r="Q30" s="1573">
        <f t="shared" si="11"/>
        <v>111</v>
      </c>
      <c r="R30" s="1574" t="s">
        <v>11</v>
      </c>
      <c r="S30" s="1575">
        <f t="shared" si="12"/>
        <v>100</v>
      </c>
      <c r="T30" s="1574" t="s">
        <v>11</v>
      </c>
      <c r="U30" s="1575">
        <f t="shared" si="13"/>
        <v>100</v>
      </c>
      <c r="V30" s="1574" t="s">
        <v>11</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396"/>
      <c r="Q31" s="1573">
        <f t="shared" si="11"/>
        <v>111</v>
      </c>
      <c r="R31" s="1574" t="s">
        <v>11</v>
      </c>
      <c r="S31" s="1575">
        <f t="shared" si="12"/>
        <v>100</v>
      </c>
      <c r="T31" s="1574" t="s">
        <v>11</v>
      </c>
      <c r="U31" s="1575">
        <f t="shared" si="13"/>
        <v>100</v>
      </c>
      <c r="V31" s="1574" t="s">
        <v>11</v>
      </c>
      <c r="W31" s="1575">
        <f t="shared" si="14"/>
        <v>100</v>
      </c>
      <c r="X31" s="1568"/>
      <c r="Y31" s="3396"/>
      <c r="Z31" s="1576">
        <f t="shared" si="15"/>
        <v>111</v>
      </c>
      <c r="AA31" s="1577">
        <f t="shared" si="3"/>
        <v>1</v>
      </c>
      <c r="AB31" s="1577">
        <f t="shared" si="4"/>
        <v>1</v>
      </c>
      <c r="AC31" s="1577">
        <f t="shared" si="5"/>
        <v>1</v>
      </c>
    </row>
    <row r="32" spans="1:29" ht="15">
      <c r="A32" s="2909" t="s">
        <v>2753</v>
      </c>
      <c r="B32" s="172" t="s">
        <v>724</v>
      </c>
      <c r="C32" s="878" t="s">
        <v>3053</v>
      </c>
      <c r="D32" s="597">
        <v>100</v>
      </c>
      <c r="E32" s="879" t="s">
        <v>3053</v>
      </c>
      <c r="F32" s="575">
        <f>SUMIF(100:100,E32,101:101)-SUMIF(100:100,C32,101:101)+100</f>
        <v>100</v>
      </c>
      <c r="G32" s="878" t="s">
        <v>3053</v>
      </c>
      <c r="H32" s="597">
        <f>SUMIF(100:100,G32,101:101)-SUMIF(100:100,C32,101:101)+100</f>
        <v>100</v>
      </c>
      <c r="I32" s="879" t="s">
        <v>3053</v>
      </c>
      <c r="J32" s="540">
        <f>SUMIF(100:100,I32,101:101)-SUMIF(100:100,C32,101:101)+100</f>
        <v>100</v>
      </c>
      <c r="K32" s="864">
        <v>5</v>
      </c>
      <c r="L32" s="2144"/>
      <c r="M32" s="2136"/>
      <c r="N32" s="2136"/>
      <c r="O32" s="2143"/>
      <c r="P32" s="3397" t="s">
        <v>549</v>
      </c>
      <c r="Q32" s="1573" t="str">
        <f t="shared" si="11"/>
        <v>建筑类型</v>
      </c>
      <c r="R32" s="1574" t="s">
        <v>11</v>
      </c>
      <c r="S32" s="1575">
        <f t="shared" si="12"/>
        <v>100</v>
      </c>
      <c r="T32" s="1574" t="s">
        <v>11</v>
      </c>
      <c r="U32" s="1575">
        <f t="shared" si="13"/>
        <v>100</v>
      </c>
      <c r="V32" s="1574" t="s">
        <v>11</v>
      </c>
      <c r="W32" s="1575">
        <f t="shared" si="14"/>
        <v>100</v>
      </c>
      <c r="X32" s="1568"/>
      <c r="Y32" s="3398" t="s">
        <v>549</v>
      </c>
      <c r="Z32" s="1576" t="str">
        <f t="shared" si="15"/>
        <v>建筑类型</v>
      </c>
      <c r="AA32" s="1577">
        <f t="shared" si="3"/>
        <v>1</v>
      </c>
      <c r="AB32" s="1577">
        <f t="shared" si="4"/>
        <v>1</v>
      </c>
      <c r="AC32" s="1577">
        <f t="shared" si="5"/>
        <v>1</v>
      </c>
    </row>
    <row r="33" spans="1:29" s="1339" customFormat="1" ht="15">
      <c r="A33" s="603"/>
      <c r="B33" s="527" t="s">
        <v>725</v>
      </c>
      <c r="C33" s="880">
        <f>'数据-基础表'!B3</f>
        <v>100725</v>
      </c>
      <c r="D33" s="255">
        <v>100</v>
      </c>
      <c r="E33" s="534">
        <v>1470000</v>
      </c>
      <c r="F33" s="863">
        <f>LOOKUP(E33,103:103,104:104)-LOOKUP(C33,103:103,104:104)+100</f>
        <v>105</v>
      </c>
      <c r="G33" s="533">
        <v>427467</v>
      </c>
      <c r="H33" s="255">
        <f>LOOKUP(G33,103:103,104:104)-LOOKUP(C33,103:103,104:104)+100</f>
        <v>104</v>
      </c>
      <c r="I33" s="534">
        <v>560000</v>
      </c>
      <c r="J33" s="255">
        <f>LOOKUP(I33,103:103,104:104)-LOOKUP(C33,103:103,104:104)+100</f>
        <v>104</v>
      </c>
      <c r="K33" s="865"/>
      <c r="L33" s="2142"/>
      <c r="M33" s="2173"/>
      <c r="N33" s="2173"/>
      <c r="O33" s="2145"/>
      <c r="P33" s="3398"/>
      <c r="Q33" s="1606" t="str">
        <f t="shared" si="11"/>
        <v>项目建筑规模</v>
      </c>
      <c r="R33" s="1578" t="s">
        <v>11</v>
      </c>
      <c r="S33" s="1579">
        <f t="shared" si="12"/>
        <v>105</v>
      </c>
      <c r="T33" s="1578" t="s">
        <v>11</v>
      </c>
      <c r="U33" s="1579">
        <f t="shared" si="13"/>
        <v>104</v>
      </c>
      <c r="V33" s="1578" t="s">
        <v>11</v>
      </c>
      <c r="W33" s="1579">
        <f t="shared" si="14"/>
        <v>104</v>
      </c>
      <c r="X33" s="1580"/>
      <c r="Y33" s="3398"/>
      <c r="Z33" s="1581" t="str">
        <f t="shared" si="15"/>
        <v>项目建筑规模</v>
      </c>
      <c r="AA33" s="1577">
        <f t="shared" si="3"/>
        <v>0.95238095238095233</v>
      </c>
      <c r="AB33" s="1577">
        <f t="shared" si="4"/>
        <v>0.96153846153846156</v>
      </c>
      <c r="AC33" s="1577">
        <f t="shared" si="5"/>
        <v>0.96153846153846156</v>
      </c>
    </row>
    <row r="34" spans="1:29" ht="15">
      <c r="A34" s="594"/>
      <c r="B34" s="527" t="s">
        <v>726</v>
      </c>
      <c r="C34" s="881" t="s">
        <v>3037</v>
      </c>
      <c r="D34" s="540">
        <v>100</v>
      </c>
      <c r="E34" s="881" t="s">
        <v>3037</v>
      </c>
      <c r="F34" s="575">
        <f>SUMIF(105:105,E34,106:106)-SUMIF(105:105,C34,106:106)+100</f>
        <v>100</v>
      </c>
      <c r="G34" s="881" t="s">
        <v>3037</v>
      </c>
      <c r="H34" s="540">
        <f>SUMIF(105:105,G34,106:106)-SUMIF(105:105,C34,106:106)+100</f>
        <v>100</v>
      </c>
      <c r="I34" s="881" t="s">
        <v>3037</v>
      </c>
      <c r="J34" s="540">
        <f>SUMIF(105:105,I34,106:106)-SUMIF(105:105,C34,106:106)+100</f>
        <v>100</v>
      </c>
      <c r="K34" s="864">
        <v>1</v>
      </c>
      <c r="L34" s="2144"/>
      <c r="M34" s="2136"/>
      <c r="N34" s="2136"/>
      <c r="O34" s="2143"/>
      <c r="P34" s="3398"/>
      <c r="Q34" s="1573" t="str">
        <f t="shared" si="11"/>
        <v>建筑结构</v>
      </c>
      <c r="R34" s="1574" t="s">
        <v>11</v>
      </c>
      <c r="S34" s="1575">
        <f t="shared" si="12"/>
        <v>100</v>
      </c>
      <c r="T34" s="1574" t="s">
        <v>11</v>
      </c>
      <c r="U34" s="1575">
        <f t="shared" si="13"/>
        <v>100</v>
      </c>
      <c r="V34" s="1574" t="s">
        <v>11</v>
      </c>
      <c r="W34" s="1575">
        <f t="shared" si="14"/>
        <v>100</v>
      </c>
      <c r="X34" s="1568"/>
      <c r="Y34" s="3398"/>
      <c r="Z34" s="1576" t="str">
        <f t="shared" si="15"/>
        <v>建筑结构</v>
      </c>
      <c r="AA34" s="1577">
        <f t="shared" si="3"/>
        <v>1</v>
      </c>
      <c r="AB34" s="1577">
        <f t="shared" si="4"/>
        <v>1</v>
      </c>
      <c r="AC34" s="1577">
        <f t="shared" si="5"/>
        <v>1</v>
      </c>
    </row>
    <row r="35" spans="1:29" ht="15">
      <c r="A35" s="594"/>
      <c r="B35" s="527" t="s">
        <v>727</v>
      </c>
      <c r="C35" s="599" t="s">
        <v>3252</v>
      </c>
      <c r="D35" s="540">
        <v>100</v>
      </c>
      <c r="E35" s="599" t="s">
        <v>3252</v>
      </c>
      <c r="F35" s="575">
        <f>SUMIF(107:107,E35,108:108)-SUMIF(107:107,C35,108:108)+100</f>
        <v>100</v>
      </c>
      <c r="G35" s="599" t="s">
        <v>3252</v>
      </c>
      <c r="H35" s="540">
        <f>SUMIF(107:107,G35,108:108)-SUMIF(107:107,C35,108:108)+100</f>
        <v>100</v>
      </c>
      <c r="I35" s="599" t="s">
        <v>3252</v>
      </c>
      <c r="J35" s="540">
        <f>SUMIF(107:107,I35,108:108)-SUMIF(107:107,C35,108:108)+100</f>
        <v>100</v>
      </c>
      <c r="K35" s="864">
        <v>3</v>
      </c>
      <c r="L35" s="2144"/>
      <c r="M35" s="2136"/>
      <c r="N35" s="2136"/>
      <c r="O35" s="2143"/>
      <c r="P35" s="3398"/>
      <c r="Q35" s="1573" t="str">
        <f t="shared" si="11"/>
        <v>建筑品质</v>
      </c>
      <c r="R35" s="1574" t="s">
        <v>11</v>
      </c>
      <c r="S35" s="1575">
        <f t="shared" si="12"/>
        <v>100</v>
      </c>
      <c r="T35" s="1574" t="s">
        <v>11</v>
      </c>
      <c r="U35" s="1575">
        <f t="shared" si="13"/>
        <v>100</v>
      </c>
      <c r="V35" s="1574" t="s">
        <v>11</v>
      </c>
      <c r="W35" s="1575">
        <f t="shared" si="14"/>
        <v>100</v>
      </c>
      <c r="X35" s="1568"/>
      <c r="Y35" s="3398"/>
      <c r="Z35" s="1576" t="str">
        <f t="shared" si="15"/>
        <v>建筑品质</v>
      </c>
      <c r="AA35" s="1577">
        <f t="shared" si="3"/>
        <v>1</v>
      </c>
      <c r="AB35" s="1577">
        <f t="shared" si="4"/>
        <v>1</v>
      </c>
      <c r="AC35" s="1577">
        <f t="shared" si="5"/>
        <v>1</v>
      </c>
    </row>
    <row r="36" spans="1:29" ht="15">
      <c r="A36" s="594"/>
      <c r="B36" s="527" t="s">
        <v>728</v>
      </c>
      <c r="C36" s="599" t="s">
        <v>3058</v>
      </c>
      <c r="D36" s="540">
        <v>100</v>
      </c>
      <c r="E36" s="599" t="s">
        <v>3058</v>
      </c>
      <c r="F36" s="575">
        <f>SUMIF(109:109,E36,110:110)-SUMIF(109:109,C36,110:110)+100</f>
        <v>100</v>
      </c>
      <c r="G36" s="599" t="s">
        <v>3058</v>
      </c>
      <c r="H36" s="540">
        <f>SUMIF(109:109,G36,110:110)-SUMIF(109:109,C36,110:110)+100</f>
        <v>100</v>
      </c>
      <c r="I36" s="599" t="s">
        <v>3058</v>
      </c>
      <c r="J36" s="540">
        <f>SUMIF(109:109,I36,110:110)-SUMIF(109:109,C36,110:110)+100</f>
        <v>100</v>
      </c>
      <c r="K36" s="864">
        <v>2</v>
      </c>
      <c r="L36" s="2144"/>
      <c r="M36" s="2136"/>
      <c r="N36" s="2136"/>
      <c r="O36" s="2143"/>
      <c r="P36" s="3398"/>
      <c r="Q36" s="1573" t="str">
        <f t="shared" si="11"/>
        <v>公共部分装修</v>
      </c>
      <c r="R36" s="1574" t="s">
        <v>11</v>
      </c>
      <c r="S36" s="1575">
        <f t="shared" si="12"/>
        <v>100</v>
      </c>
      <c r="T36" s="1574" t="s">
        <v>11</v>
      </c>
      <c r="U36" s="1575">
        <f t="shared" si="13"/>
        <v>100</v>
      </c>
      <c r="V36" s="1574" t="s">
        <v>11</v>
      </c>
      <c r="W36" s="1575">
        <f t="shared" si="14"/>
        <v>100</v>
      </c>
      <c r="X36" s="1568"/>
      <c r="Y36" s="3398"/>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398"/>
      <c r="Q37" s="1151" t="str">
        <f t="shared" si="11"/>
        <v>成新度</v>
      </c>
      <c r="R37" s="1569" t="s">
        <v>11</v>
      </c>
      <c r="S37" s="1570">
        <f t="shared" si="12"/>
        <v>100</v>
      </c>
      <c r="T37" s="1569" t="s">
        <v>11</v>
      </c>
      <c r="U37" s="1570">
        <f t="shared" si="13"/>
        <v>100</v>
      </c>
      <c r="V37" s="1569" t="s">
        <v>11</v>
      </c>
      <c r="W37" s="1570">
        <f t="shared" si="14"/>
        <v>100</v>
      </c>
      <c r="X37" s="1571"/>
      <c r="Y37" s="3398"/>
      <c r="Z37" s="1150" t="str">
        <f t="shared" si="15"/>
        <v>成新度</v>
      </c>
      <c r="AA37" s="1572">
        <f t="shared" si="3"/>
        <v>1</v>
      </c>
      <c r="AB37" s="1572">
        <f t="shared" si="4"/>
        <v>1</v>
      </c>
      <c r="AC37" s="1572">
        <f t="shared" si="5"/>
        <v>1</v>
      </c>
    </row>
    <row r="38" spans="1:29" ht="15">
      <c r="A38" s="594"/>
      <c r="B38" s="527" t="s">
        <v>730</v>
      </c>
      <c r="C38" s="599" t="s">
        <v>3252</v>
      </c>
      <c r="D38" s="540">
        <v>100</v>
      </c>
      <c r="E38" s="599" t="s">
        <v>3252</v>
      </c>
      <c r="F38" s="575">
        <f>SUMIF(114:114,E38,115:115)-SUMIF(114:114,C38,115:115)+100</f>
        <v>100</v>
      </c>
      <c r="G38" s="599" t="s">
        <v>3252</v>
      </c>
      <c r="H38" s="540">
        <f>SUMIF(114:114,G38,115:115)-SUMIF(114:114,C38,115:115)+100</f>
        <v>100</v>
      </c>
      <c r="I38" s="599" t="s">
        <v>3252</v>
      </c>
      <c r="J38" s="540">
        <f>SUMIF(114:114,I38,115:115)-SUMIF(114:114,C38,115:115)+100</f>
        <v>100</v>
      </c>
      <c r="K38" s="864">
        <v>3</v>
      </c>
      <c r="L38" s="2144"/>
      <c r="M38" s="2136"/>
      <c r="N38" s="2136"/>
      <c r="O38" s="2143"/>
      <c r="P38" s="3398" t="s">
        <v>549</v>
      </c>
      <c r="Q38" s="1573" t="str">
        <f t="shared" si="11"/>
        <v>物业管理</v>
      </c>
      <c r="R38" s="1574" t="s">
        <v>11</v>
      </c>
      <c r="S38" s="1575">
        <f t="shared" si="12"/>
        <v>100</v>
      </c>
      <c r="T38" s="1574" t="s">
        <v>11</v>
      </c>
      <c r="U38" s="1575">
        <f t="shared" si="13"/>
        <v>100</v>
      </c>
      <c r="V38" s="1574" t="s">
        <v>11</v>
      </c>
      <c r="W38" s="1575">
        <f t="shared" si="14"/>
        <v>100</v>
      </c>
      <c r="X38" s="1568"/>
      <c r="Y38" s="3398" t="s">
        <v>549</v>
      </c>
      <c r="Z38" s="1576" t="str">
        <f t="shared" si="15"/>
        <v>物业管理</v>
      </c>
      <c r="AA38" s="1577">
        <f t="shared" si="3"/>
        <v>1</v>
      </c>
      <c r="AB38" s="1577">
        <f t="shared" si="4"/>
        <v>1</v>
      </c>
      <c r="AC38" s="1577">
        <f t="shared" si="5"/>
        <v>1</v>
      </c>
    </row>
    <row r="39" spans="1:29" ht="15">
      <c r="A39" s="594"/>
      <c r="B39" s="1897" t="s">
        <v>2562</v>
      </c>
      <c r="C39" s="599" t="s">
        <v>3066</v>
      </c>
      <c r="D39" s="540">
        <v>100</v>
      </c>
      <c r="E39" s="599" t="s">
        <v>3066</v>
      </c>
      <c r="F39" s="575">
        <f>SUMIF(116:116,E39,117:117)-SUMIF(116:116,C39,117:117)+100</f>
        <v>100</v>
      </c>
      <c r="G39" s="599" t="s">
        <v>3066</v>
      </c>
      <c r="H39" s="540">
        <f>SUMIF(116:116,G39,117:117)-SUMIF(116:116,C39,117:117)+100</f>
        <v>100</v>
      </c>
      <c r="I39" s="599" t="s">
        <v>3066</v>
      </c>
      <c r="J39" s="540">
        <f>SUMIF(116:116,I39,117:117)-SUMIF(116:116,C39,117:117)+100</f>
        <v>100</v>
      </c>
      <c r="K39" s="864">
        <v>1</v>
      </c>
      <c r="L39" s="2144"/>
      <c r="M39" s="2136"/>
      <c r="N39" s="2136"/>
      <c r="O39" s="2143"/>
      <c r="P39" s="3398"/>
      <c r="Q39" s="1573" t="str">
        <f t="shared" si="11"/>
        <v>市政基础设施</v>
      </c>
      <c r="R39" s="1574" t="s">
        <v>11</v>
      </c>
      <c r="S39" s="1575">
        <f t="shared" si="12"/>
        <v>100</v>
      </c>
      <c r="T39" s="1574" t="s">
        <v>11</v>
      </c>
      <c r="U39" s="1575">
        <f t="shared" si="13"/>
        <v>100</v>
      </c>
      <c r="V39" s="1574" t="s">
        <v>11</v>
      </c>
      <c r="W39" s="1575">
        <f t="shared" si="14"/>
        <v>100</v>
      </c>
      <c r="X39" s="1568"/>
      <c r="Y39" s="3398"/>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398"/>
      <c r="Q40" s="1573" t="str">
        <f t="shared" si="11"/>
        <v>房型</v>
      </c>
      <c r="R40" s="1574" t="s">
        <v>11</v>
      </c>
      <c r="S40" s="1575">
        <f t="shared" si="12"/>
        <v>100</v>
      </c>
      <c r="T40" s="1574" t="s">
        <v>11</v>
      </c>
      <c r="U40" s="1575">
        <f t="shared" si="13"/>
        <v>100</v>
      </c>
      <c r="V40" s="1574" t="s">
        <v>11</v>
      </c>
      <c r="W40" s="1575">
        <f t="shared" si="14"/>
        <v>100</v>
      </c>
      <c r="X40" s="1568"/>
      <c r="Y40" s="3398"/>
      <c r="Z40" s="1576" t="str">
        <f t="shared" si="15"/>
        <v>房型</v>
      </c>
      <c r="AA40" s="1577">
        <f t="shared" si="3"/>
        <v>1</v>
      </c>
      <c r="AB40" s="1577">
        <f t="shared" si="4"/>
        <v>1</v>
      </c>
      <c r="AC40" s="1577">
        <f t="shared" si="5"/>
        <v>1</v>
      </c>
    </row>
    <row r="41" spans="1:29" s="1339" customFormat="1" ht="28.5">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398"/>
      <c r="Q41" s="1606" t="str">
        <f t="shared" si="11"/>
        <v>单套/主力户型建筑面积</v>
      </c>
      <c r="R41" s="1578" t="s">
        <v>11</v>
      </c>
      <c r="S41" s="1579">
        <f t="shared" si="12"/>
        <v>100</v>
      </c>
      <c r="T41" s="1578" t="s">
        <v>11</v>
      </c>
      <c r="U41" s="1579">
        <f t="shared" si="13"/>
        <v>100</v>
      </c>
      <c r="V41" s="1578" t="s">
        <v>11</v>
      </c>
      <c r="W41" s="1579">
        <f t="shared" si="14"/>
        <v>100</v>
      </c>
      <c r="X41" s="1580"/>
      <c r="Y41" s="3398"/>
      <c r="Z41" s="1581" t="str">
        <f t="shared" si="15"/>
        <v>单套/主力户型建筑面积</v>
      </c>
      <c r="AA41" s="1577">
        <f t="shared" si="3"/>
        <v>1</v>
      </c>
      <c r="AB41" s="1577">
        <f t="shared" si="4"/>
        <v>1</v>
      </c>
      <c r="AC41" s="1577">
        <f t="shared" si="5"/>
        <v>1</v>
      </c>
    </row>
    <row r="42" spans="1:29" ht="15">
      <c r="A42" s="594"/>
      <c r="B42" s="527" t="s">
        <v>733</v>
      </c>
      <c r="C42" s="599" t="s">
        <v>3062</v>
      </c>
      <c r="D42" s="540">
        <v>100</v>
      </c>
      <c r="E42" s="599" t="s">
        <v>3062</v>
      </c>
      <c r="F42" s="575">
        <f>SUMIF(122:122,E42,123:123)-SUMIF(122:122,C42,123:123)+100</f>
        <v>100</v>
      </c>
      <c r="G42" s="599" t="s">
        <v>3062</v>
      </c>
      <c r="H42" s="540">
        <f>SUMIF(122:122,G42,123:123)-SUMIF(122:122,C42,123:123)+100</f>
        <v>100</v>
      </c>
      <c r="I42" s="599" t="s">
        <v>3062</v>
      </c>
      <c r="J42" s="540">
        <f>SUMIF(122:122,I42,123:123)-SUMIF(122:122,C42,123:123)+100</f>
        <v>100</v>
      </c>
      <c r="K42" s="864">
        <v>1</v>
      </c>
      <c r="L42" s="2144"/>
      <c r="M42" s="2136"/>
      <c r="N42" s="2136"/>
      <c r="O42" s="2143"/>
      <c r="P42" s="3398"/>
      <c r="Q42" s="1573" t="str">
        <f t="shared" si="11"/>
        <v>内部装修</v>
      </c>
      <c r="R42" s="1574" t="s">
        <v>11</v>
      </c>
      <c r="S42" s="1575">
        <f t="shared" si="12"/>
        <v>100</v>
      </c>
      <c r="T42" s="1574" t="s">
        <v>11</v>
      </c>
      <c r="U42" s="1575">
        <f t="shared" si="13"/>
        <v>100</v>
      </c>
      <c r="V42" s="1574" t="s">
        <v>11</v>
      </c>
      <c r="W42" s="1575">
        <f t="shared" si="14"/>
        <v>100</v>
      </c>
      <c r="X42" s="1568"/>
      <c r="Y42" s="3398"/>
      <c r="Z42" s="1576" t="str">
        <f t="shared" si="15"/>
        <v>内部装修</v>
      </c>
      <c r="AA42" s="1577">
        <f t="shared" si="3"/>
        <v>1</v>
      </c>
      <c r="AB42" s="1577">
        <f t="shared" si="4"/>
        <v>1</v>
      </c>
      <c r="AC42" s="1577">
        <f t="shared" si="5"/>
        <v>1</v>
      </c>
    </row>
    <row r="43" spans="1:29" ht="27">
      <c r="A43" s="594"/>
      <c r="B43" s="527" t="s">
        <v>734</v>
      </c>
      <c r="C43" s="599" t="s">
        <v>3073</v>
      </c>
      <c r="D43" s="540">
        <v>100</v>
      </c>
      <c r="E43" s="599" t="s">
        <v>3073</v>
      </c>
      <c r="F43" s="575">
        <f>SUMIF(124:124,E43,125:125)-SUMIF(124:124,C43,125:125)+100</f>
        <v>100</v>
      </c>
      <c r="G43" s="599" t="s">
        <v>3073</v>
      </c>
      <c r="H43" s="540">
        <f>SUMIF(124:124,G43,125:125)-SUMIF(124:124,C43,125:125)+100</f>
        <v>100</v>
      </c>
      <c r="I43" s="599" t="s">
        <v>3073</v>
      </c>
      <c r="J43" s="540">
        <f>SUMIF(124:124,I43,125:125)-SUMIF(124:124,C43,125:125)+100</f>
        <v>100</v>
      </c>
      <c r="K43" s="864">
        <v>1</v>
      </c>
      <c r="L43" s="2144"/>
      <c r="M43" s="2136"/>
      <c r="N43" s="2136"/>
      <c r="O43" s="2143"/>
      <c r="P43" s="3398"/>
      <c r="Q43" s="1573" t="str">
        <f t="shared" si="11"/>
        <v>内部装修维护情况</v>
      </c>
      <c r="R43" s="1574" t="s">
        <v>11</v>
      </c>
      <c r="S43" s="1575">
        <f t="shared" si="12"/>
        <v>100</v>
      </c>
      <c r="T43" s="1574" t="s">
        <v>11</v>
      </c>
      <c r="U43" s="1575">
        <f t="shared" si="13"/>
        <v>100</v>
      </c>
      <c r="V43" s="1574" t="s">
        <v>11</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3201" t="s">
        <v>3074</v>
      </c>
      <c r="C44" s="3202"/>
      <c r="D44" s="255">
        <v>100</v>
      </c>
      <c r="E44" s="3202"/>
      <c r="F44" s="863">
        <f>SUMIF(126:126,E44,127:127)-SUMIF(126:126,C44,127:127)+100</f>
        <v>100</v>
      </c>
      <c r="G44" s="3202"/>
      <c r="H44" s="255">
        <f>SUMIF(126:126,G44,127:127)-SUMIF(126:126,C44,127:127)+100</f>
        <v>100</v>
      </c>
      <c r="I44" s="3202"/>
      <c r="J44" s="255">
        <f>SUMIF(126:126,I44,127:127)-SUMIF(126:126,C44,127:127)+100</f>
        <v>100</v>
      </c>
      <c r="K44" s="865"/>
      <c r="L44" s="2137"/>
      <c r="M44" s="2138"/>
      <c r="N44" s="2138"/>
      <c r="O44" s="2139"/>
      <c r="P44" s="3398"/>
      <c r="Q44" s="1151" t="str">
        <f t="shared" si="11"/>
        <v>特殊修正</v>
      </c>
      <c r="R44" s="1569" t="s">
        <v>11</v>
      </c>
      <c r="S44" s="1570">
        <f t="shared" si="12"/>
        <v>100</v>
      </c>
      <c r="T44" s="1569" t="s">
        <v>11</v>
      </c>
      <c r="U44" s="1570">
        <f t="shared" si="13"/>
        <v>100</v>
      </c>
      <c r="V44" s="1569" t="s">
        <v>11</v>
      </c>
      <c r="W44" s="1570">
        <f t="shared" si="14"/>
        <v>100</v>
      </c>
      <c r="X44" s="1571"/>
      <c r="Y44" s="3398"/>
      <c r="Z44" s="1150" t="str">
        <f t="shared" si="15"/>
        <v>特殊修正</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398"/>
      <c r="Q45" s="1573">
        <f t="shared" si="11"/>
        <v>111</v>
      </c>
      <c r="R45" s="1574" t="s">
        <v>11</v>
      </c>
      <c r="S45" s="1575">
        <f t="shared" si="12"/>
        <v>100</v>
      </c>
      <c r="T45" s="1574" t="s">
        <v>11</v>
      </c>
      <c r="U45" s="1575">
        <f t="shared" si="13"/>
        <v>100</v>
      </c>
      <c r="V45" s="1574" t="s">
        <v>11</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75"/>
      <c r="Q46" s="1573">
        <f t="shared" si="11"/>
        <v>111</v>
      </c>
      <c r="R46" s="1574" t="s">
        <v>10</v>
      </c>
      <c r="S46" s="1575">
        <f t="shared" si="12"/>
        <v>100</v>
      </c>
      <c r="T46" s="1574" t="s">
        <v>10</v>
      </c>
      <c r="U46" s="1575">
        <f t="shared" si="13"/>
        <v>100</v>
      </c>
      <c r="V46" s="1574" t="s">
        <v>10</v>
      </c>
      <c r="W46" s="1575">
        <f t="shared" si="14"/>
        <v>100</v>
      </c>
      <c r="X46" s="1568"/>
      <c r="Y46" s="3475"/>
      <c r="Z46" s="1576">
        <f t="shared" si="15"/>
        <v>111</v>
      </c>
      <c r="AA46" s="1577">
        <f t="shared" si="3"/>
        <v>1</v>
      </c>
      <c r="AB46" s="1577">
        <f t="shared" si="4"/>
        <v>1</v>
      </c>
      <c r="AC46" s="1577">
        <f t="shared" si="5"/>
        <v>1</v>
      </c>
    </row>
    <row r="47" spans="1:29" ht="15">
      <c r="A47" s="607" t="s">
        <v>735</v>
      </c>
      <c r="B47" s="887"/>
      <c r="C47" s="2629" t="s">
        <v>9</v>
      </c>
      <c r="D47" s="2630"/>
      <c r="E47" s="2631">
        <v>9200</v>
      </c>
      <c r="F47" s="2632"/>
      <c r="G47" s="2633">
        <v>9000</v>
      </c>
      <c r="H47" s="2634"/>
      <c r="I47" s="2631">
        <v>8600</v>
      </c>
      <c r="J47" s="2634"/>
      <c r="K47" s="1607"/>
      <c r="L47" s="2146"/>
      <c r="M47" s="2147"/>
      <c r="N47" s="2136"/>
      <c r="O47" s="2147"/>
      <c r="P47" s="3393" t="str">
        <f>A47</f>
        <v>成交单价（元/平方米）</v>
      </c>
      <c r="Q47" s="3393"/>
      <c r="R47" s="3474">
        <f>E47</f>
        <v>9200</v>
      </c>
      <c r="S47" s="3474"/>
      <c r="T47" s="3474">
        <f>G47</f>
        <v>9000</v>
      </c>
      <c r="U47" s="3474"/>
      <c r="V47" s="3474">
        <f>I47</f>
        <v>8600</v>
      </c>
      <c r="W47" s="3474"/>
      <c r="X47" s="1560"/>
      <c r="Y47" s="1582"/>
      <c r="Z47" s="1560"/>
      <c r="AA47" s="1560"/>
      <c r="AB47" s="1560"/>
      <c r="AC47" s="1560"/>
    </row>
    <row r="48" spans="1:29" ht="15.75" thickBot="1">
      <c r="A48" s="615" t="s">
        <v>2758</v>
      </c>
      <c r="B48" s="888"/>
      <c r="C48" s="2635">
        <f>R49</f>
        <v>6935</v>
      </c>
      <c r="D48" s="2636"/>
      <c r="E48" s="2637">
        <f>R48</f>
        <v>7158</v>
      </c>
      <c r="F48" s="2637"/>
      <c r="G48" s="2635">
        <f>T48</f>
        <v>6928</v>
      </c>
      <c r="H48" s="2636"/>
      <c r="I48" s="2637">
        <f>V48</f>
        <v>6620</v>
      </c>
      <c r="J48" s="2636"/>
      <c r="K48" s="1608"/>
      <c r="L48" s="2146"/>
      <c r="M48" s="2147"/>
      <c r="N48" s="2147"/>
      <c r="O48" s="2147"/>
      <c r="P48" s="3393" t="str">
        <f>A48</f>
        <v>比较价格（元/平方米）</v>
      </c>
      <c r="Q48" s="3393"/>
      <c r="R48" s="3474">
        <f>IF(F1="售价",ROUND(PRODUCT(R47,AA7:AA46),0),ROUND(PRODUCT(R47,AA7:AA46),1))</f>
        <v>7158</v>
      </c>
      <c r="S48" s="3474"/>
      <c r="T48" s="3474">
        <f>IF(F1="售价",ROUND(PRODUCT(T47,AB7:AB46),0),ROUND(PRODUCT(T47,AB7:AB46),1))</f>
        <v>6928</v>
      </c>
      <c r="U48" s="3474"/>
      <c r="V48" s="3474">
        <f>IF(F1="售价",ROUND(PRODUCT(V47,AC7:AC46),0),ROUND(PRODUCT(V47,AC7:AC46),1))</f>
        <v>6620</v>
      </c>
      <c r="W48" s="3474"/>
      <c r="X48" s="1560"/>
      <c r="Y48" s="1560"/>
      <c r="Z48" s="1560"/>
      <c r="AA48" s="1560"/>
      <c r="AB48" s="1560"/>
      <c r="AC48" s="1560"/>
    </row>
    <row r="49" spans="1:29" ht="15.75" thickBot="1">
      <c r="A49" s="621" t="s">
        <v>2931</v>
      </c>
      <c r="B49" s="622"/>
      <c r="C49" s="2638">
        <f>R49</f>
        <v>6935</v>
      </c>
      <c r="D49" s="2638"/>
      <c r="E49" s="2638"/>
      <c r="F49" s="2638"/>
      <c r="G49" s="2638"/>
      <c r="H49" s="2638"/>
      <c r="I49" s="2638"/>
      <c r="J49" s="2638"/>
      <c r="K49" s="1609"/>
      <c r="L49" s="2146"/>
      <c r="M49" s="2147"/>
      <c r="N49" s="2147"/>
      <c r="O49" s="2147"/>
      <c r="P49" s="3414" t="str">
        <f>A49</f>
        <v>估价对象XX用房的比较价格（楼面单价，元/平方米）</v>
      </c>
      <c r="Q49" s="3415"/>
      <c r="R49" s="3473">
        <f>ROUND(R48*R50+T48*T50+V48*V50,0)</f>
        <v>6935</v>
      </c>
      <c r="S49" s="3473"/>
      <c r="T49" s="3473"/>
      <c r="U49" s="3473"/>
      <c r="V49" s="3473"/>
      <c r="W49" s="34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3203" t="s">
        <v>3079</v>
      </c>
      <c r="R50" s="2150">
        <v>0.3</v>
      </c>
      <c r="S50" s="2147"/>
      <c r="T50" s="2150">
        <v>0.5</v>
      </c>
      <c r="U50" s="2147"/>
      <c r="V50" s="2150">
        <v>0.2</v>
      </c>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0.28527521654093313</v>
      </c>
      <c r="F52" s="627" t="str">
        <f>IF(OR(E52&gt;=0.3,E52&lt;=-0.3),"超过30%","")</f>
        <v/>
      </c>
      <c r="G52" s="626">
        <f>IF(G47&lt;G48,G48/G47-1,G47/G48-1)</f>
        <v>0.2990762124711317</v>
      </c>
      <c r="H52" s="627" t="str">
        <f>IF(OR(G52&gt;=0.3,G52&lt;=-0.3),"超过30%","")</f>
        <v/>
      </c>
      <c r="I52" s="626">
        <f>IF(I47&lt;I48,I48/I47-1,I47/I48-1)</f>
        <v>0.29909365558912393</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3.3198614318706632E-2</v>
      </c>
      <c r="F53" s="627" t="str">
        <f>IF(OR(E53&gt;=0.2,E53&lt;=-0.2),"超过20%","")</f>
        <v/>
      </c>
      <c r="G53" s="626">
        <f>IF(G48&lt;I48,I48/G48-1,G48/I48-1)</f>
        <v>4.6525679758308236E-2</v>
      </c>
      <c r="H53" s="627" t="str">
        <f>IF(OR(G53&gt;=0.2,G53&lt;=-0.2),"超过20%","")</f>
        <v/>
      </c>
      <c r="I53" s="626">
        <f>IF(I48&lt;E48,E48/I48-1,I48/E48-1)</f>
        <v>8.1268882175226542E-2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2.2222222222222143E-2</v>
      </c>
      <c r="F54" s="627" t="str">
        <f>IF(OR(E54&gt;=0.3,E54&lt;=-0.3),"超过30%","")</f>
        <v/>
      </c>
      <c r="G54" s="626">
        <f>IF(G47&lt;I47,I47/G47-1,G47/I47-1)</f>
        <v>4.6511627906976827E-2</v>
      </c>
      <c r="H54" s="627" t="str">
        <f>IF(OR(G54&gt;=0.3,G54&lt;=-0.3),"超过30%","")</f>
        <v/>
      </c>
      <c r="I54" s="626">
        <f>IF(I47&lt;E47,E47/I47-1,I47/E47-1)</f>
        <v>6.9767441860465018E-2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6" t="str">
        <f>YEAR(C7)&amp;"-"&amp;MONTH(C7)</f>
        <v>2018-12</v>
      </c>
      <c r="D58" s="2806">
        <f>EDATE(C58,-1)</f>
        <v>43405</v>
      </c>
      <c r="E58" s="2806">
        <f t="shared" ref="E58:O58" si="16">EDATE(D58,-1)</f>
        <v>43374</v>
      </c>
      <c r="F58" s="2806">
        <f t="shared" si="16"/>
        <v>43344</v>
      </c>
      <c r="G58" s="2806">
        <f t="shared" si="16"/>
        <v>43313</v>
      </c>
      <c r="H58" s="2806">
        <f t="shared" si="16"/>
        <v>43282</v>
      </c>
      <c r="I58" s="2806">
        <f t="shared" si="16"/>
        <v>43252</v>
      </c>
      <c r="J58" s="2806">
        <f t="shared" si="16"/>
        <v>43221</v>
      </c>
      <c r="K58" s="2806">
        <f t="shared" si="16"/>
        <v>43191</v>
      </c>
      <c r="L58" s="2806">
        <f t="shared" si="16"/>
        <v>43160</v>
      </c>
      <c r="M58" s="2806">
        <f t="shared" si="16"/>
        <v>43132</v>
      </c>
      <c r="N58" s="2806">
        <f t="shared" si="16"/>
        <v>43101</v>
      </c>
      <c r="O58" s="2806">
        <f t="shared" si="16"/>
        <v>43070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v>100</v>
      </c>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v>100</v>
      </c>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95</v>
      </c>
      <c r="E77" s="679">
        <f>D77-$K15</f>
        <v>90</v>
      </c>
      <c r="F77" s="679">
        <f>E77-$K15</f>
        <v>85</v>
      </c>
      <c r="G77" s="679">
        <f>F77-$K15</f>
        <v>80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97</v>
      </c>
      <c r="E79" s="679">
        <f>D79-$K17</f>
        <v>94</v>
      </c>
      <c r="F79" s="679">
        <f>E79-$K17</f>
        <v>91</v>
      </c>
      <c r="G79" s="679">
        <f>F79-$K17</f>
        <v>88</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2555</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95</v>
      </c>
      <c r="E81" s="679">
        <f>D81-$K19</f>
        <v>90</v>
      </c>
      <c r="F81" s="679">
        <f>E81-$K19</f>
        <v>85</v>
      </c>
      <c r="G81" s="679">
        <f>F81-$K19</f>
        <v>80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2556</v>
      </c>
      <c r="C82" s="2600" t="s">
        <v>2557</v>
      </c>
      <c r="D82" s="2600" t="s">
        <v>2558</v>
      </c>
      <c r="E82" s="2600" t="s">
        <v>2559</v>
      </c>
      <c r="F82" s="2600" t="s">
        <v>2560</v>
      </c>
      <c r="G82" s="2600" t="s">
        <v>2561</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98</v>
      </c>
      <c r="E83" s="679">
        <f>D83-$K21</f>
        <v>96</v>
      </c>
      <c r="F83" s="679">
        <f>E83-$K21</f>
        <v>94</v>
      </c>
      <c r="G83" s="679">
        <f>F83-$K21</f>
        <v>92</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95</v>
      </c>
      <c r="E85" s="679">
        <f>D85-$K23</f>
        <v>90</v>
      </c>
      <c r="F85" s="679">
        <f>E85-$K23</f>
        <v>85</v>
      </c>
      <c r="G85" s="679">
        <f>F85-$K23</f>
        <v>80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2258</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7" t="s">
        <v>3054</v>
      </c>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0(含)-200000</v>
      </c>
      <c r="D102" s="708" t="str">
        <f t="shared" ref="D102:L102" si="23">D103&amp;"(含)"&amp;"-"&amp;E103</f>
        <v>200000(含)-400000</v>
      </c>
      <c r="E102" s="708" t="str">
        <f t="shared" si="23"/>
        <v>400000(含)-60000</v>
      </c>
      <c r="F102" s="708" t="str">
        <f t="shared" si="23"/>
        <v>60000(含)-80000</v>
      </c>
      <c r="G102" s="708" t="str">
        <f t="shared" si="23"/>
        <v>80000(含)-1000000</v>
      </c>
      <c r="H102" s="708" t="str">
        <f t="shared" si="23"/>
        <v>1000000(含)-1500000</v>
      </c>
      <c r="I102" s="708" t="str">
        <f t="shared" si="23"/>
        <v>1500000(含)-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200000</v>
      </c>
      <c r="E103" s="730">
        <v>400000</v>
      </c>
      <c r="F103" s="730">
        <v>60000</v>
      </c>
      <c r="G103" s="730">
        <v>80000</v>
      </c>
      <c r="H103" s="730">
        <v>1000000</v>
      </c>
      <c r="I103" s="730">
        <v>1500000</v>
      </c>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v>106</v>
      </c>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188" t="s">
        <v>3055</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189" t="s">
        <v>3056</v>
      </c>
      <c r="D107" s="3189" t="s">
        <v>3057</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3188" t="s">
        <v>3059</v>
      </c>
      <c r="D109" s="3188" t="s">
        <v>3060</v>
      </c>
      <c r="E109" s="3188" t="s">
        <v>3061</v>
      </c>
      <c r="F109" s="3189" t="s">
        <v>3063</v>
      </c>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188" t="s">
        <v>3064</v>
      </c>
      <c r="D114" s="3188" t="s">
        <v>3057</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2554</v>
      </c>
      <c r="C116" s="3188" t="s">
        <v>3065</v>
      </c>
      <c r="D116" s="3188" t="s">
        <v>3067</v>
      </c>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188" t="s">
        <v>3059</v>
      </c>
      <c r="D122" s="3188" t="s">
        <v>3060</v>
      </c>
      <c r="E122" s="3188" t="s">
        <v>3061</v>
      </c>
      <c r="F122" s="3189" t="s">
        <v>3063</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特殊修正</v>
      </c>
      <c r="C126" s="3188" t="s">
        <v>3075</v>
      </c>
      <c r="D126" s="3188" t="s">
        <v>3076</v>
      </c>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v>100</v>
      </c>
      <c r="D127" s="671">
        <v>75</v>
      </c>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2259</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2260</v>
      </c>
      <c r="C137" s="1921"/>
      <c r="D137" s="1921"/>
      <c r="E137" s="1921"/>
      <c r="F137" s="1921"/>
      <c r="G137" s="1922"/>
      <c r="H137" s="1923"/>
      <c r="I137" s="1924" t="s">
        <v>2261</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2262</v>
      </c>
      <c r="D138" s="1927" t="s">
        <v>2263</v>
      </c>
      <c r="E138" s="1928" t="s">
        <v>2264</v>
      </c>
      <c r="F138" s="1929" t="s">
        <v>2265</v>
      </c>
      <c r="G138" s="1927" t="s">
        <v>2266</v>
      </c>
      <c r="H138" s="1930" t="s">
        <v>2267</v>
      </c>
      <c r="I138" s="1931"/>
      <c r="J138" s="1927" t="s">
        <v>2268</v>
      </c>
      <c r="K138" s="1930" t="s">
        <v>2269</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2270</v>
      </c>
      <c r="E139" s="1901">
        <v>100</v>
      </c>
      <c r="F139" s="1902">
        <v>102.5</v>
      </c>
      <c r="G139" s="1932" t="s">
        <v>2271</v>
      </c>
      <c r="H139" s="1903">
        <v>105</v>
      </c>
      <c r="I139" s="1933" t="s">
        <v>2272</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2273</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2274</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2275</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2276</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2277</v>
      </c>
      <c r="E144" s="1907">
        <v>102</v>
      </c>
      <c r="F144" s="1913">
        <v>100</v>
      </c>
      <c r="G144" s="1936" t="s">
        <v>2277</v>
      </c>
      <c r="H144" s="1909">
        <v>105</v>
      </c>
      <c r="I144" s="1935" t="s">
        <v>2276</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2278</v>
      </c>
      <c r="C145" s="1914">
        <f>ROUND(MAX(C139:C144)/MIN(C139:C144)-1,3)</f>
        <v>7.2999999999999995E-2</v>
      </c>
      <c r="D145" s="1938"/>
      <c r="E145" s="1938"/>
      <c r="F145" s="1939" t="s">
        <v>2279</v>
      </c>
      <c r="G145" s="1940"/>
      <c r="H145" s="1941"/>
      <c r="I145" s="1942" t="s">
        <v>2276</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G22 E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5" zoomScaleNormal="85" workbookViewId="0">
      <selection activeCell="D8" sqref="D8"/>
    </sheetView>
  </sheetViews>
  <sheetFormatPr defaultColWidth="9"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t="s">
        <v>3030</v>
      </c>
      <c r="D1" s="3126" t="s">
        <v>3080</v>
      </c>
      <c r="E1" s="2389" t="s">
        <v>2374</v>
      </c>
      <c r="F1" s="2390">
        <f ca="1">J53</f>
        <v>36.57</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1725</v>
      </c>
      <c r="B2" s="775">
        <f ca="1">C40+J29+L46</f>
        <v>21490</v>
      </c>
      <c r="C2" s="2059"/>
      <c r="D2" s="2057"/>
      <c r="E2" s="2058"/>
      <c r="F2" s="2058"/>
      <c r="G2" s="1591"/>
      <c r="H2" s="2059"/>
      <c r="I2" s="2059"/>
      <c r="J2" s="2059"/>
      <c r="K2" s="2060"/>
      <c r="L2" s="2059"/>
      <c r="M2" s="2059"/>
    </row>
    <row r="3" spans="1:33" ht="18" customHeight="1" thickBot="1">
      <c r="A3" s="833" t="s">
        <v>1726</v>
      </c>
      <c r="B3" s="834">
        <f ca="1">IF(ISERROR(B2*10000/F43),0,ROUND(B2*10000/F43,0))</f>
        <v>7112</v>
      </c>
      <c r="C3" s="2059"/>
      <c r="D3" s="2057"/>
      <c r="E3" s="2058"/>
      <c r="F3" s="2058"/>
      <c r="G3" s="1591"/>
      <c r="H3" s="776" t="s">
        <v>694</v>
      </c>
      <c r="I3" s="1363"/>
      <c r="J3" s="1363"/>
      <c r="K3" s="1592"/>
      <c r="L3" s="1363"/>
      <c r="M3" s="1363"/>
    </row>
    <row r="4" spans="1:33" ht="18" customHeight="1">
      <c r="A4" s="777" t="s">
        <v>1727</v>
      </c>
      <c r="B4" s="778" t="s">
        <v>1728</v>
      </c>
      <c r="C4" s="778" t="s">
        <v>1729</v>
      </c>
      <c r="D4" s="778" t="s">
        <v>632</v>
      </c>
      <c r="E4" s="779" t="s">
        <v>1730</v>
      </c>
      <c r="F4" s="780"/>
      <c r="G4" s="1593"/>
      <c r="H4" s="777" t="s">
        <v>1731</v>
      </c>
      <c r="I4" s="778" t="s">
        <v>1732</v>
      </c>
      <c r="J4" s="778" t="s">
        <v>1733</v>
      </c>
      <c r="K4" s="778" t="s">
        <v>1734</v>
      </c>
      <c r="L4" s="779" t="s">
        <v>1735</v>
      </c>
      <c r="M4" s="780"/>
    </row>
    <row r="5" spans="1:33" ht="18" customHeight="1">
      <c r="A5" s="781">
        <v>1</v>
      </c>
      <c r="B5" s="782" t="s">
        <v>2456</v>
      </c>
      <c r="C5" s="55">
        <f ca="1">C6+C10+C12</f>
        <v>1408</v>
      </c>
      <c r="D5" s="2498" t="s">
        <v>2459</v>
      </c>
      <c r="E5" s="2492"/>
      <c r="F5" s="2493"/>
      <c r="G5" s="1593"/>
      <c r="H5" s="781">
        <v>1</v>
      </c>
      <c r="I5" s="782" t="s">
        <v>2456</v>
      </c>
      <c r="J5" s="55">
        <f ca="1">J6+J10+J12</f>
        <v>0</v>
      </c>
      <c r="K5" s="2498" t="s">
        <v>2459</v>
      </c>
      <c r="L5" s="2492"/>
      <c r="M5" s="2493"/>
    </row>
    <row r="6" spans="1:33" ht="18" customHeight="1">
      <c r="A6" s="1832" t="s">
        <v>1823</v>
      </c>
      <c r="B6" s="3453" t="s">
        <v>2461</v>
      </c>
      <c r="C6" s="783">
        <f ca="1">ROUND(F6*F8*F7*(1-F9)/10000,0)</f>
        <v>1406</v>
      </c>
      <c r="D6" s="2499" t="s">
        <v>2460</v>
      </c>
      <c r="E6" s="784" t="s">
        <v>1737</v>
      </c>
      <c r="F6" s="785">
        <f ca="1">INDIRECT("'数据-取费表'!u"&amp;$G$1)</f>
        <v>1.5</v>
      </c>
      <c r="G6" s="1593"/>
      <c r="H6" s="2506" t="s">
        <v>2466</v>
      </c>
      <c r="I6" s="3453" t="s">
        <v>2461</v>
      </c>
      <c r="J6" s="783">
        <f ca="1">ROUND(M6*M8*M7*(1-M9)/10000,0)</f>
        <v>0</v>
      </c>
      <c r="K6" s="341" t="s">
        <v>1736</v>
      </c>
      <c r="L6" s="784" t="s">
        <v>1737</v>
      </c>
      <c r="M6" s="785">
        <f ca="1">INDIRECT("'数据-取费表'!z"&amp;$G$1)</f>
        <v>0</v>
      </c>
    </row>
    <row r="7" spans="1:33" ht="18" customHeight="1">
      <c r="A7" s="2502"/>
      <c r="B7" s="3454"/>
      <c r="C7" s="788"/>
      <c r="D7" s="789"/>
      <c r="E7" s="784" t="s">
        <v>1738</v>
      </c>
      <c r="F7" s="785">
        <f ca="1">IF(INDIRECT("'数据-取费表'!ah"&amp;$G$1)="",INDIRECT("'数据-取费表'!k"&amp;$G$1),INDIRECT("'数据-取费表'!ah"&amp;$G$1))</f>
        <v>30217.5</v>
      </c>
      <c r="G7" s="1593"/>
      <c r="H7" s="2491"/>
      <c r="I7" s="3454"/>
      <c r="J7" s="788"/>
      <c r="K7" s="789"/>
      <c r="L7" s="784" t="s">
        <v>1738</v>
      </c>
      <c r="M7" s="785">
        <f ca="1">F7</f>
        <v>30217.5</v>
      </c>
    </row>
    <row r="8" spans="1:33" ht="18" customHeight="1">
      <c r="A8" s="2495"/>
      <c r="B8" s="3455"/>
      <c r="C8" s="788"/>
      <c r="D8" s="789"/>
      <c r="E8" s="784" t="s">
        <v>1739</v>
      </c>
      <c r="F8" s="785">
        <f ca="1">INDIRECT("'数据-取费表'!ai"&amp;$G$1)</f>
        <v>365</v>
      </c>
      <c r="G8" s="1593"/>
      <c r="H8" s="2491"/>
      <c r="I8" s="3455"/>
      <c r="J8" s="788"/>
      <c r="K8" s="789"/>
      <c r="L8" s="784" t="s">
        <v>1739</v>
      </c>
      <c r="M8" s="785">
        <f ca="1">INDIRECT("'数据-取费表'!ai"&amp;$G$1)</f>
        <v>365</v>
      </c>
    </row>
    <row r="9" spans="1:33" ht="18" customHeight="1">
      <c r="A9" s="786"/>
      <c r="B9" s="3456"/>
      <c r="C9" s="788"/>
      <c r="D9" s="789"/>
      <c r="E9" s="784" t="s">
        <v>1740</v>
      </c>
      <c r="F9" s="794">
        <f ca="1">INDIRECT("'数据-取费表'!w"&amp;$G$1)</f>
        <v>0.15</v>
      </c>
      <c r="G9" s="1593"/>
      <c r="H9" s="2507"/>
      <c r="I9" s="3455"/>
      <c r="J9" s="788"/>
      <c r="K9" s="789"/>
      <c r="L9" s="795" t="s">
        <v>1740</v>
      </c>
      <c r="M9" s="796">
        <f ca="1">INDIRECT("'数据-取费表'!ab"&amp;$G$1)</f>
        <v>0</v>
      </c>
    </row>
    <row r="10" spans="1:33" ht="18" customHeight="1">
      <c r="A10" s="1832" t="s">
        <v>2464</v>
      </c>
      <c r="B10" s="2496" t="s">
        <v>2457</v>
      </c>
      <c r="C10" s="799">
        <f ca="1">ROUND(IF(F10="押一",C6/12*F11,IF(F10="押二",C6/12*2*F11,IF(F10="押三",C6/12*3*F11,C11*F11))),0)</f>
        <v>2</v>
      </c>
      <c r="D10" s="2503" t="s">
        <v>2971</v>
      </c>
      <c r="E10" s="2500" t="s">
        <v>2462</v>
      </c>
      <c r="F10" s="2623" t="s">
        <v>3035</v>
      </c>
      <c r="G10" s="1593"/>
      <c r="H10" s="2563" t="s">
        <v>2467</v>
      </c>
      <c r="I10" s="2568" t="s">
        <v>2457</v>
      </c>
      <c r="J10" s="783">
        <f ca="1">ROUND(IF(M10="押一",J6/12*M11,IF(M10="押二",J6/12*2*M11,IF(M10="押三",J6/12*3*M11,J11*M11))),0)</f>
        <v>0</v>
      </c>
      <c r="K10" s="2503" t="s">
        <v>2971</v>
      </c>
      <c r="L10" s="2500" t="s">
        <v>2462</v>
      </c>
      <c r="M10" s="2623"/>
    </row>
    <row r="11" spans="1:33" ht="18" customHeight="1">
      <c r="A11" s="790"/>
      <c r="B11" s="2497" t="s">
        <v>2571</v>
      </c>
      <c r="C11" s="2501"/>
      <c r="D11" s="789"/>
      <c r="E11" s="2500" t="s">
        <v>2463</v>
      </c>
      <c r="F11" s="796">
        <f ca="1">'数据-取费表'!B39</f>
        <v>1.4999999999999999E-2</v>
      </c>
      <c r="G11" s="1593"/>
      <c r="H11" s="2564"/>
      <c r="I11" s="2497" t="s">
        <v>2571</v>
      </c>
      <c r="J11" s="2501"/>
      <c r="K11" s="2565"/>
      <c r="L11" s="2500" t="s">
        <v>2463</v>
      </c>
      <c r="M11" s="2494">
        <f ca="1">'数据-取费表'!B39</f>
        <v>1.4999999999999999E-2</v>
      </c>
    </row>
    <row r="12" spans="1:33" ht="18" customHeight="1" thickBot="1">
      <c r="A12" s="2539" t="s">
        <v>2465</v>
      </c>
      <c r="B12" s="2540" t="s">
        <v>2458</v>
      </c>
      <c r="C12" s="2541"/>
      <c r="D12" s="2542"/>
      <c r="E12" s="2543"/>
      <c r="F12" s="2544"/>
      <c r="G12" s="1593"/>
      <c r="H12" s="2553" t="s">
        <v>2468</v>
      </c>
      <c r="I12" s="2566" t="s">
        <v>2458</v>
      </c>
      <c r="J12" s="2567"/>
      <c r="K12" s="2542"/>
      <c r="L12" s="2543"/>
      <c r="M12" s="2556"/>
    </row>
    <row r="13" spans="1:33" ht="18" customHeight="1" thickTop="1">
      <c r="A13" s="1831">
        <v>2</v>
      </c>
      <c r="B13" s="1829" t="s">
        <v>1741</v>
      </c>
      <c r="C13" s="792">
        <f ca="1">ROUND(C29*F13,0)</f>
        <v>12728</v>
      </c>
      <c r="D13" s="1836" t="s">
        <v>2297</v>
      </c>
      <c r="E13" s="1836" t="s">
        <v>1743</v>
      </c>
      <c r="F13" s="2538">
        <f ca="1">INDIRECT("'数据-取费表'!y"&amp;$G$1)</f>
        <v>1</v>
      </c>
      <c r="G13" s="1593"/>
      <c r="H13" s="1831">
        <v>2</v>
      </c>
      <c r="I13" s="1829" t="s">
        <v>1741</v>
      </c>
      <c r="J13" s="1821">
        <f ca="1">ROUND(J14*J15,0)</f>
        <v>0</v>
      </c>
      <c r="K13" s="1823" t="s">
        <v>1742</v>
      </c>
      <c r="L13" s="2554"/>
      <c r="M13" s="2555"/>
    </row>
    <row r="14" spans="1:33" ht="18" customHeight="1">
      <c r="A14" s="1649" t="s">
        <v>1883</v>
      </c>
      <c r="B14" s="784" t="s">
        <v>644</v>
      </c>
      <c r="C14" s="804">
        <f ca="1">INDIRECT("'数据-取费表'!m"&amp;$G$1)+INDIRECT("'数据-取费表'!t"&amp;$G$1)</f>
        <v>8461</v>
      </c>
      <c r="D14" s="1981" t="s">
        <v>1744</v>
      </c>
      <c r="E14" s="1982"/>
      <c r="F14" s="805"/>
      <c r="G14" s="1593"/>
      <c r="H14" s="1650" t="s">
        <v>1829</v>
      </c>
      <c r="I14" s="2233" t="s">
        <v>2824</v>
      </c>
      <c r="J14" s="53">
        <f ca="1">C29</f>
        <v>12728</v>
      </c>
      <c r="K14" s="26"/>
      <c r="L14" s="801"/>
      <c r="M14" s="802"/>
    </row>
    <row r="15" spans="1:33" s="2066" customFormat="1" ht="18" customHeight="1" thickBot="1">
      <c r="A15" s="1649" t="s">
        <v>1884</v>
      </c>
      <c r="B15" s="784" t="s">
        <v>646</v>
      </c>
      <c r="C15" s="53">
        <f ca="1">ROUND(C14*F15,0)</f>
        <v>423</v>
      </c>
      <c r="D15" s="806" t="s">
        <v>1745</v>
      </c>
      <c r="E15" s="806" t="s">
        <v>1746</v>
      </c>
      <c r="F15" s="807">
        <f>'数据-取费表'!B33</f>
        <v>0.05</v>
      </c>
      <c r="G15" s="1594"/>
      <c r="H15" s="2553" t="s">
        <v>1888</v>
      </c>
      <c r="I15" s="2548" t="s">
        <v>1743</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1885</v>
      </c>
      <c r="B16" s="784" t="s">
        <v>649</v>
      </c>
      <c r="C16" s="53">
        <f ca="1">ROUND(INDIRECT("'数据-取费表'!m"&amp;$G$1)*F16,0)</f>
        <v>0</v>
      </c>
      <c r="D16" s="784" t="s">
        <v>1745</v>
      </c>
      <c r="E16" s="784" t="s">
        <v>1746</v>
      </c>
      <c r="F16" s="809">
        <f ca="1">IF(INDIRECT("'数据-取费表'!c"&amp;$G$1)="住宅",'数据-取费表'!B34,0)</f>
        <v>0</v>
      </c>
      <c r="G16" s="1593"/>
      <c r="H16" s="1831" t="s">
        <v>1747</v>
      </c>
      <c r="I16" s="1829" t="s">
        <v>1748</v>
      </c>
      <c r="J16" s="792">
        <f ca="1">ROUND(J17+J22+J23+J24,0)</f>
        <v>1279</v>
      </c>
      <c r="K16" s="1823" t="s">
        <v>1749</v>
      </c>
      <c r="L16" s="2488"/>
      <c r="M16" s="2493"/>
    </row>
    <row r="17" spans="1:33" s="2066" customFormat="1" ht="18" customHeight="1">
      <c r="A17" s="1649" t="s">
        <v>1886</v>
      </c>
      <c r="B17" s="784" t="s">
        <v>652</v>
      </c>
      <c r="C17" s="53">
        <f ca="1">ROUND(F17*(F43+INDIRECT("'数据-取费表'!S"&amp;$G$1))/10000,0)</f>
        <v>604</v>
      </c>
      <c r="D17" s="784" t="s">
        <v>1750</v>
      </c>
      <c r="E17" s="784" t="s">
        <v>1751</v>
      </c>
      <c r="F17" s="56">
        <f>'数据-取费表'!B35</f>
        <v>200</v>
      </c>
      <c r="G17" s="1594"/>
      <c r="H17" s="1650" t="s">
        <v>1829</v>
      </c>
      <c r="I17" s="784" t="s">
        <v>655</v>
      </c>
      <c r="J17" s="53">
        <f ca="1">ROUND(IF(项目基本情况!B11="自然人",J5*M17,J18+J19+J20),0)</f>
        <v>1088</v>
      </c>
      <c r="K17" s="2487" t="s">
        <v>1752</v>
      </c>
      <c r="L17" s="2486" t="s">
        <v>1753</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658</v>
      </c>
      <c r="C18" s="53">
        <f ca="1">ROUND(C14*F18,0)</f>
        <v>127</v>
      </c>
      <c r="D18" s="784" t="s">
        <v>1745</v>
      </c>
      <c r="E18" s="784" t="s">
        <v>1746</v>
      </c>
      <c r="F18" s="809">
        <f>'数据-取费表'!B36</f>
        <v>1.4999999999999999E-2</v>
      </c>
      <c r="G18" s="1594"/>
      <c r="H18" s="1649" t="s">
        <v>1883</v>
      </c>
      <c r="I18" s="784" t="s">
        <v>1754</v>
      </c>
      <c r="J18" s="53">
        <f ca="1">ROUND(J5*M18/1.05,1)</f>
        <v>0</v>
      </c>
      <c r="K18" s="2486" t="s">
        <v>1755</v>
      </c>
      <c r="L18" s="784" t="s">
        <v>1746</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1829</v>
      </c>
      <c r="B19" s="784" t="s">
        <v>661</v>
      </c>
      <c r="C19" s="53">
        <f ca="1">SUM(C14:C18)</f>
        <v>9615</v>
      </c>
      <c r="D19" s="261" t="s">
        <v>1756</v>
      </c>
      <c r="E19" s="1984"/>
      <c r="F19" s="56"/>
      <c r="G19" s="1593"/>
      <c r="H19" s="1649" t="s">
        <v>1884</v>
      </c>
      <c r="I19" s="784" t="s">
        <v>1757</v>
      </c>
      <c r="J19" s="53">
        <f ca="1">IF(K19="按租金收入计税",ROUND(J5*M19,1),ROUND(C29*F33*0.7,1))</f>
        <v>1069.2</v>
      </c>
      <c r="K19" s="811" t="s">
        <v>664</v>
      </c>
      <c r="L19" s="784" t="s">
        <v>1746</v>
      </c>
      <c r="M19" s="809">
        <f>IF(K19="按租金收入计税",'数据-取费表'!B51,'数据-取费表'!B50)</f>
        <v>1.2E-2</v>
      </c>
    </row>
    <row r="20" spans="1:33" s="2066" customFormat="1" ht="18" customHeight="1">
      <c r="A20" s="1650" t="s">
        <v>1888</v>
      </c>
      <c r="B20" s="784" t="s">
        <v>665</v>
      </c>
      <c r="C20" s="53">
        <f ca="1">ROUND(C19*F20,0)</f>
        <v>192</v>
      </c>
      <c r="D20" s="812" t="s">
        <v>1758</v>
      </c>
      <c r="E20" s="784" t="s">
        <v>1746</v>
      </c>
      <c r="F20" s="809">
        <f>'数据-取费表'!B37</f>
        <v>0.02</v>
      </c>
      <c r="G20" s="1594"/>
      <c r="H20" s="1652" t="s">
        <v>1879</v>
      </c>
      <c r="I20" s="341" t="s">
        <v>1759</v>
      </c>
      <c r="J20" s="54">
        <f ca="1">ROUND(M20*M21/10000,0)</f>
        <v>19</v>
      </c>
      <c r="K20" s="814" t="s">
        <v>1760</v>
      </c>
      <c r="L20" s="784" t="s">
        <v>1761</v>
      </c>
      <c r="M20" s="640">
        <f>'数据-取费表'!B52</f>
        <v>16</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2298</v>
      </c>
      <c r="E21" s="784" t="s">
        <v>1764</v>
      </c>
      <c r="F21" s="809">
        <f>'数据-取费表'!B38</f>
        <v>0.02</v>
      </c>
      <c r="G21" s="1594"/>
      <c r="H21" s="2508"/>
      <c r="I21" s="793"/>
      <c r="J21" s="69"/>
      <c r="K21" s="816"/>
      <c r="L21" s="784" t="s">
        <v>1765</v>
      </c>
      <c r="M21" s="785">
        <f ca="1">INDIRECT("'数据-取费表'!r"&amp;$G$1)</f>
        <v>12087</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74" t="str">
        <f>IF(F23&lt;=1,"单利计息。","复利计息。")&amp;"建造成本、管理费用、销售费用产生的利息。"</f>
        <v>复利计息。建造成本、管理费用、销售费用产生的利息。</v>
      </c>
      <c r="E22" s="1984"/>
      <c r="F22" s="56"/>
      <c r="G22" s="1593"/>
      <c r="H22" s="1650" t="s">
        <v>1888</v>
      </c>
      <c r="I22" s="784" t="s">
        <v>1767</v>
      </c>
      <c r="J22" s="53">
        <f ca="1">ROUND(J14*M22,0)</f>
        <v>191</v>
      </c>
      <c r="K22" s="2486" t="s">
        <v>1768</v>
      </c>
      <c r="L22" s="784" t="s">
        <v>1746</v>
      </c>
      <c r="M22" s="817">
        <f ca="1">INDIRECT("'数据-取费表'!Ak"&amp;$G$1)</f>
        <v>1.4999999999999999E-2</v>
      </c>
    </row>
    <row r="23" spans="1:33" s="2066" customFormat="1" ht="18" customHeight="1">
      <c r="A23" s="1649" t="s">
        <v>1830</v>
      </c>
      <c r="B23" s="784" t="s">
        <v>2533</v>
      </c>
      <c r="C23" s="53">
        <f ca="1">ROUND(IF('数据-取费表'!B22&lt;=1,(C19+C20)*F24*F23/2,(C19+C20)*(POWER((1+F24),F23/2)-1)),0)</f>
        <v>466</v>
      </c>
      <c r="D23" s="2573" t="str">
        <f>IF(F23&lt;=1,"(建造成本+管理费用)×利率×(建设周期÷2)","(建造成本+管理费用)×((1+利率)^(建设周期÷2)-1)")</f>
        <v>(建造成本+管理费用)×((1+利率)^(建设周期÷2)-1)</v>
      </c>
      <c r="E23" s="784" t="s">
        <v>1769</v>
      </c>
      <c r="F23" s="640">
        <f>'数据-取费表'!B20</f>
        <v>2</v>
      </c>
      <c r="G23" s="1594"/>
      <c r="H23" s="1650" t="s">
        <v>1889</v>
      </c>
      <c r="I23" s="784" t="s">
        <v>678</v>
      </c>
      <c r="J23" s="53">
        <f ca="1">ROUND(J13*M23,0)</f>
        <v>0</v>
      </c>
      <c r="K23" s="2486" t="s">
        <v>1770</v>
      </c>
      <c r="L23" s="784" t="s">
        <v>1746</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1E-3</v>
      </c>
      <c r="D24" s="2573" t="str">
        <f>IF(F23&lt;=1,"销售费用×利率×(建设周期÷2)","销售费用×((1+利率)^(建设周期÷2)-1)")</f>
        <v>销售费用×((1+利率)^(建设周期÷2)-1)</v>
      </c>
      <c r="E24" s="784" t="s">
        <v>1772</v>
      </c>
      <c r="F24" s="819">
        <f ca="1">'数据-取费表'!B40</f>
        <v>4.7500000000000001E-2</v>
      </c>
      <c r="G24" s="1594"/>
      <c r="H24" s="2553" t="s">
        <v>1890</v>
      </c>
      <c r="I24" s="2548" t="s">
        <v>665</v>
      </c>
      <c r="J24" s="2546">
        <f ca="1">ROUND(J5*M24,0)</f>
        <v>0</v>
      </c>
      <c r="K24" s="2547" t="s">
        <v>1773</v>
      </c>
      <c r="L24" s="2548" t="s">
        <v>1746</v>
      </c>
      <c r="M24" s="2544">
        <f ca="1">INDIRECT("'数据-取费表'!Am"&amp;$G$1)</f>
        <v>0.01</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683</v>
      </c>
      <c r="C25" s="53"/>
      <c r="D25" s="261" t="s">
        <v>1774</v>
      </c>
      <c r="E25" s="1984"/>
      <c r="F25" s="56"/>
      <c r="G25" s="1593"/>
      <c r="H25" s="1831" t="s">
        <v>1775</v>
      </c>
      <c r="I25" s="3012" t="s">
        <v>2820</v>
      </c>
      <c r="J25" s="792">
        <f ca="1">J5-J16</f>
        <v>-1279</v>
      </c>
      <c r="K25" s="2550" t="s">
        <v>1776</v>
      </c>
      <c r="L25" s="2551"/>
      <c r="M25" s="2552"/>
    </row>
    <row r="26" spans="1:33" ht="18" customHeight="1">
      <c r="A26" s="1649" t="s">
        <v>1830</v>
      </c>
      <c r="B26" s="784" t="s">
        <v>2438</v>
      </c>
      <c r="C26" s="53">
        <f ca="1">ROUND((C19+C20)*F26,0)</f>
        <v>1471</v>
      </c>
      <c r="D26" s="812" t="s">
        <v>1777</v>
      </c>
      <c r="E26" s="795" t="s">
        <v>1778</v>
      </c>
      <c r="F26" s="794">
        <f ca="1">INDIRECT("'数据-取费表'!q"&amp;$G$1)</f>
        <v>0.15</v>
      </c>
      <c r="G26" s="1593"/>
      <c r="H26" s="2504" t="s">
        <v>1779</v>
      </c>
      <c r="I26" s="2234" t="s">
        <v>2825</v>
      </c>
      <c r="J26" s="783">
        <f ca="1">IF(J5&lt;&gt;0,ROUND(J25*(1-((1+M28)/(1+M26))^M27)/(M26-M28),0),0)</f>
        <v>0</v>
      </c>
      <c r="K26" s="814" t="s">
        <v>1780</v>
      </c>
      <c r="L26" s="784" t="s">
        <v>2419</v>
      </c>
      <c r="M26" s="794">
        <f ca="1">INDIRECT("'数据-取费表'!I"&amp;$G$1)</f>
        <v>5.5E-2</v>
      </c>
    </row>
    <row r="27" spans="1:33" ht="18" customHeight="1">
      <c r="A27" s="1649" t="s">
        <v>1831</v>
      </c>
      <c r="B27" s="784" t="s">
        <v>685</v>
      </c>
      <c r="C27" s="53">
        <f ca="1">ROUND(F21*F26,4)</f>
        <v>3.0000000000000001E-3</v>
      </c>
      <c r="D27" s="812" t="s">
        <v>1781</v>
      </c>
      <c r="E27" s="806"/>
      <c r="F27" s="807"/>
      <c r="G27" s="1593"/>
      <c r="H27" s="2505"/>
      <c r="I27" s="787"/>
      <c r="J27" s="788"/>
      <c r="K27" s="821" t="s">
        <v>1782</v>
      </c>
      <c r="L27" s="784" t="s">
        <v>1783</v>
      </c>
      <c r="M27" s="822">
        <f ca="1">INDIRECT("'数据-取费表'!ag"&amp;$G$1)</f>
        <v>0</v>
      </c>
    </row>
    <row r="28" spans="1:33" s="2066" customFormat="1" ht="18" customHeight="1">
      <c r="A28" s="1651" t="s">
        <v>1840</v>
      </c>
      <c r="B28" s="784" t="s">
        <v>686</v>
      </c>
      <c r="C28" s="53">
        <f>ROUND(F28/(1+'数据-取费表'!C42),4)</f>
        <v>5.33E-2</v>
      </c>
      <c r="D28" s="812" t="s">
        <v>2299</v>
      </c>
      <c r="E28" s="784" t="s">
        <v>1784</v>
      </c>
      <c r="F28" s="809">
        <f>'数据-取费表'!B41</f>
        <v>5.6000000000000001E-2</v>
      </c>
      <c r="G28" s="1594"/>
      <c r="H28" s="1831"/>
      <c r="I28" s="791"/>
      <c r="J28" s="792"/>
      <c r="K28" s="816"/>
      <c r="L28" s="784" t="s">
        <v>1785</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1891</v>
      </c>
      <c r="B29" s="2543" t="s">
        <v>2300</v>
      </c>
      <c r="C29" s="2546">
        <f ca="1">ROUND((C19+C20+C23+C26)/(1-F21-C24-C27-C28),0)</f>
        <v>12728</v>
      </c>
      <c r="D29" s="2547"/>
      <c r="E29" s="2548"/>
      <c r="F29" s="2549"/>
      <c r="G29" s="1594"/>
      <c r="H29" s="823" t="s">
        <v>1786</v>
      </c>
      <c r="I29" s="824" t="s">
        <v>1787</v>
      </c>
      <c r="J29" s="825">
        <f ca="1">ROUND(J26/(1+F40)^F41,0)</f>
        <v>0</v>
      </c>
      <c r="K29" s="826" t="s">
        <v>1788</v>
      </c>
      <c r="L29" s="827"/>
      <c r="M29" s="828">
        <f ca="1">INDIRECT("'数据-取费表'!k"&amp;$G$1)</f>
        <v>30217.5</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1892</v>
      </c>
      <c r="B30" s="1829" t="s">
        <v>1789</v>
      </c>
      <c r="C30" s="792">
        <f ca="1">ROUND(C31+C36+C37+C38,0)</f>
        <v>488</v>
      </c>
      <c r="D30" s="1823" t="s">
        <v>1790</v>
      </c>
      <c r="E30" s="2488"/>
      <c r="F30" s="2493"/>
      <c r="G30" s="2064"/>
      <c r="H30" s="2067"/>
      <c r="I30" s="2068"/>
      <c r="J30" s="2069"/>
      <c r="K30" s="2070"/>
      <c r="L30" s="2071"/>
      <c r="M30" s="2072"/>
    </row>
    <row r="31" spans="1:33" ht="18" customHeight="1">
      <c r="A31" s="1650" t="s">
        <v>1829</v>
      </c>
      <c r="B31" s="784" t="s">
        <v>655</v>
      </c>
      <c r="C31" s="53">
        <f ca="1">ROUND(IF(项目基本情况!B11="自然人",C5*F31,C32+C33+C34),1)</f>
        <v>263.39999999999998</v>
      </c>
      <c r="D31" s="1981" t="s">
        <v>1791</v>
      </c>
      <c r="E31" s="1979"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1793</v>
      </c>
      <c r="C32" s="53">
        <f ca="1">ROUND(C5*F32/1.05,1)</f>
        <v>75.099999999999994</v>
      </c>
      <c r="D32" s="1979" t="s">
        <v>1794</v>
      </c>
      <c r="E32" s="784" t="s">
        <v>1795</v>
      </c>
      <c r="F32" s="809">
        <f>'数据-取费表'!B41</f>
        <v>5.6000000000000001E-2</v>
      </c>
      <c r="G32" s="2064"/>
      <c r="H32" s="2073"/>
      <c r="I32" s="2074"/>
      <c r="J32" s="2075"/>
      <c r="K32" s="2076"/>
      <c r="L32" s="2077"/>
      <c r="M32" s="2078"/>
    </row>
    <row r="33" spans="1:18" ht="18" customHeight="1">
      <c r="A33" s="1649" t="s">
        <v>1831</v>
      </c>
      <c r="B33" s="784" t="s">
        <v>1796</v>
      </c>
      <c r="C33" s="53">
        <f ca="1">IF(D33="按租金收入计税",ROUND(C5*F33,1),IF(D33="按房产原值计税",ROUND(C29*F33*0.7,1),INDIRECT("'数据-取费表'!Aj"&amp;$G$1)))</f>
        <v>169</v>
      </c>
      <c r="D33" s="811" t="s">
        <v>3036</v>
      </c>
      <c r="E33" s="784" t="s">
        <v>1795</v>
      </c>
      <c r="F33" s="809">
        <f>IF(D33="按租金收入计税",'数据-取费表'!B51,'数据-取费表'!B50)</f>
        <v>0.12</v>
      </c>
      <c r="G33" s="2064"/>
      <c r="H33" s="2079"/>
      <c r="I33" s="2079"/>
      <c r="J33" s="2079"/>
      <c r="K33" s="2080"/>
      <c r="L33" s="2079"/>
      <c r="M33" s="2079"/>
    </row>
    <row r="34" spans="1:18" ht="18" customHeight="1">
      <c r="A34" s="1652" t="s">
        <v>1832</v>
      </c>
      <c r="B34" s="341" t="s">
        <v>1797</v>
      </c>
      <c r="C34" s="54">
        <f ca="1">ROUND(F34*F35/10000,1)</f>
        <v>19.3</v>
      </c>
      <c r="D34" s="814" t="s">
        <v>1798</v>
      </c>
      <c r="E34" s="784" t="s">
        <v>1799</v>
      </c>
      <c r="F34" s="640">
        <f>'数据-取费表'!B52</f>
        <v>16</v>
      </c>
      <c r="G34" s="2064"/>
      <c r="H34" s="2067"/>
      <c r="I34" s="835" t="s">
        <v>1812</v>
      </c>
      <c r="J34" s="836"/>
      <c r="K34" s="2082"/>
      <c r="L34" s="2081"/>
      <c r="M34" s="2081"/>
    </row>
    <row r="35" spans="1:18" ht="18" customHeight="1">
      <c r="A35" s="815"/>
      <c r="B35" s="793"/>
      <c r="C35" s="69"/>
      <c r="D35" s="816"/>
      <c r="E35" s="784" t="s">
        <v>1800</v>
      </c>
      <c r="F35" s="785">
        <f ca="1">INDIRECT("'数据-取费表'!r"&amp;$G$1)</f>
        <v>12087</v>
      </c>
      <c r="G35" s="2064"/>
      <c r="H35" s="2067"/>
      <c r="I35" s="837" t="s">
        <v>1813</v>
      </c>
      <c r="J35" s="838">
        <f ca="1">ROUND(C13*J36,0)</f>
        <v>1082</v>
      </c>
      <c r="K35" s="2080"/>
      <c r="L35" s="2079"/>
      <c r="M35" s="2079"/>
    </row>
    <row r="36" spans="1:18" ht="18" customHeight="1">
      <c r="A36" s="1650" t="s">
        <v>1888</v>
      </c>
      <c r="B36" s="784" t="s">
        <v>1801</v>
      </c>
      <c r="C36" s="53">
        <f ca="1">ROUND(C29*F36,1)</f>
        <v>190.9</v>
      </c>
      <c r="D36" s="1979" t="s">
        <v>1802</v>
      </c>
      <c r="E36" s="784" t="s">
        <v>1795</v>
      </c>
      <c r="F36" s="817">
        <f ca="1">INDIRECT("'数据-取费表'!Ak"&amp;$G$1)</f>
        <v>1.4999999999999999E-2</v>
      </c>
      <c r="G36" s="2064"/>
      <c r="H36" s="2079"/>
      <c r="I36" s="839" t="s">
        <v>1814</v>
      </c>
      <c r="J36" s="840">
        <f ca="1">INDIRECT("'数据-取费表'!j"&amp;$G$1)</f>
        <v>8.5000000000000006E-2</v>
      </c>
      <c r="K36" s="2084"/>
      <c r="L36" s="2079"/>
      <c r="M36" s="2079"/>
    </row>
    <row r="37" spans="1:18" ht="18" customHeight="1">
      <c r="A37" s="1650" t="s">
        <v>1889</v>
      </c>
      <c r="B37" s="784" t="s">
        <v>678</v>
      </c>
      <c r="C37" s="53">
        <f ca="1">ROUND(C13*F37,1)</f>
        <v>19.100000000000001</v>
      </c>
      <c r="D37" s="1979" t="s">
        <v>1803</v>
      </c>
      <c r="E37" s="784" t="s">
        <v>1795</v>
      </c>
      <c r="F37" s="818">
        <f ca="1">INDIRECT("'数据-取费表'!Al"&amp;$G$1)</f>
        <v>1.5E-3</v>
      </c>
      <c r="G37" s="2064"/>
      <c r="H37" s="2079"/>
      <c r="I37" s="841" t="s">
        <v>1815</v>
      </c>
      <c r="J37" s="842"/>
      <c r="K37" s="2084"/>
      <c r="L37" s="2079"/>
      <c r="M37" s="2079"/>
    </row>
    <row r="38" spans="1:18" ht="18" customHeight="1" thickBot="1">
      <c r="A38" s="2553" t="s">
        <v>1890</v>
      </c>
      <c r="B38" s="2548" t="s">
        <v>665</v>
      </c>
      <c r="C38" s="2546">
        <f ca="1">ROUND(C5*F38,1)</f>
        <v>14.1</v>
      </c>
      <c r="D38" s="2547" t="s">
        <v>1804</v>
      </c>
      <c r="E38" s="2548" t="s">
        <v>1795</v>
      </c>
      <c r="F38" s="2544">
        <f ca="1">INDIRECT("'数据-取费表'!Am"&amp;$G$1)</f>
        <v>0.01</v>
      </c>
      <c r="G38" s="2064"/>
      <c r="H38" s="2079"/>
      <c r="I38" s="843" t="s">
        <v>1816</v>
      </c>
      <c r="J38" s="844"/>
      <c r="K38" s="2085"/>
      <c r="L38" s="2079"/>
      <c r="M38" s="2079"/>
    </row>
    <row r="39" spans="1:18" ht="24.6" customHeight="1" thickTop="1">
      <c r="A39" s="1831" t="s">
        <v>1893</v>
      </c>
      <c r="B39" s="3012" t="s">
        <v>2820</v>
      </c>
      <c r="C39" s="792">
        <f ca="1">C5-C30</f>
        <v>920</v>
      </c>
      <c r="D39" s="2550" t="s">
        <v>1805</v>
      </c>
      <c r="E39" s="2551"/>
      <c r="F39" s="2552"/>
      <c r="G39" s="2064"/>
      <c r="H39" s="2079"/>
      <c r="I39" s="837" t="s">
        <v>1817</v>
      </c>
      <c r="J39" s="845">
        <f ca="1">ROUND(J35/C39,3)</f>
        <v>1.1759999999999999</v>
      </c>
      <c r="K39" s="2085"/>
      <c r="L39" s="2079"/>
      <c r="M39" s="2079"/>
    </row>
    <row r="40" spans="1:18" ht="18" customHeight="1">
      <c r="A40" s="781" t="s">
        <v>1894</v>
      </c>
      <c r="B40" s="2234" t="s">
        <v>2301</v>
      </c>
      <c r="C40" s="783">
        <f ca="1">ROUND(C39*(1-((1+F42)/(1+F40))^F41)/(F40-F42),0)</f>
        <v>21490</v>
      </c>
      <c r="D40" s="814" t="s">
        <v>1806</v>
      </c>
      <c r="E40" s="784" t="s">
        <v>2419</v>
      </c>
      <c r="F40" s="794">
        <f ca="1">INDIRECT("'数据-取费表'!I"&amp;$G$1)</f>
        <v>5.5E-2</v>
      </c>
      <c r="G40" s="2064"/>
      <c r="H40" s="2064"/>
      <c r="I40" s="837" t="s">
        <v>1818</v>
      </c>
      <c r="J40" s="845">
        <f ca="1">1-J39</f>
        <v>-0.17599999999999993</v>
      </c>
      <c r="K40" s="2085"/>
      <c r="L40" s="2064"/>
      <c r="M40" s="2064"/>
    </row>
    <row r="41" spans="1:18" ht="18" customHeight="1">
      <c r="A41" s="786"/>
      <c r="B41" s="787"/>
      <c r="C41" s="788"/>
      <c r="D41" s="821" t="s">
        <v>1807</v>
      </c>
      <c r="E41" s="784" t="s">
        <v>2961</v>
      </c>
      <c r="F41" s="822">
        <f ca="1">IF(INDIRECT("'数据-取费表'!af"&amp;$G$1)=0,INDIRECT("'数据-取费表'!ae"&amp;$G$1),INDIRECT("'数据-取费表'!af"&amp;$G$1))</f>
        <v>36.57</v>
      </c>
      <c r="G41" s="2064"/>
      <c r="H41" s="1990"/>
      <c r="I41" s="843" t="s">
        <v>1819</v>
      </c>
      <c r="J41" s="846"/>
      <c r="K41" s="2084"/>
      <c r="L41" s="1990"/>
      <c r="M41" s="1990"/>
    </row>
    <row r="42" spans="1:18" ht="18" customHeight="1">
      <c r="A42" s="790"/>
      <c r="B42" s="791"/>
      <c r="C42" s="792"/>
      <c r="D42" s="816"/>
      <c r="E42" s="784" t="s">
        <v>1808</v>
      </c>
      <c r="F42" s="794">
        <f ca="1">INDIRECT("'数据-取费表'!v"&amp;$G$1)</f>
        <v>0.03</v>
      </c>
      <c r="G42" s="2064"/>
      <c r="H42" s="1990"/>
      <c r="I42" s="847" t="s">
        <v>1820</v>
      </c>
      <c r="J42" s="845">
        <f ca="1">ROUND(C13/C40,3)</f>
        <v>0.59199999999999997</v>
      </c>
      <c r="K42" s="2084"/>
      <c r="L42" s="1990"/>
      <c r="M42" s="1990"/>
    </row>
    <row r="43" spans="1:18" ht="18" customHeight="1" thickBot="1">
      <c r="A43" s="823" t="s">
        <v>1786</v>
      </c>
      <c r="B43" s="824" t="s">
        <v>1809</v>
      </c>
      <c r="C43" s="825">
        <f ca="1">ROUND(C40*10000/F43,0)</f>
        <v>7112</v>
      </c>
      <c r="D43" s="826" t="s">
        <v>1810</v>
      </c>
      <c r="E43" s="827" t="s">
        <v>1811</v>
      </c>
      <c r="F43" s="828">
        <f ca="1">INDIRECT("'数据-取费表'!k"&amp;$G$1)</f>
        <v>30217.5</v>
      </c>
      <c r="G43" s="2064"/>
      <c r="H43" s="1990"/>
      <c r="I43" s="847" t="s">
        <v>1821</v>
      </c>
      <c r="J43" s="848">
        <f ca="1">1-J42</f>
        <v>0.40800000000000003</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576">
        <f ca="1">C67-C40</f>
        <v>-25066</v>
      </c>
      <c r="D46" s="2087"/>
      <c r="E46" s="2087"/>
      <c r="F46" s="2087"/>
      <c r="I46" s="2380" t="s">
        <v>2343</v>
      </c>
      <c r="J46" s="2381"/>
      <c r="K46" s="2382"/>
      <c r="L46" s="3161">
        <f>IF(OR(M47="住宅",D1="土地（套用方法）"),0,IF(L48&gt;J51,L60,J60))</f>
        <v>0</v>
      </c>
      <c r="O46" s="2396" t="s">
        <v>2410</v>
      </c>
      <c r="P46" s="1593"/>
      <c r="Q46" s="1605"/>
      <c r="R46" s="1593"/>
    </row>
    <row r="47" spans="1:18" s="2061" customFormat="1" ht="18" customHeight="1" thickBot="1">
      <c r="A47" s="2374">
        <v>1</v>
      </c>
      <c r="B47" s="2375" t="s">
        <v>634</v>
      </c>
      <c r="C47" s="2576">
        <f ca="1">C48+C52+C54</f>
        <v>0</v>
      </c>
      <c r="D47" s="2087"/>
      <c r="E47" s="2087"/>
      <c r="F47" s="2087"/>
      <c r="I47" s="3151" t="s">
        <v>2344</v>
      </c>
      <c r="J47" s="2383" t="s">
        <v>3037</v>
      </c>
      <c r="K47" s="3158" t="s">
        <v>2349</v>
      </c>
      <c r="L47" s="3162">
        <f ca="1">INDIRECT("'数据-取费表'!d"&amp;$G$1)</f>
        <v>40</v>
      </c>
      <c r="M47" s="1605" t="str">
        <f>IF(ISNUMBER(FIND("住宅",C1)),"住宅","非住宅")</f>
        <v>非住宅</v>
      </c>
      <c r="O47" s="2397" t="s">
        <v>2375</v>
      </c>
      <c r="P47" s="2398" t="s">
        <v>2376</v>
      </c>
      <c r="Q47" s="2399" t="s">
        <v>2377</v>
      </c>
      <c r="R47" s="2398" t="s">
        <v>2378</v>
      </c>
    </row>
    <row r="48" spans="1:18" s="2061" customFormat="1" ht="18" customHeight="1" thickBot="1">
      <c r="A48" s="2644" t="s">
        <v>2535</v>
      </c>
      <c r="B48" s="2645" t="s">
        <v>2536</v>
      </c>
      <c r="C48" s="2376">
        <f ca="1">ROUND(F48*F50*F49*(1-F51)/10000,0)</f>
        <v>0</v>
      </c>
      <c r="D48" s="2377" t="s">
        <v>635</v>
      </c>
      <c r="E48" s="2378" t="s">
        <v>2296</v>
      </c>
      <c r="F48" s="2379"/>
      <c r="G48" s="2092"/>
      <c r="I48" s="3127" t="s">
        <v>2345</v>
      </c>
      <c r="J48" s="2384" t="s">
        <v>2350</v>
      </c>
      <c r="K48" s="3159" t="s">
        <v>2351</v>
      </c>
      <c r="L48" s="1910">
        <f ca="1">INDIRECT("'数据-取费表'!f"&amp;$G$1)</f>
        <v>38.57</v>
      </c>
      <c r="O48" s="2400" t="s">
        <v>2379</v>
      </c>
      <c r="P48" s="2401" t="s">
        <v>2405</v>
      </c>
      <c r="Q48" s="2402">
        <f ca="1">C40+J29</f>
        <v>21490</v>
      </c>
      <c r="R48" s="2401" t="s">
        <v>2380</v>
      </c>
    </row>
    <row r="49" spans="1:18" s="2061" customFormat="1" ht="18" customHeight="1" thickBot="1">
      <c r="A49" s="786"/>
      <c r="B49" s="787"/>
      <c r="C49" s="788"/>
      <c r="D49" s="789"/>
      <c r="E49" s="784" t="s">
        <v>1738</v>
      </c>
      <c r="F49" s="785">
        <f ca="1">F7</f>
        <v>30217.5</v>
      </c>
      <c r="G49" s="2092"/>
      <c r="H49" s="2095"/>
      <c r="I49" s="3127" t="s">
        <v>2346</v>
      </c>
      <c r="J49" s="2385">
        <v>2021</v>
      </c>
      <c r="K49" s="3160" t="s">
        <v>2352</v>
      </c>
      <c r="L49" s="2386"/>
      <c r="O49" s="2400" t="s">
        <v>2381</v>
      </c>
      <c r="P49" s="2401" t="s">
        <v>2406</v>
      </c>
      <c r="Q49" s="2402" t="str">
        <f ca="1">J60</f>
        <v>0</v>
      </c>
      <c r="R49" s="2401" t="s">
        <v>2382</v>
      </c>
    </row>
    <row r="50" spans="1:18" s="2061" customFormat="1" ht="18" customHeight="1" thickBot="1">
      <c r="A50" s="786"/>
      <c r="B50" s="787"/>
      <c r="C50" s="788"/>
      <c r="D50" s="789"/>
      <c r="E50" s="784" t="s">
        <v>1739</v>
      </c>
      <c r="F50" s="785">
        <f ca="1">F8</f>
        <v>365</v>
      </c>
      <c r="G50" s="2097"/>
      <c r="H50" s="2095"/>
      <c r="I50" s="3127" t="s">
        <v>2347</v>
      </c>
      <c r="J50" s="3155">
        <f>SUMPRODUCT((I63:I65=J47)*(J62:L62=J48)*(J63:L65))</f>
        <v>60</v>
      </c>
      <c r="K50" s="3160" t="s">
        <v>2353</v>
      </c>
      <c r="L50" s="2386"/>
      <c r="O50" s="2403" t="s">
        <v>2383</v>
      </c>
      <c r="P50" s="2401" t="s">
        <v>2407</v>
      </c>
      <c r="Q50" s="2402">
        <f ca="1">C29</f>
        <v>12728</v>
      </c>
      <c r="R50" s="2401" t="s">
        <v>2380</v>
      </c>
    </row>
    <row r="51" spans="1:18" s="2061" customFormat="1" ht="18" customHeight="1" thickBot="1">
      <c r="A51" s="786"/>
      <c r="B51" s="787"/>
      <c r="C51" s="788"/>
      <c r="D51" s="789"/>
      <c r="E51" s="784" t="s">
        <v>639</v>
      </c>
      <c r="F51" s="2373"/>
      <c r="H51" s="2095"/>
      <c r="I51" s="3152" t="s">
        <v>2348</v>
      </c>
      <c r="J51" s="3156">
        <f>IF(J49="",J50,J49+J50-YEAR('数据-取费表'!B2))</f>
        <v>63</v>
      </c>
      <c r="K51" s="3127" t="s">
        <v>2354</v>
      </c>
      <c r="L51" s="3163">
        <f ca="1">ROUND(-PV(INDIRECT("'数据-取费表'!h"&amp;$G$1),L48,(C39-C13*J36),0),0)</f>
        <v>-2744</v>
      </c>
      <c r="O51" s="2403" t="s">
        <v>2384</v>
      </c>
      <c r="P51" s="2401" t="s">
        <v>2385</v>
      </c>
      <c r="Q51" s="2404" t="e">
        <f ca="1">J58</f>
        <v>#VALUE!</v>
      </c>
      <c r="R51" s="2405"/>
    </row>
    <row r="52" spans="1:18" s="2061" customFormat="1" ht="18" customHeight="1" thickBot="1">
      <c r="A52" s="781" t="s">
        <v>2534</v>
      </c>
      <c r="B52" s="2496" t="s">
        <v>2457</v>
      </c>
      <c r="C52" s="799">
        <f ca="1">ROUND(IF(F52="押一",C48/12*F11,IF(F52="押二",C48/12*2*F11,IF(F52="押三",C48/12*3*F11,C53*F11))),0)</f>
        <v>0</v>
      </c>
      <c r="D52" s="2503" t="s">
        <v>2972</v>
      </c>
      <c r="E52" s="2500" t="s">
        <v>2462</v>
      </c>
      <c r="F52" s="2623"/>
      <c r="I52" s="3153" t="s">
        <v>2421</v>
      </c>
      <c r="J52" s="2387">
        <v>0.09</v>
      </c>
      <c r="K52" s="3153" t="s">
        <v>2420</v>
      </c>
      <c r="L52" s="2387"/>
      <c r="O52" s="2403" t="s">
        <v>2386</v>
      </c>
      <c r="P52" s="2401" t="s">
        <v>2387</v>
      </c>
      <c r="Q52" s="2404">
        <f>J52</f>
        <v>0.09</v>
      </c>
      <c r="R52" s="2405"/>
    </row>
    <row r="53" spans="1:18" s="2061" customFormat="1" ht="39.75" customHeight="1" thickBot="1">
      <c r="A53" s="786"/>
      <c r="B53" s="2497" t="s">
        <v>2571</v>
      </c>
      <c r="C53" s="2501"/>
      <c r="D53" s="2503"/>
      <c r="E53" s="2500"/>
      <c r="F53" s="800"/>
      <c r="I53" s="3154" t="s">
        <v>2976</v>
      </c>
      <c r="J53" s="3157">
        <f ca="1">IF(M47="住宅",IF(D1="——",MAX(J51,L48),MAX(J51,L48-'数据-取费表'!B20)),IF(D1="——",MIN(J51,L48),MIN(J51,L48-'数据-取费表'!B20)))</f>
        <v>36.57</v>
      </c>
      <c r="K53" s="3476" t="s">
        <v>2963</v>
      </c>
      <c r="L53" s="3477"/>
      <c r="O53" s="2403" t="s">
        <v>2388</v>
      </c>
      <c r="P53" s="2401" t="s">
        <v>2389</v>
      </c>
      <c r="Q53" s="2402">
        <f ca="1">J53</f>
        <v>36.57</v>
      </c>
      <c r="R53" s="2401" t="s">
        <v>2390</v>
      </c>
    </row>
    <row r="54" spans="1:18" s="2061" customFormat="1" ht="18" customHeight="1" thickBot="1">
      <c r="A54" s="2539" t="s">
        <v>2465</v>
      </c>
      <c r="B54" s="2540" t="s">
        <v>2458</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2391</v>
      </c>
      <c r="P54" s="2401" t="s">
        <v>2408</v>
      </c>
      <c r="Q54" s="2402">
        <f ca="1">Q48+Q49</f>
        <v>21490</v>
      </c>
      <c r="R54" s="2405" t="s">
        <v>2392</v>
      </c>
    </row>
    <row r="55" spans="1:18" s="2061" customFormat="1" ht="18" customHeight="1" thickTop="1" thickBot="1">
      <c r="A55" s="797">
        <v>2</v>
      </c>
      <c r="B55" s="798" t="s">
        <v>643</v>
      </c>
      <c r="C55" s="799">
        <f ca="1">C13</f>
        <v>12728</v>
      </c>
      <c r="D55" s="795"/>
      <c r="E55" s="795"/>
      <c r="F55" s="800"/>
      <c r="I55" s="3166" t="s">
        <v>2355</v>
      </c>
      <c r="J55" s="3102" t="e">
        <f ca="1">ROUND(IF(J47="钢混",J57/J50,1-(1-2%)*(J50-J57)/J50),3)</f>
        <v>#VALUE!</v>
      </c>
      <c r="K55" s="3167" t="s">
        <v>2356</v>
      </c>
      <c r="L55" s="2388"/>
      <c r="O55" s="2406" t="s">
        <v>2411</v>
      </c>
      <c r="P55" s="1593"/>
      <c r="Q55" s="1605"/>
      <c r="R55" s="1593"/>
    </row>
    <row r="56" spans="1:18" s="2061" customFormat="1" ht="42.75" customHeight="1" thickBot="1">
      <c r="A56" s="1651"/>
      <c r="B56" s="2233" t="s">
        <v>2302</v>
      </c>
      <c r="C56" s="53">
        <f ca="1">C29</f>
        <v>12728</v>
      </c>
      <c r="D56" s="2641"/>
      <c r="E56" s="784"/>
      <c r="F56" s="809"/>
      <c r="I56" s="3168" t="s">
        <v>2357</v>
      </c>
      <c r="J56" s="3178" t="s">
        <v>1678</v>
      </c>
      <c r="K56" s="3127" t="s">
        <v>2362</v>
      </c>
      <c r="L56" s="1910" t="str">
        <f ca="1">IF(L48&lt;J51,"——",L48-J51)</f>
        <v>——</v>
      </c>
      <c r="O56" s="2397" t="s">
        <v>2375</v>
      </c>
      <c r="P56" s="2398" t="s">
        <v>2376</v>
      </c>
      <c r="Q56" s="2399" t="s">
        <v>2377</v>
      </c>
      <c r="R56" s="2398" t="s">
        <v>2378</v>
      </c>
    </row>
    <row r="57" spans="1:18" s="2061" customFormat="1" ht="28.5" customHeight="1" thickBot="1">
      <c r="A57" s="797" t="s">
        <v>1747</v>
      </c>
      <c r="B57" s="798" t="s">
        <v>650</v>
      </c>
      <c r="C57" s="799">
        <f ca="1">ROUND(C58+C63+C64+C65,0)</f>
        <v>229</v>
      </c>
      <c r="D57" s="26" t="s">
        <v>1749</v>
      </c>
      <c r="E57" s="2642"/>
      <c r="F57" s="56"/>
      <c r="I57" s="3169" t="s">
        <v>2358</v>
      </c>
      <c r="J57" s="3170" t="str">
        <f ca="1">IF(OR(M47="住宅",J51&lt;L48,J56="是"),"——",J51-L48)</f>
        <v>——</v>
      </c>
      <c r="K57" s="3127" t="s">
        <v>2363</v>
      </c>
      <c r="L57" s="1910" t="str">
        <f ca="1">IF(L48&lt;J51,"——",IF(L55="比较法",L49,IF(L55="基准地价",L50,L51)))</f>
        <v>——</v>
      </c>
      <c r="O57" s="2400" t="s">
        <v>2379</v>
      </c>
      <c r="P57" s="2401" t="s">
        <v>2409</v>
      </c>
      <c r="Q57" s="2402">
        <f ca="1">C40+J29</f>
        <v>21490</v>
      </c>
      <c r="R57" s="2401" t="s">
        <v>2380</v>
      </c>
    </row>
    <row r="58" spans="1:18" s="2061" customFormat="1" ht="28.5" customHeight="1" thickBot="1">
      <c r="A58" s="1650" t="s">
        <v>1823</v>
      </c>
      <c r="B58" s="784" t="s">
        <v>655</v>
      </c>
      <c r="C58" s="53">
        <f ca="1">ROUND(IF(项目基本情况!B11="自然人",C47*F58,C59+C60+C61),1)</f>
        <v>19.3</v>
      </c>
      <c r="D58" s="2640" t="s">
        <v>656</v>
      </c>
      <c r="E58" s="2641" t="s">
        <v>689</v>
      </c>
      <c r="F58" s="810" t="str">
        <f ca="1">IF(项目基本情况!B11="企业","",IF(INDIRECT("'数据-取费表'!c"&amp;$G$1)="住宅",5%,IF(F48*F49*F50/12/(1+'数据-取费表'!C42)&gt;20000,12%,7%)))</f>
        <v/>
      </c>
      <c r="I58" s="3169" t="s">
        <v>2359</v>
      </c>
      <c r="J58" s="3103" t="e">
        <f ca="1">IF(J55&lt;0.4,0.4,J55)</f>
        <v>#VALUE!</v>
      </c>
      <c r="K58" s="3127" t="s">
        <v>2364</v>
      </c>
      <c r="L58" s="1910" t="e">
        <f ca="1">ROUND(POWER(1+L52,L47-L48)*(POWER(1+L52,L48)-1)/(POWER(1+L52,L47)-1),4)</f>
        <v>#DIV/0!</v>
      </c>
      <c r="O58" s="2400" t="s">
        <v>2381</v>
      </c>
      <c r="P58" s="2401" t="s">
        <v>2412</v>
      </c>
      <c r="Q58" s="2402">
        <f ca="1">L60</f>
        <v>0</v>
      </c>
      <c r="R58" s="2405" t="s">
        <v>2414</v>
      </c>
    </row>
    <row r="59" spans="1:18" s="2061" customFormat="1" ht="28.5" customHeight="1" thickBot="1">
      <c r="A59" s="1649" t="s">
        <v>1830</v>
      </c>
      <c r="B59" s="784" t="s">
        <v>659</v>
      </c>
      <c r="C59" s="53">
        <f ca="1">ROUND(C47*F59/1.05,1)</f>
        <v>0</v>
      </c>
      <c r="D59" s="2641" t="s">
        <v>1755</v>
      </c>
      <c r="E59" s="784" t="s">
        <v>1746</v>
      </c>
      <c r="F59" s="809">
        <f t="shared" ref="F59:F65" si="0">F32</f>
        <v>5.6000000000000001E-2</v>
      </c>
      <c r="I59" s="3169" t="s">
        <v>2360</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2383</v>
      </c>
      <c r="P59" s="2401" t="s">
        <v>2413</v>
      </c>
      <c r="Q59" s="2402">
        <f>IF(L55="比较法",L49,IF(L55="基准地价",L50,0))</f>
        <v>0</v>
      </c>
      <c r="R59" s="2401" t="s">
        <v>2380</v>
      </c>
    </row>
    <row r="60" spans="1:18" s="2061" customFormat="1" ht="18" customHeight="1" thickBot="1">
      <c r="A60" s="1649" t="s">
        <v>1831</v>
      </c>
      <c r="B60" s="784" t="s">
        <v>1757</v>
      </c>
      <c r="C60" s="53">
        <f ca="1">IF(D60="按租金收入计税",ROUND(C47*F60,1),IF(D60="按房产原值计税",ROUND(C56*F60*0.7,1),INDIRECT("'数据-取费表'!Aj"&amp;$G$1)))</f>
        <v>0</v>
      </c>
      <c r="D60" s="2641" t="str">
        <f>D33</f>
        <v>按租金收入计税</v>
      </c>
      <c r="E60" s="784" t="s">
        <v>1746</v>
      </c>
      <c r="F60" s="809">
        <f t="shared" si="0"/>
        <v>0.12</v>
      </c>
      <c r="I60" s="3171" t="s">
        <v>2361</v>
      </c>
      <c r="J60" s="3172" t="str">
        <f ca="1">IF(OR(M47="住宅",J51&lt;L48,J56="是"),"0",ROUND(J59/(1+J52)^J53,0))</f>
        <v>0</v>
      </c>
      <c r="K60" s="3173" t="s">
        <v>2366</v>
      </c>
      <c r="L60" s="3172">
        <f ca="1">IF(OR(M47="住宅",L48&lt;J51),0,ROUND(L57*(L58/L59-1),0))</f>
        <v>0</v>
      </c>
      <c r="O60" s="2403" t="s">
        <v>2384</v>
      </c>
      <c r="P60" s="2401" t="s">
        <v>2393</v>
      </c>
      <c r="Q60" s="2404">
        <f>L52</f>
        <v>0</v>
      </c>
      <c r="R60" s="2405"/>
    </row>
    <row r="61" spans="1:18" s="2061" customFormat="1" ht="18" customHeight="1" thickBot="1">
      <c r="A61" s="1652" t="s">
        <v>1832</v>
      </c>
      <c r="B61" s="341" t="s">
        <v>667</v>
      </c>
      <c r="C61" s="54">
        <f ca="1">ROUND(F61*F62/10000,1)</f>
        <v>19.3</v>
      </c>
      <c r="D61" s="814" t="s">
        <v>668</v>
      </c>
      <c r="E61" s="784" t="s">
        <v>669</v>
      </c>
      <c r="F61" s="640">
        <f t="shared" si="0"/>
        <v>16</v>
      </c>
      <c r="K61" s="2088"/>
      <c r="O61" s="2403" t="s">
        <v>2386</v>
      </c>
      <c r="P61" s="2401" t="s">
        <v>2394</v>
      </c>
      <c r="Q61" s="2402" t="e">
        <f ca="1">L58</f>
        <v>#DIV/0!</v>
      </c>
      <c r="R61" s="2405" t="s">
        <v>2395</v>
      </c>
    </row>
    <row r="62" spans="1:18" s="2061" customFormat="1" ht="15.75" thickBot="1">
      <c r="A62" s="815"/>
      <c r="B62" s="793"/>
      <c r="C62" s="69"/>
      <c r="D62" s="816"/>
      <c r="E62" s="784" t="s">
        <v>673</v>
      </c>
      <c r="F62" s="785">
        <f t="shared" ca="1" si="0"/>
        <v>12087</v>
      </c>
      <c r="I62" s="3174" t="s">
        <v>2367</v>
      </c>
      <c r="J62" s="3175" t="s">
        <v>2368</v>
      </c>
      <c r="K62" s="3175" t="s">
        <v>2369</v>
      </c>
      <c r="L62" s="3175" t="s">
        <v>2350</v>
      </c>
      <c r="M62" s="3176" t="s">
        <v>2940</v>
      </c>
      <c r="O62" s="2403" t="s">
        <v>2388</v>
      </c>
      <c r="P62" s="2401" t="str">
        <f>K59</f>
        <v>建设期及建筑物耐用年限下的土地年期修正系数Kn</v>
      </c>
      <c r="Q62" s="2402" t="e">
        <f ca="1">L59</f>
        <v>#DIV/0!</v>
      </c>
      <c r="R62" s="2405" t="s">
        <v>2397</v>
      </c>
    </row>
    <row r="63" spans="1:18" s="2061" customFormat="1" ht="15.75" thickBot="1">
      <c r="A63" s="1650" t="s">
        <v>1888</v>
      </c>
      <c r="B63" s="784" t="s">
        <v>675</v>
      </c>
      <c r="C63" s="53">
        <f ca="1">ROUND(C56*F63,1)</f>
        <v>190.9</v>
      </c>
      <c r="D63" s="2641" t="s">
        <v>1802</v>
      </c>
      <c r="E63" s="784" t="s">
        <v>1746</v>
      </c>
      <c r="F63" s="817">
        <f t="shared" ca="1" si="0"/>
        <v>1.4999999999999999E-2</v>
      </c>
      <c r="I63" s="3174" t="s">
        <v>2370</v>
      </c>
      <c r="J63" s="3175">
        <v>70</v>
      </c>
      <c r="K63" s="3175">
        <v>50</v>
      </c>
      <c r="L63" s="3175">
        <v>80</v>
      </c>
      <c r="M63" s="3177">
        <v>0.02</v>
      </c>
      <c r="O63" s="2400" t="s">
        <v>2391</v>
      </c>
      <c r="P63" s="2401" t="s">
        <v>2408</v>
      </c>
      <c r="Q63" s="2402">
        <f ca="1">Q57+Q58</f>
        <v>21490</v>
      </c>
      <c r="R63" s="2405" t="s">
        <v>2392</v>
      </c>
    </row>
    <row r="64" spans="1:18" s="2061" customFormat="1" ht="16.5" thickBot="1">
      <c r="A64" s="1650" t="s">
        <v>1889</v>
      </c>
      <c r="B64" s="784" t="s">
        <v>678</v>
      </c>
      <c r="C64" s="53">
        <f ca="1">ROUND(C55*F64,1)</f>
        <v>19.100000000000001</v>
      </c>
      <c r="D64" s="2641" t="s">
        <v>679</v>
      </c>
      <c r="E64" s="784" t="s">
        <v>1746</v>
      </c>
      <c r="F64" s="818">
        <f t="shared" ca="1" si="0"/>
        <v>1.5E-3</v>
      </c>
      <c r="I64" s="3174" t="s">
        <v>2371</v>
      </c>
      <c r="J64" s="3175">
        <v>50</v>
      </c>
      <c r="K64" s="3175">
        <v>35</v>
      </c>
      <c r="L64" s="3175">
        <v>60</v>
      </c>
      <c r="M64" s="846">
        <v>0</v>
      </c>
      <c r="O64" s="2406" t="s">
        <v>2415</v>
      </c>
      <c r="P64" s="1593"/>
      <c r="Q64" s="1605"/>
      <c r="R64" s="1593"/>
    </row>
    <row r="65" spans="1:18" s="2061" customFormat="1" ht="15.75" thickBot="1">
      <c r="A65" s="1650" t="s">
        <v>1890</v>
      </c>
      <c r="B65" s="784" t="s">
        <v>665</v>
      </c>
      <c r="C65" s="53">
        <f ca="1">ROUND(C47*F65,1)</f>
        <v>0</v>
      </c>
      <c r="D65" s="2641" t="s">
        <v>682</v>
      </c>
      <c r="E65" s="784" t="s">
        <v>1746</v>
      </c>
      <c r="F65" s="794">
        <f t="shared" ca="1" si="0"/>
        <v>0.01</v>
      </c>
      <c r="I65" s="3174" t="s">
        <v>2372</v>
      </c>
      <c r="J65" s="3175">
        <v>40</v>
      </c>
      <c r="K65" s="3175">
        <v>30</v>
      </c>
      <c r="L65" s="3175">
        <v>50</v>
      </c>
      <c r="M65" s="3177">
        <v>0.02</v>
      </c>
      <c r="O65" s="2397" t="s">
        <v>2375</v>
      </c>
      <c r="P65" s="2398" t="s">
        <v>2376</v>
      </c>
      <c r="Q65" s="2399" t="s">
        <v>2377</v>
      </c>
      <c r="R65" s="2398" t="s">
        <v>2378</v>
      </c>
    </row>
    <row r="66" spans="1:18" s="2061" customFormat="1" ht="24.75" thickBot="1">
      <c r="A66" s="797" t="s">
        <v>1775</v>
      </c>
      <c r="B66" s="3013" t="s">
        <v>2820</v>
      </c>
      <c r="C66" s="799">
        <f ca="1">C47-C57</f>
        <v>-229</v>
      </c>
      <c r="D66" s="2640" t="s">
        <v>699</v>
      </c>
      <c r="E66" s="2639"/>
      <c r="F66" s="820"/>
      <c r="K66" s="2088"/>
      <c r="O66" s="2400" t="s">
        <v>2379</v>
      </c>
      <c r="P66" s="2401" t="s">
        <v>2409</v>
      </c>
      <c r="Q66" s="2402">
        <f ca="1">C40+J29</f>
        <v>21490</v>
      </c>
      <c r="R66" s="2401" t="s">
        <v>2380</v>
      </c>
    </row>
    <row r="67" spans="1:18" s="2061" customFormat="1" ht="20.25" thickBot="1">
      <c r="A67" s="781" t="s">
        <v>1779</v>
      </c>
      <c r="B67" s="2234" t="s">
        <v>2301</v>
      </c>
      <c r="C67" s="783">
        <f ca="1">ROUND(C66*(1-((1+F69)/(1+F67))^F68)/(F67-F69),0)</f>
        <v>-3576</v>
      </c>
      <c r="D67" s="814" t="s">
        <v>703</v>
      </c>
      <c r="E67" s="784" t="s">
        <v>704</v>
      </c>
      <c r="F67" s="794">
        <f ca="1">F40</f>
        <v>5.5E-2</v>
      </c>
      <c r="K67" s="2088"/>
      <c r="O67" s="2400" t="s">
        <v>2381</v>
      </c>
      <c r="P67" s="2401" t="s">
        <v>2412</v>
      </c>
      <c r="Q67" s="2402">
        <f ca="1">L60</f>
        <v>0</v>
      </c>
      <c r="R67" s="2405" t="s">
        <v>2414</v>
      </c>
    </row>
    <row r="68" spans="1:18" ht="21.75" thickBot="1">
      <c r="A68" s="786"/>
      <c r="B68" s="787"/>
      <c r="C68" s="788"/>
      <c r="D68" s="821" t="s">
        <v>1807</v>
      </c>
      <c r="E68" s="784" t="s">
        <v>1783</v>
      </c>
      <c r="F68" s="822">
        <f ca="1">F41</f>
        <v>36.57</v>
      </c>
      <c r="O68" s="2403" t="s">
        <v>2383</v>
      </c>
      <c r="P68" s="2401" t="s">
        <v>2413</v>
      </c>
      <c r="Q68" s="2407">
        <f ca="1">L51</f>
        <v>-2744</v>
      </c>
      <c r="R68" s="2408" t="s">
        <v>2416</v>
      </c>
    </row>
    <row r="69" spans="1:18" ht="20.25" thickBot="1">
      <c r="A69" s="790"/>
      <c r="B69" s="791"/>
      <c r="C69" s="792"/>
      <c r="D69" s="816"/>
      <c r="E69" s="784" t="s">
        <v>709</v>
      </c>
      <c r="F69" s="2373"/>
      <c r="O69" s="2403" t="s">
        <v>2384</v>
      </c>
      <c r="P69" s="2409" t="s">
        <v>2398</v>
      </c>
      <c r="Q69" s="2402">
        <f ca="1">ROUND(Q70-Q71*Q72,0)</f>
        <v>-162</v>
      </c>
      <c r="R69" s="2405"/>
    </row>
    <row r="70" spans="1:18" ht="15.75" thickBot="1">
      <c r="A70" s="823" t="s">
        <v>1786</v>
      </c>
      <c r="B70" s="824" t="s">
        <v>1809</v>
      </c>
      <c r="C70" s="825">
        <f ca="1">ROUND(C67*10000/F70,0)</f>
        <v>-1183</v>
      </c>
      <c r="D70" s="826" t="s">
        <v>1810</v>
      </c>
      <c r="E70" s="827" t="s">
        <v>1811</v>
      </c>
      <c r="F70" s="828">
        <f ca="1">F43</f>
        <v>30217.5</v>
      </c>
      <c r="O70" s="2403" t="s">
        <v>2399</v>
      </c>
      <c r="P70" s="2409" t="s">
        <v>2400</v>
      </c>
      <c r="Q70" s="2402">
        <f ca="1">C39</f>
        <v>920</v>
      </c>
      <c r="R70" s="2401" t="s">
        <v>2380</v>
      </c>
    </row>
    <row r="71" spans="1:18" ht="15.75" thickBot="1">
      <c r="O71" s="2403" t="s">
        <v>2401</v>
      </c>
      <c r="P71" s="2409" t="s">
        <v>2402</v>
      </c>
      <c r="Q71" s="2402">
        <f ca="1">C13</f>
        <v>12728</v>
      </c>
      <c r="R71" s="2401" t="s">
        <v>2380</v>
      </c>
    </row>
    <row r="72" spans="1:18" ht="15.75" thickBot="1">
      <c r="O72" s="2403" t="s">
        <v>2403</v>
      </c>
      <c r="P72" s="2409" t="s">
        <v>2404</v>
      </c>
      <c r="Q72" s="2404">
        <f ca="1">J36</f>
        <v>8.5000000000000006E-2</v>
      </c>
      <c r="R72" s="2405"/>
    </row>
    <row r="73" spans="1:18" ht="15.75" thickBot="1">
      <c r="O73" s="2403" t="s">
        <v>2386</v>
      </c>
      <c r="P73" s="2401" t="s">
        <v>2393</v>
      </c>
      <c r="Q73" s="2404">
        <f>L52</f>
        <v>0</v>
      </c>
      <c r="R73" s="2405"/>
    </row>
    <row r="74" spans="1:18" ht="20.25" thickBot="1">
      <c r="O74" s="2403" t="s">
        <v>2388</v>
      </c>
      <c r="P74" s="2401" t="s">
        <v>2394</v>
      </c>
      <c r="Q74" s="2402" t="e">
        <f ca="1">L58</f>
        <v>#DIV/0!</v>
      </c>
      <c r="R74" s="2405" t="s">
        <v>2395</v>
      </c>
    </row>
    <row r="75" spans="1:18" ht="15.75" thickBot="1">
      <c r="O75" s="2403" t="s">
        <v>2417</v>
      </c>
      <c r="P75" s="2401" t="str">
        <f>K59</f>
        <v>建设期及建筑物耐用年限下的土地年期修正系数Kn</v>
      </c>
      <c r="Q75" s="2402" t="e">
        <f ca="1">L59</f>
        <v>#DIV/0!</v>
      </c>
      <c r="R75" s="2405" t="s">
        <v>2397</v>
      </c>
    </row>
    <row r="76" spans="1:18" ht="15.75" thickBot="1">
      <c r="O76" s="2400" t="s">
        <v>2391</v>
      </c>
      <c r="P76" s="2401" t="s">
        <v>2408</v>
      </c>
      <c r="Q76" s="2402">
        <f ca="1">Q66+Q67</f>
        <v>21490</v>
      </c>
      <c r="R76" s="240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3" sqref="F33"/>
    </sheetView>
  </sheetViews>
  <sheetFormatPr defaultRowHeight="13.5"/>
  <cols>
    <col min="1" max="1" width="10.5" customWidth="1"/>
    <col min="2" max="2" width="12.875" customWidth="1"/>
    <col min="3" max="3" width="8.75" customWidth="1"/>
  </cols>
  <sheetData>
    <row r="1" spans="1:9" ht="14.25">
      <c r="A1" s="3494" t="s">
        <v>2469</v>
      </c>
      <c r="B1" s="3495"/>
      <c r="C1" s="3496"/>
      <c r="D1" s="3497">
        <f>SUM(I10,I15,I20,I21,I23)</f>
        <v>0</v>
      </c>
      <c r="E1" s="3497"/>
      <c r="F1" s="3497"/>
      <c r="G1" s="3497"/>
      <c r="H1" s="3497"/>
      <c r="I1" s="3498"/>
    </row>
    <row r="2" spans="1:9">
      <c r="A2" s="3484" t="s">
        <v>2470</v>
      </c>
      <c r="B2" s="3485" t="s">
        <v>2471</v>
      </c>
      <c r="C2" s="3485"/>
      <c r="D2" s="2509" t="s">
        <v>2472</v>
      </c>
      <c r="E2" s="2509" t="s">
        <v>2473</v>
      </c>
      <c r="F2" s="2509" t="s">
        <v>2474</v>
      </c>
      <c r="G2" s="2509" t="s">
        <v>2475</v>
      </c>
      <c r="H2" s="2509" t="s">
        <v>2476</v>
      </c>
      <c r="I2" s="2510" t="s">
        <v>2477</v>
      </c>
    </row>
    <row r="3" spans="1:9">
      <c r="A3" s="3484"/>
      <c r="B3" s="3485" t="s">
        <v>2478</v>
      </c>
      <c r="C3" s="3485"/>
      <c r="D3" s="2511"/>
      <c r="E3" s="2509"/>
      <c r="F3" s="2512"/>
      <c r="G3" s="2512"/>
      <c r="H3" s="2513"/>
      <c r="I3" s="2514">
        <f>ROUND(D3*E3*F3*G3*H3/10000,0)</f>
        <v>0</v>
      </c>
    </row>
    <row r="4" spans="1:9">
      <c r="A4" s="3484"/>
      <c r="B4" s="3485" t="s">
        <v>2479</v>
      </c>
      <c r="C4" s="3485"/>
      <c r="D4" s="2511"/>
      <c r="E4" s="2509"/>
      <c r="F4" s="2512"/>
      <c r="G4" s="2512"/>
      <c r="H4" s="2513"/>
      <c r="I4" s="2514">
        <f t="shared" ref="I4:I9" si="0">ROUND(D4*E4*F4*G4*H4/10000,0)</f>
        <v>0</v>
      </c>
    </row>
    <row r="5" spans="1:9">
      <c r="A5" s="3484"/>
      <c r="B5" s="3485" t="s">
        <v>2480</v>
      </c>
      <c r="C5" s="3485"/>
      <c r="D5" s="2511"/>
      <c r="E5" s="2509"/>
      <c r="F5" s="2512"/>
      <c r="G5" s="2512"/>
      <c r="H5" s="2513"/>
      <c r="I5" s="2514">
        <f t="shared" si="0"/>
        <v>0</v>
      </c>
    </row>
    <row r="6" spans="1:9">
      <c r="A6" s="3484"/>
      <c r="B6" s="3485" t="s">
        <v>2481</v>
      </c>
      <c r="C6" s="3485"/>
      <c r="D6" s="2511"/>
      <c r="E6" s="2509"/>
      <c r="F6" s="2512"/>
      <c r="G6" s="2512"/>
      <c r="H6" s="2513"/>
      <c r="I6" s="2514">
        <f t="shared" si="0"/>
        <v>0</v>
      </c>
    </row>
    <row r="7" spans="1:9">
      <c r="A7" s="3484"/>
      <c r="B7" s="3485" t="s">
        <v>2482</v>
      </c>
      <c r="C7" s="3485"/>
      <c r="D7" s="2511"/>
      <c r="E7" s="2509"/>
      <c r="F7" s="2512"/>
      <c r="G7" s="2512"/>
      <c r="H7" s="2513"/>
      <c r="I7" s="2514">
        <f t="shared" si="0"/>
        <v>0</v>
      </c>
    </row>
    <row r="8" spans="1:9">
      <c r="A8" s="3484"/>
      <c r="B8" s="3485" t="s">
        <v>2483</v>
      </c>
      <c r="C8" s="3485"/>
      <c r="D8" s="2511"/>
      <c r="E8" s="2509"/>
      <c r="F8" s="2512"/>
      <c r="G8" s="2512"/>
      <c r="H8" s="2513"/>
      <c r="I8" s="2514">
        <f t="shared" si="0"/>
        <v>0</v>
      </c>
    </row>
    <row r="9" spans="1:9">
      <c r="A9" s="3484"/>
      <c r="B9" s="3485" t="s">
        <v>2484</v>
      </c>
      <c r="C9" s="3485"/>
      <c r="D9" s="2511"/>
      <c r="E9" s="2509"/>
      <c r="F9" s="2512"/>
      <c r="G9" s="2512"/>
      <c r="H9" s="2513"/>
      <c r="I9" s="2514">
        <f t="shared" si="0"/>
        <v>0</v>
      </c>
    </row>
    <row r="10" spans="1:9">
      <c r="A10" s="3484"/>
      <c r="B10" s="3486" t="s">
        <v>2485</v>
      </c>
      <c r="C10" s="3486"/>
      <c r="D10" s="2515">
        <v>527</v>
      </c>
      <c r="E10" s="2515" t="e">
        <f>ROUND(D1*10000/D10/H9,0)</f>
        <v>#DIV/0!</v>
      </c>
      <c r="F10" s="2516"/>
      <c r="G10" s="2516"/>
      <c r="H10" s="2517"/>
      <c r="I10" s="2518">
        <f>SUM(I3:I9)</f>
        <v>0</v>
      </c>
    </row>
    <row r="11" spans="1:9" ht="14.25">
      <c r="A11" s="3484" t="s">
        <v>2486</v>
      </c>
      <c r="B11" s="3485" t="s">
        <v>2487</v>
      </c>
      <c r="C11" s="3485"/>
      <c r="D11" s="2511" t="s">
        <v>2488</v>
      </c>
      <c r="E11" s="2511" t="s">
        <v>2489</v>
      </c>
      <c r="F11" s="2512" t="s">
        <v>2490</v>
      </c>
      <c r="G11" s="2512" t="s">
        <v>2491</v>
      </c>
      <c r="H11" s="2519" t="s">
        <v>2492</v>
      </c>
      <c r="I11" s="2510" t="s">
        <v>2493</v>
      </c>
    </row>
    <row r="12" spans="1:9">
      <c r="A12" s="3484"/>
      <c r="B12" s="3485" t="s">
        <v>2494</v>
      </c>
      <c r="C12" s="3485"/>
      <c r="D12" s="2511"/>
      <c r="E12" s="2511"/>
      <c r="F12" s="2512"/>
      <c r="G12" s="2513"/>
      <c r="H12" s="2520"/>
      <c r="I12" s="2510">
        <f>ROUND(D12*E12*F12*G12/10000,0)</f>
        <v>0</v>
      </c>
    </row>
    <row r="13" spans="1:9">
      <c r="A13" s="3484"/>
      <c r="B13" s="3485" t="s">
        <v>2495</v>
      </c>
      <c r="C13" s="3485"/>
      <c r="D13" s="2511"/>
      <c r="E13" s="2511"/>
      <c r="F13" s="2512"/>
      <c r="G13" s="2513"/>
      <c r="H13" s="2520"/>
      <c r="I13" s="2510">
        <f>ROUND(D13*E13*F13*G13/10000,0)</f>
        <v>0</v>
      </c>
    </row>
    <row r="14" spans="1:9">
      <c r="A14" s="3484"/>
      <c r="B14" s="3485" t="s">
        <v>2496</v>
      </c>
      <c r="C14" s="3485"/>
      <c r="D14" s="2511"/>
      <c r="E14" s="2511"/>
      <c r="F14" s="2512"/>
      <c r="G14" s="2513"/>
      <c r="H14" s="2520"/>
      <c r="I14" s="2510">
        <f>ROUND(D14*E14*F14*G14/10000,0)</f>
        <v>0</v>
      </c>
    </row>
    <row r="15" spans="1:9">
      <c r="A15" s="3484"/>
      <c r="B15" s="3486" t="s">
        <v>2485</v>
      </c>
      <c r="C15" s="3486"/>
      <c r="D15" s="2515"/>
      <c r="E15" s="2515">
        <f>SUM(E12:E14)</f>
        <v>0</v>
      </c>
      <c r="F15" s="2516"/>
      <c r="G15" s="2513"/>
      <c r="H15" s="2520"/>
      <c r="I15" s="2521">
        <f>SUM(I12:I14)</f>
        <v>0</v>
      </c>
    </row>
    <row r="16" spans="1:9" ht="24">
      <c r="A16" s="3484" t="s">
        <v>2497</v>
      </c>
      <c r="B16" s="3485" t="s">
        <v>2498</v>
      </c>
      <c r="C16" s="3485"/>
      <c r="D16" s="2511" t="s">
        <v>2499</v>
      </c>
      <c r="E16" s="2522" t="s">
        <v>2500</v>
      </c>
      <c r="F16" s="2512" t="s">
        <v>2501</v>
      </c>
      <c r="G16" s="2513" t="s">
        <v>2491</v>
      </c>
      <c r="H16" s="2519" t="s">
        <v>2492</v>
      </c>
      <c r="I16" s="2510" t="s">
        <v>2493</v>
      </c>
    </row>
    <row r="17" spans="1:9" ht="14.25">
      <c r="A17" s="3484"/>
      <c r="B17" s="3485" t="s">
        <v>2502</v>
      </c>
      <c r="C17" s="3485"/>
      <c r="D17" s="2511"/>
      <c r="E17" s="2511"/>
      <c r="F17" s="2512"/>
      <c r="G17" s="2513"/>
      <c r="H17" s="2523"/>
      <c r="I17" s="2524">
        <f>ROUND(D17*E17*F17*G17/10000,0)</f>
        <v>0</v>
      </c>
    </row>
    <row r="18" spans="1:9" ht="14.25">
      <c r="A18" s="3484"/>
      <c r="B18" s="3485" t="s">
        <v>2503</v>
      </c>
      <c r="C18" s="3485"/>
      <c r="D18" s="2511"/>
      <c r="E18" s="2511"/>
      <c r="F18" s="2512"/>
      <c r="G18" s="2513"/>
      <c r="H18" s="2523"/>
      <c r="I18" s="2524">
        <f>ROUND(D18*E18*F18*G18/10000,0)</f>
        <v>0</v>
      </c>
    </row>
    <row r="19" spans="1:9" ht="14.25">
      <c r="A19" s="3484"/>
      <c r="B19" s="3485" t="s">
        <v>2504</v>
      </c>
      <c r="C19" s="3485"/>
      <c r="D19" s="2511"/>
      <c r="E19" s="2511"/>
      <c r="F19" s="2512"/>
      <c r="G19" s="2513"/>
      <c r="H19" s="2523"/>
      <c r="I19" s="2524">
        <f>ROUND(D19*E19*F19*G19/10000,0)</f>
        <v>0</v>
      </c>
    </row>
    <row r="20" spans="1:9">
      <c r="A20" s="3484"/>
      <c r="B20" s="3486" t="s">
        <v>2485</v>
      </c>
      <c r="C20" s="3486"/>
      <c r="D20" s="2515">
        <f>SUM(D17:D19)</f>
        <v>0</v>
      </c>
      <c r="E20" s="2515"/>
      <c r="F20" s="2516"/>
      <c r="G20" s="2513"/>
      <c r="H20" s="2520"/>
      <c r="I20" s="2521">
        <f>SUM(I17:I19)</f>
        <v>0</v>
      </c>
    </row>
    <row r="21" spans="1:9">
      <c r="A21" s="3484" t="s">
        <v>2505</v>
      </c>
      <c r="B21" s="3487"/>
      <c r="C21" s="3487"/>
      <c r="D21" s="3487"/>
      <c r="E21" s="3487"/>
      <c r="F21" s="3487"/>
      <c r="G21" s="3487"/>
      <c r="H21" s="2525">
        <v>0.1</v>
      </c>
      <c r="I21" s="2518">
        <f>ROUND(I10*H21,0)</f>
        <v>0</v>
      </c>
    </row>
    <row r="22" spans="1:9" ht="14.25">
      <c r="A22" s="3488" t="s">
        <v>2506</v>
      </c>
      <c r="B22" s="3489"/>
      <c r="C22" s="3490"/>
      <c r="D22" s="2526" t="s">
        <v>2507</v>
      </c>
      <c r="E22" s="2526" t="s">
        <v>2508</v>
      </c>
      <c r="F22" s="2527" t="s">
        <v>2509</v>
      </c>
      <c r="G22" s="2527" t="s">
        <v>2510</v>
      </c>
      <c r="H22" s="2519" t="s">
        <v>2511</v>
      </c>
      <c r="I22" s="2510" t="s">
        <v>2512</v>
      </c>
    </row>
    <row r="23" spans="1:9" ht="14.25" thickBot="1">
      <c r="A23" s="3491"/>
      <c r="B23" s="3492"/>
      <c r="C23" s="3493"/>
      <c r="D23" s="2528"/>
      <c r="E23" s="2528"/>
      <c r="F23" s="2528"/>
      <c r="G23" s="2529"/>
      <c r="H23" s="2530"/>
      <c r="I23" s="2531">
        <f>ROUND(E23*D23*F23*(1-G23)/10000,0)</f>
        <v>0</v>
      </c>
    </row>
    <row r="26" spans="1:9">
      <c r="A26" s="2532" t="s">
        <v>2513</v>
      </c>
      <c r="B26" s="2532"/>
      <c r="C26" s="2532"/>
      <c r="D26" s="2532"/>
      <c r="E26" s="3481">
        <f>C27-C30-C31-C32</f>
        <v>0</v>
      </c>
      <c r="F26" s="3481"/>
      <c r="G26" s="3481"/>
      <c r="H26" s="3046" t="s">
        <v>2841</v>
      </c>
    </row>
    <row r="27" spans="1:9">
      <c r="A27" s="2533">
        <v>1</v>
      </c>
      <c r="B27" s="2534" t="s">
        <v>2514</v>
      </c>
      <c r="C27" s="2534"/>
      <c r="D27" s="2534"/>
      <c r="E27" s="3482"/>
      <c r="F27" s="3482"/>
      <c r="G27" s="3482"/>
    </row>
    <row r="28" spans="1:9">
      <c r="A28" s="2535" t="s">
        <v>2515</v>
      </c>
      <c r="B28" s="2534" t="s">
        <v>2516</v>
      </c>
      <c r="C28" s="2534"/>
      <c r="D28" s="2534"/>
      <c r="E28" s="3482"/>
      <c r="F28" s="3482"/>
      <c r="G28" s="3482"/>
    </row>
    <row r="29" spans="1:9">
      <c r="A29" s="2535" t="s">
        <v>2517</v>
      </c>
      <c r="B29" s="2534" t="s">
        <v>2458</v>
      </c>
      <c r="C29" s="2534"/>
      <c r="D29" s="2534"/>
      <c r="E29" s="2534" t="s">
        <v>2518</v>
      </c>
      <c r="F29" s="2534"/>
      <c r="G29" s="2534"/>
    </row>
    <row r="30" spans="1:9">
      <c r="A30" s="2533">
        <v>2</v>
      </c>
      <c r="B30" s="2534" t="s">
        <v>2519</v>
      </c>
      <c r="C30" s="2534">
        <f>C27*D30</f>
        <v>0</v>
      </c>
      <c r="D30" s="2536">
        <v>0.2</v>
      </c>
      <c r="E30" s="2534" t="s">
        <v>2520</v>
      </c>
      <c r="F30" s="2534"/>
      <c r="G30" s="2534"/>
    </row>
    <row r="31" spans="1:9">
      <c r="A31" s="2533">
        <v>3</v>
      </c>
      <c r="B31" s="2534" t="s">
        <v>2521</v>
      </c>
      <c r="C31" s="2534">
        <f>C25*D31</f>
        <v>0</v>
      </c>
      <c r="D31" s="2536">
        <v>0.15</v>
      </c>
      <c r="E31" s="2534" t="s">
        <v>2522</v>
      </c>
      <c r="F31" s="2534"/>
      <c r="G31" s="2534"/>
    </row>
    <row r="32" spans="1:9">
      <c r="A32" s="2533">
        <v>4</v>
      </c>
      <c r="B32" s="2534" t="s">
        <v>2523</v>
      </c>
      <c r="C32" s="2534">
        <f>C27*D32</f>
        <v>0</v>
      </c>
      <c r="D32" s="2536">
        <v>0.05</v>
      </c>
      <c r="E32" s="3483"/>
      <c r="F32" s="3483"/>
      <c r="G32" s="3483"/>
    </row>
    <row r="33" spans="1:7" hidden="1">
      <c r="A33" s="3478" t="s">
        <v>2524</v>
      </c>
      <c r="B33" s="3479"/>
      <c r="C33" s="3479"/>
      <c r="D33" s="3480"/>
      <c r="E33" s="3481"/>
      <c r="F33" s="3481"/>
      <c r="G33" s="3481"/>
    </row>
    <row r="34" spans="1:7" hidden="1">
      <c r="A34" s="2537">
        <v>1</v>
      </c>
      <c r="B34" s="2534" t="s">
        <v>2525</v>
      </c>
      <c r="C34" s="2534"/>
      <c r="D34" s="2534"/>
      <c r="E34" s="3482"/>
      <c r="F34" s="3482"/>
      <c r="G34" s="3482"/>
    </row>
    <row r="35" spans="1:7" hidden="1">
      <c r="A35" s="2537">
        <v>2</v>
      </c>
      <c r="B35" s="2534" t="s">
        <v>2526</v>
      </c>
      <c r="C35" s="2534"/>
      <c r="D35" s="2534"/>
      <c r="E35" s="3482"/>
      <c r="F35" s="3482"/>
      <c r="G35" s="3482"/>
    </row>
    <row r="36" spans="1:7" hidden="1">
      <c r="A36" s="2537">
        <v>3</v>
      </c>
      <c r="B36" s="2534" t="s">
        <v>2527</v>
      </c>
      <c r="C36" s="2534"/>
      <c r="D36" s="2534"/>
      <c r="E36" s="3482"/>
      <c r="F36" s="3482"/>
      <c r="G36" s="3482"/>
    </row>
    <row r="37" spans="1:7" hidden="1">
      <c r="A37" s="2537">
        <v>4</v>
      </c>
      <c r="B37" s="2534" t="s">
        <v>2528</v>
      </c>
      <c r="C37" s="2534"/>
      <c r="D37" s="2534"/>
      <c r="E37" s="3482"/>
      <c r="F37" s="3482"/>
      <c r="G37" s="3482"/>
    </row>
    <row r="38" spans="1:7" hidden="1">
      <c r="A38" s="3478" t="s">
        <v>2529</v>
      </c>
      <c r="B38" s="3479"/>
      <c r="C38" s="3479"/>
      <c r="D38" s="3480"/>
      <c r="E38" s="3481"/>
      <c r="F38" s="3481"/>
      <c r="G38" s="34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1684</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71">
        <v>1</v>
      </c>
      <c r="B7" s="748" t="s">
        <v>608</v>
      </c>
      <c r="C7" s="749">
        <f>C8+C9</f>
        <v>0</v>
      </c>
      <c r="D7" s="749"/>
      <c r="E7" s="750"/>
      <c r="F7" s="750"/>
      <c r="G7" s="2481"/>
    </row>
    <row r="8" spans="1:25" s="2185" customFormat="1" ht="13.5" customHeight="1">
      <c r="A8" s="2471" t="s">
        <v>2439</v>
      </c>
      <c r="B8" s="2474" t="s">
        <v>2441</v>
      </c>
      <c r="C8" s="2475"/>
      <c r="D8" s="749"/>
      <c r="E8" s="750"/>
      <c r="F8" s="750"/>
      <c r="G8" s="751"/>
    </row>
    <row r="9" spans="1:25" s="2185" customFormat="1" ht="13.5" customHeight="1">
      <c r="A9" s="2471" t="s">
        <v>2440</v>
      </c>
      <c r="B9" s="2474" t="s">
        <v>2442</v>
      </c>
      <c r="C9" s="2475"/>
      <c r="D9" s="749"/>
      <c r="E9" s="750"/>
      <c r="F9" s="750"/>
      <c r="G9" s="751"/>
    </row>
    <row r="10" spans="1:25" s="2185" customFormat="1" ht="36">
      <c r="A10" s="2471">
        <v>2</v>
      </c>
      <c r="B10" s="748" t="s">
        <v>612</v>
      </c>
      <c r="C10" s="749">
        <f>C11+C14+C15</f>
        <v>0</v>
      </c>
      <c r="D10" s="760">
        <f>'数据-汇总表'!E3</f>
        <v>100725</v>
      </c>
      <c r="E10" s="749">
        <f>'数据-取费表'!B31</f>
        <v>140</v>
      </c>
      <c r="F10" s="761"/>
      <c r="G10" s="759" t="s">
        <v>613</v>
      </c>
    </row>
    <row r="11" spans="1:25" s="2185" customFormat="1" ht="13.5" customHeight="1">
      <c r="A11" s="2471" t="s">
        <v>2439</v>
      </c>
      <c r="B11" s="752" t="s">
        <v>609</v>
      </c>
      <c r="C11" s="753">
        <f>'数据-取费表'!B29</f>
        <v>0</v>
      </c>
      <c r="D11" s="754"/>
      <c r="E11" s="753"/>
      <c r="F11" s="755"/>
      <c r="G11" s="2480" t="s">
        <v>2450</v>
      </c>
    </row>
    <row r="12" spans="1:25" s="2185" customFormat="1" ht="13.5" customHeight="1">
      <c r="A12" s="2478" t="s">
        <v>2447</v>
      </c>
      <c r="B12" s="756" t="s">
        <v>610</v>
      </c>
      <c r="C12" s="757">
        <f>ROUND(D12*E12/10000,0)</f>
        <v>1340</v>
      </c>
      <c r="D12" s="758">
        <f>'数据-汇总表'!E5</f>
        <v>70507.5</v>
      </c>
      <c r="E12" s="757">
        <f>'数据-取费表'!B27</f>
        <v>190</v>
      </c>
      <c r="F12" s="755"/>
      <c r="G12" s="759"/>
    </row>
    <row r="13" spans="1:25" s="2185" customFormat="1" ht="13.5" customHeight="1">
      <c r="A13" s="2478" t="s">
        <v>2446</v>
      </c>
      <c r="B13" s="756" t="s">
        <v>611</v>
      </c>
      <c r="C13" s="757">
        <f>ROUND(D13*E13/10000,0)</f>
        <v>574</v>
      </c>
      <c r="D13" s="758">
        <f>'数据-汇总表'!E6</f>
        <v>30217.5</v>
      </c>
      <c r="E13" s="757">
        <f>'数据-取费表'!B28</f>
        <v>190</v>
      </c>
      <c r="F13" s="755"/>
      <c r="G13" s="759"/>
    </row>
    <row r="14" spans="1:25" s="2185" customFormat="1" ht="13.5" customHeight="1">
      <c r="A14" s="2471" t="s">
        <v>2440</v>
      </c>
      <c r="B14" s="2477" t="s">
        <v>2443</v>
      </c>
      <c r="C14" s="2475"/>
      <c r="D14" s="758"/>
      <c r="E14" s="757"/>
      <c r="F14" s="2476"/>
      <c r="G14" s="2479" t="s">
        <v>2448</v>
      </c>
    </row>
    <row r="15" spans="1:25" s="2185" customFormat="1" ht="13.5" customHeight="1">
      <c r="A15" s="2471" t="s">
        <v>2445</v>
      </c>
      <c r="B15" s="2477" t="s">
        <v>2444</v>
      </c>
      <c r="C15" s="2475"/>
      <c r="D15" s="758"/>
      <c r="E15" s="757"/>
      <c r="F15" s="2476"/>
      <c r="G15" s="2479" t="s">
        <v>2449</v>
      </c>
    </row>
    <row r="16" spans="1:25" s="2186" customFormat="1" ht="48">
      <c r="A16" s="2471">
        <v>3</v>
      </c>
      <c r="B16" s="748" t="s">
        <v>614</v>
      </c>
      <c r="C16" s="2475"/>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615</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616</v>
      </c>
      <c r="C18" s="749">
        <f>ROUND((C7+C10+C16)*F18,0)</f>
        <v>0</v>
      </c>
      <c r="D18" s="762"/>
      <c r="E18" s="763"/>
      <c r="F18" s="761">
        <f>'数据-取费表'!Q16</f>
        <v>0.15</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624</v>
      </c>
      <c r="C22" s="749">
        <f ca="1">ROUND(C21*F22,0)</f>
        <v>0</v>
      </c>
      <c r="D22" s="760"/>
      <c r="E22" s="749"/>
      <c r="F22" s="766">
        <f>'数据-取费表'!AP16</f>
        <v>0.872</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5" zoomScaleNormal="85" workbookViewId="0">
      <selection activeCell="C36" sqref="C36:C40"/>
    </sheetView>
  </sheetViews>
  <sheetFormatPr defaultColWidth="9"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1724</v>
      </c>
      <c r="B1" s="738"/>
      <c r="C1" s="773" t="s">
        <v>35</v>
      </c>
      <c r="D1" s="3126" t="s">
        <v>3080</v>
      </c>
      <c r="E1" s="2389" t="s">
        <v>869</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1725</v>
      </c>
      <c r="B2" s="775" t="e">
        <f ca="1">C40+J29+L46</f>
        <v>#N/A</v>
      </c>
      <c r="C2" s="2059"/>
      <c r="D2" s="2057"/>
      <c r="E2" s="2058"/>
      <c r="F2" s="2058"/>
      <c r="G2" s="1591"/>
      <c r="H2" s="2059"/>
      <c r="I2" s="2059"/>
      <c r="J2" s="2059"/>
      <c r="K2" s="2060"/>
      <c r="L2" s="2059"/>
      <c r="M2" s="2059"/>
    </row>
    <row r="3" spans="1:33" ht="18" customHeight="1" thickBot="1">
      <c r="A3" s="833" t="s">
        <v>1726</v>
      </c>
      <c r="B3" s="834">
        <f ca="1">IF(ISERROR(B2*10000/F43),0,ROUND(B2*10000/F43,0))</f>
        <v>0</v>
      </c>
      <c r="C3" s="2059"/>
      <c r="D3" s="2057"/>
      <c r="E3" s="2058"/>
      <c r="F3" s="2058"/>
      <c r="G3" s="1591"/>
      <c r="H3" s="776" t="s">
        <v>694</v>
      </c>
      <c r="I3" s="1363"/>
      <c r="J3" s="1363"/>
      <c r="K3" s="1592"/>
      <c r="L3" s="1363"/>
      <c r="M3" s="1363"/>
    </row>
    <row r="4" spans="1:33" ht="18" customHeight="1">
      <c r="A4" s="777" t="s">
        <v>1727</v>
      </c>
      <c r="B4" s="778" t="s">
        <v>1728</v>
      </c>
      <c r="C4" s="778" t="s">
        <v>1729</v>
      </c>
      <c r="D4" s="778" t="s">
        <v>632</v>
      </c>
      <c r="E4" s="779" t="s">
        <v>1730</v>
      </c>
      <c r="F4" s="780"/>
      <c r="G4" s="1593"/>
      <c r="H4" s="777" t="s">
        <v>1727</v>
      </c>
      <c r="I4" s="778" t="s">
        <v>1728</v>
      </c>
      <c r="J4" s="778" t="s">
        <v>1729</v>
      </c>
      <c r="K4" s="778" t="s">
        <v>1734</v>
      </c>
      <c r="L4" s="779" t="s">
        <v>1730</v>
      </c>
      <c r="M4" s="780"/>
    </row>
    <row r="5" spans="1:33" ht="18" customHeight="1">
      <c r="A5" s="781">
        <v>1</v>
      </c>
      <c r="B5" s="782" t="s">
        <v>2456</v>
      </c>
      <c r="C5" s="55" t="e">
        <f ca="1">C6+C10+C12</f>
        <v>#N/A</v>
      </c>
      <c r="D5" s="2498" t="s">
        <v>2459</v>
      </c>
      <c r="E5" s="2492"/>
      <c r="F5" s="2493"/>
      <c r="G5" s="1593"/>
      <c r="H5" s="781">
        <v>1</v>
      </c>
      <c r="I5" s="782" t="s">
        <v>2456</v>
      </c>
      <c r="J5" s="55" t="e">
        <f ca="1">J6+J10+J12</f>
        <v>#N/A</v>
      </c>
      <c r="K5" s="2498" t="s">
        <v>2459</v>
      </c>
      <c r="L5" s="2492"/>
      <c r="M5" s="2493"/>
    </row>
    <row r="6" spans="1:33" ht="18" customHeight="1">
      <c r="A6" s="1832" t="s">
        <v>1823</v>
      </c>
      <c r="B6" s="3453" t="s">
        <v>2461</v>
      </c>
      <c r="C6" s="783" t="e">
        <f ca="1">ROUND(F6*F8*F7*(1-F9)/10000,0)</f>
        <v>#N/A</v>
      </c>
      <c r="D6" s="2499" t="s">
        <v>2460</v>
      </c>
      <c r="E6" s="784" t="s">
        <v>1737</v>
      </c>
      <c r="F6" s="785" t="e">
        <f ca="1">INDIRECT("'数据-取费表'!u"&amp;$G$1)</f>
        <v>#N/A</v>
      </c>
      <c r="G6" s="1593"/>
      <c r="H6" s="2506" t="s">
        <v>1823</v>
      </c>
      <c r="I6" s="3453" t="s">
        <v>2461</v>
      </c>
      <c r="J6" s="783" t="e">
        <f ca="1">ROUND(M6*M8*M7*(1-M9)/10000,0)</f>
        <v>#N/A</v>
      </c>
      <c r="K6" s="341" t="s">
        <v>1736</v>
      </c>
      <c r="L6" s="784" t="s">
        <v>1737</v>
      </c>
      <c r="M6" s="785" t="e">
        <f ca="1">INDIRECT("'数据-取费表'!z"&amp;$G$1)</f>
        <v>#N/A</v>
      </c>
    </row>
    <row r="7" spans="1:33" ht="18" customHeight="1">
      <c r="A7" s="2502"/>
      <c r="B7" s="3454"/>
      <c r="C7" s="788"/>
      <c r="D7" s="789"/>
      <c r="E7" s="784" t="s">
        <v>1738</v>
      </c>
      <c r="F7" s="785" t="e">
        <f ca="1">IF(INDIRECT("'数据-取费表'!ah"&amp;$G$1)="",INDIRECT("'数据-取费表'!k"&amp;$G$1),INDIRECT("'数据-取费表'!ah"&amp;$G$1))</f>
        <v>#N/A</v>
      </c>
      <c r="G7" s="1593"/>
      <c r="H7" s="2491"/>
      <c r="I7" s="3454"/>
      <c r="J7" s="788"/>
      <c r="K7" s="789"/>
      <c r="L7" s="784" t="s">
        <v>1738</v>
      </c>
      <c r="M7" s="785" t="e">
        <f ca="1">F7</f>
        <v>#N/A</v>
      </c>
    </row>
    <row r="8" spans="1:33" ht="18" customHeight="1">
      <c r="A8" s="2495"/>
      <c r="B8" s="3455"/>
      <c r="C8" s="788"/>
      <c r="D8" s="789"/>
      <c r="E8" s="784" t="s">
        <v>1739</v>
      </c>
      <c r="F8" s="785" t="e">
        <f ca="1">INDIRECT("'数据-取费表'!ai"&amp;$G$1)</f>
        <v>#N/A</v>
      </c>
      <c r="G8" s="1593"/>
      <c r="H8" s="2491"/>
      <c r="I8" s="3455"/>
      <c r="J8" s="788"/>
      <c r="K8" s="789"/>
      <c r="L8" s="784" t="s">
        <v>1739</v>
      </c>
      <c r="M8" s="785" t="e">
        <f ca="1">INDIRECT("'数据-取费表'!ai"&amp;$G$1)</f>
        <v>#N/A</v>
      </c>
    </row>
    <row r="9" spans="1:33" ht="18" customHeight="1">
      <c r="A9" s="786"/>
      <c r="B9" s="3456"/>
      <c r="C9" s="788"/>
      <c r="D9" s="789"/>
      <c r="E9" s="784" t="s">
        <v>1740</v>
      </c>
      <c r="F9" s="794" t="e">
        <f ca="1">INDIRECT("'数据-取费表'!w"&amp;$G$1)</f>
        <v>#N/A</v>
      </c>
      <c r="G9" s="1593"/>
      <c r="H9" s="2507"/>
      <c r="I9" s="3455"/>
      <c r="J9" s="788"/>
      <c r="K9" s="789"/>
      <c r="L9" s="795" t="s">
        <v>1740</v>
      </c>
      <c r="M9" s="796" t="e">
        <f ca="1">INDIRECT("'数据-取费表'!ab"&amp;$G$1)</f>
        <v>#N/A</v>
      </c>
    </row>
    <row r="10" spans="1:33" ht="18" customHeight="1">
      <c r="A10" s="1832" t="s">
        <v>1824</v>
      </c>
      <c r="B10" s="2496" t="s">
        <v>2457</v>
      </c>
      <c r="C10" s="799">
        <f ca="1">ROUND(IF(F10="押一",C6/12*F11,IF(F10="押二",C6/12*2*F11,IF(F10="押三",C6/12*3*F11,C11*F11))),0)</f>
        <v>0</v>
      </c>
      <c r="D10" s="2503" t="s">
        <v>2971</v>
      </c>
      <c r="E10" s="2500" t="s">
        <v>2462</v>
      </c>
      <c r="F10" s="2623" t="s">
        <v>3051</v>
      </c>
      <c r="G10" s="1593"/>
      <c r="H10" s="2563" t="s">
        <v>1824</v>
      </c>
      <c r="I10" s="2568" t="s">
        <v>2457</v>
      </c>
      <c r="J10" s="783">
        <f ca="1">ROUND(IF(M10="押一",J6/12*M11,IF(M10="押二",J6/12*2*M11,IF(M10="押三",J6/12*3*M11,J11*M11))),0)</f>
        <v>0</v>
      </c>
      <c r="K10" s="2503" t="s">
        <v>2971</v>
      </c>
      <c r="L10" s="2500" t="s">
        <v>2462</v>
      </c>
      <c r="M10" s="2623"/>
    </row>
    <row r="11" spans="1:33" ht="18" customHeight="1">
      <c r="A11" s="790"/>
      <c r="B11" s="2497" t="s">
        <v>2571</v>
      </c>
      <c r="C11" s="2501"/>
      <c r="D11" s="789"/>
      <c r="E11" s="2500" t="s">
        <v>2454</v>
      </c>
      <c r="F11" s="796">
        <f ca="1">'数据-取费表'!B39</f>
        <v>1.4999999999999999E-2</v>
      </c>
      <c r="G11" s="1593"/>
      <c r="H11" s="2564"/>
      <c r="I11" s="2497" t="s">
        <v>2571</v>
      </c>
      <c r="J11" s="2501"/>
      <c r="K11" s="2565"/>
      <c r="L11" s="2500" t="s">
        <v>2454</v>
      </c>
      <c r="M11" s="2494">
        <f ca="1">'数据-取费表'!B39</f>
        <v>1.4999999999999999E-2</v>
      </c>
    </row>
    <row r="12" spans="1:33" ht="18" customHeight="1" thickBot="1">
      <c r="A12" s="2539" t="s">
        <v>2465</v>
      </c>
      <c r="B12" s="2540" t="s">
        <v>2458</v>
      </c>
      <c r="C12" s="2541"/>
      <c r="D12" s="2542"/>
      <c r="E12" s="2543"/>
      <c r="F12" s="2544"/>
      <c r="G12" s="1593"/>
      <c r="H12" s="2553" t="s">
        <v>2465</v>
      </c>
      <c r="I12" s="2566" t="s">
        <v>2458</v>
      </c>
      <c r="J12" s="2567"/>
      <c r="K12" s="2542"/>
      <c r="L12" s="2543"/>
      <c r="M12" s="2556"/>
    </row>
    <row r="13" spans="1:33" ht="18" customHeight="1" thickTop="1">
      <c r="A13" s="1831">
        <v>2</v>
      </c>
      <c r="B13" s="1829" t="s">
        <v>1741</v>
      </c>
      <c r="C13" s="792" t="e">
        <f ca="1">ROUND(C29*F13,0)</f>
        <v>#N/A</v>
      </c>
      <c r="D13" s="1836" t="s">
        <v>2297</v>
      </c>
      <c r="E13" s="1836" t="s">
        <v>1743</v>
      </c>
      <c r="F13" s="2538" t="e">
        <f ca="1">INDIRECT("'数据-取费表'!y"&amp;$G$1)</f>
        <v>#N/A</v>
      </c>
      <c r="G13" s="1593"/>
      <c r="H13" s="1831">
        <v>2</v>
      </c>
      <c r="I13" s="1829" t="s">
        <v>1741</v>
      </c>
      <c r="J13" s="1821" t="e">
        <f ca="1">ROUND(J14*J15,0)</f>
        <v>#N/A</v>
      </c>
      <c r="K13" s="1823" t="s">
        <v>1742</v>
      </c>
      <c r="L13" s="2554"/>
      <c r="M13" s="2555"/>
    </row>
    <row r="14" spans="1:33" ht="18" customHeight="1">
      <c r="A14" s="1649" t="s">
        <v>1830</v>
      </c>
      <c r="B14" s="784" t="s">
        <v>644</v>
      </c>
      <c r="C14" s="804" t="e">
        <f ca="1">INDIRECT("'数据-取费表'!m"&amp;$G$1)+INDIRECT("'数据-取费表'!t"&amp;$G$1)</f>
        <v>#N/A</v>
      </c>
      <c r="D14" s="3181" t="s">
        <v>1744</v>
      </c>
      <c r="E14" s="3180"/>
      <c r="F14" s="805"/>
      <c r="G14" s="1593"/>
      <c r="H14" s="1650" t="s">
        <v>1823</v>
      </c>
      <c r="I14" s="2233" t="s">
        <v>2823</v>
      </c>
      <c r="J14" s="53" t="e">
        <f ca="1">C29</f>
        <v>#N/A</v>
      </c>
      <c r="K14" s="26"/>
      <c r="L14" s="801"/>
      <c r="M14" s="802"/>
    </row>
    <row r="15" spans="1:33" s="2066" customFormat="1" ht="18" customHeight="1" thickBot="1">
      <c r="A15" s="1649" t="s">
        <v>1831</v>
      </c>
      <c r="B15" s="784" t="s">
        <v>646</v>
      </c>
      <c r="C15" s="53" t="e">
        <f ca="1">ROUND(C14*F15,0)</f>
        <v>#N/A</v>
      </c>
      <c r="D15" s="806" t="s">
        <v>1745</v>
      </c>
      <c r="E15" s="806" t="s">
        <v>1746</v>
      </c>
      <c r="F15" s="807">
        <f>'数据-取费表'!B33</f>
        <v>0.05</v>
      </c>
      <c r="G15" s="1594"/>
      <c r="H15" s="2553" t="s">
        <v>1888</v>
      </c>
      <c r="I15" s="2548" t="s">
        <v>1743</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1832</v>
      </c>
      <c r="B16" s="784" t="s">
        <v>649</v>
      </c>
      <c r="C16" s="53" t="e">
        <f ca="1">ROUND(INDIRECT("'数据-取费表'!m"&amp;$G$1)*F16,0)</f>
        <v>#N/A</v>
      </c>
      <c r="D16" s="784" t="s">
        <v>1745</v>
      </c>
      <c r="E16" s="784" t="s">
        <v>1746</v>
      </c>
      <c r="F16" s="809" t="e">
        <f ca="1">IF(INDIRECT("'数据-取费表'!c"&amp;$G$1)="住宅",'数据-取费表'!B34,0)</f>
        <v>#N/A</v>
      </c>
      <c r="G16" s="1593"/>
      <c r="H16" s="1831" t="s">
        <v>1747</v>
      </c>
      <c r="I16" s="1829" t="s">
        <v>1748</v>
      </c>
      <c r="J16" s="792" t="e">
        <f ca="1">ROUND(J17+J22+J23+J24,0)</f>
        <v>#N/A</v>
      </c>
      <c r="K16" s="1823" t="s">
        <v>1749</v>
      </c>
      <c r="L16" s="3183"/>
      <c r="M16" s="2493"/>
    </row>
    <row r="17" spans="1:33" s="2066" customFormat="1" ht="18" customHeight="1">
      <c r="A17" s="1649" t="s">
        <v>1886</v>
      </c>
      <c r="B17" s="784" t="s">
        <v>652</v>
      </c>
      <c r="C17" s="53" t="e">
        <f ca="1">ROUND(F17*(F43+INDIRECT("'数据-取费表'!S"&amp;$G$1))/10000,0)</f>
        <v>#N/A</v>
      </c>
      <c r="D17" s="784" t="s">
        <v>1750</v>
      </c>
      <c r="E17" s="784" t="s">
        <v>1751</v>
      </c>
      <c r="F17" s="56">
        <f>'数据-取费表'!B35</f>
        <v>200</v>
      </c>
      <c r="G17" s="1594"/>
      <c r="H17" s="1650" t="s">
        <v>1823</v>
      </c>
      <c r="I17" s="784" t="s">
        <v>655</v>
      </c>
      <c r="J17" s="53" t="e">
        <f ca="1">ROUND(IF(项目基本情况!B11="自然人",J5*M17,J18+J19+J20),0)</f>
        <v>#N/A</v>
      </c>
      <c r="K17" s="3181" t="s">
        <v>1752</v>
      </c>
      <c r="L17" s="3182" t="s">
        <v>1753</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1887</v>
      </c>
      <c r="B18" s="784" t="s">
        <v>658</v>
      </c>
      <c r="C18" s="53" t="e">
        <f ca="1">ROUND(C14*F18,0)</f>
        <v>#N/A</v>
      </c>
      <c r="D18" s="784" t="s">
        <v>1745</v>
      </c>
      <c r="E18" s="784" t="s">
        <v>1746</v>
      </c>
      <c r="F18" s="809">
        <f>'数据-取费表'!B36</f>
        <v>1.4999999999999999E-2</v>
      </c>
      <c r="G18" s="1594"/>
      <c r="H18" s="1649" t="s">
        <v>1830</v>
      </c>
      <c r="I18" s="784" t="s">
        <v>1754</v>
      </c>
      <c r="J18" s="53" t="e">
        <f ca="1">ROUND(J5*M18/1.05,1)</f>
        <v>#N/A</v>
      </c>
      <c r="K18" s="3182" t="s">
        <v>1755</v>
      </c>
      <c r="L18" s="784" t="s">
        <v>1746</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1823</v>
      </c>
      <c r="B19" s="784" t="s">
        <v>661</v>
      </c>
      <c r="C19" s="53" t="e">
        <f ca="1">SUM(C14:C18)</f>
        <v>#N/A</v>
      </c>
      <c r="D19" s="261" t="s">
        <v>1756</v>
      </c>
      <c r="E19" s="3184"/>
      <c r="F19" s="56"/>
      <c r="G19" s="1593"/>
      <c r="H19" s="1649" t="s">
        <v>1831</v>
      </c>
      <c r="I19" s="784" t="s">
        <v>1757</v>
      </c>
      <c r="J19" s="53" t="e">
        <f ca="1">IF(K19="按租金收入计税",ROUND(J5*M19,1),ROUND(C29*F33*0.7,1))</f>
        <v>#N/A</v>
      </c>
      <c r="K19" s="811" t="s">
        <v>664</v>
      </c>
      <c r="L19" s="784" t="s">
        <v>1746</v>
      </c>
      <c r="M19" s="809">
        <f>IF(K19="按租金收入计税",'数据-取费表'!B51,'数据-取费表'!B50)</f>
        <v>1.2E-2</v>
      </c>
    </row>
    <row r="20" spans="1:33" s="2066" customFormat="1" ht="18" customHeight="1">
      <c r="A20" s="1650" t="s">
        <v>1888</v>
      </c>
      <c r="B20" s="784" t="s">
        <v>665</v>
      </c>
      <c r="C20" s="53" t="e">
        <f ca="1">ROUND(C19*F20,0)</f>
        <v>#N/A</v>
      </c>
      <c r="D20" s="812" t="s">
        <v>1758</v>
      </c>
      <c r="E20" s="784" t="s">
        <v>1746</v>
      </c>
      <c r="F20" s="809">
        <f>'数据-取费表'!B37</f>
        <v>0.02</v>
      </c>
      <c r="G20" s="1594"/>
      <c r="H20" s="1652" t="s">
        <v>1832</v>
      </c>
      <c r="I20" s="341" t="s">
        <v>1759</v>
      </c>
      <c r="J20" s="54" t="e">
        <f ca="1">ROUND(M20*M21/10000,0)</f>
        <v>#N/A</v>
      </c>
      <c r="K20" s="814" t="s">
        <v>1760</v>
      </c>
      <c r="L20" s="784" t="s">
        <v>1761</v>
      </c>
      <c r="M20" s="640">
        <f>'数据-取费表'!B52</f>
        <v>16</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1889</v>
      </c>
      <c r="B21" s="784" t="s">
        <v>1762</v>
      </c>
      <c r="C21" s="53" t="s">
        <v>1763</v>
      </c>
      <c r="D21" s="812" t="s">
        <v>2298</v>
      </c>
      <c r="E21" s="784" t="s">
        <v>1764</v>
      </c>
      <c r="F21" s="809">
        <f>'数据-取费表'!B38</f>
        <v>0.02</v>
      </c>
      <c r="G21" s="1594"/>
      <c r="H21" s="2508"/>
      <c r="I21" s="793"/>
      <c r="J21" s="69"/>
      <c r="K21" s="816"/>
      <c r="L21" s="784" t="s">
        <v>1765</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1890</v>
      </c>
      <c r="B22" s="784" t="s">
        <v>1766</v>
      </c>
      <c r="C22" s="53"/>
      <c r="D22" s="2574" t="str">
        <f>IF(F23&lt;=1,"单利计息。","复利计息。")&amp;"建造成本、管理费用、销售费用产生的利息。"</f>
        <v>复利计息。建造成本、管理费用、销售费用产生的利息。</v>
      </c>
      <c r="E22" s="3184"/>
      <c r="F22" s="56"/>
      <c r="G22" s="1593"/>
      <c r="H22" s="1650" t="s">
        <v>1888</v>
      </c>
      <c r="I22" s="784" t="s">
        <v>1767</v>
      </c>
      <c r="J22" s="53" t="e">
        <f ca="1">ROUND(J14*M22,0)</f>
        <v>#N/A</v>
      </c>
      <c r="K22" s="3182" t="s">
        <v>1768</v>
      </c>
      <c r="L22" s="784" t="s">
        <v>1746</v>
      </c>
      <c r="M22" s="817" t="e">
        <f ca="1">INDIRECT("'数据-取费表'!Ak"&amp;$G$1)</f>
        <v>#N/A</v>
      </c>
    </row>
    <row r="23" spans="1:33" s="2066" customFormat="1" ht="18" customHeight="1">
      <c r="A23" s="1649" t="s">
        <v>1830</v>
      </c>
      <c r="B23" s="784" t="s">
        <v>2437</v>
      </c>
      <c r="C23" s="53" t="e">
        <f ca="1">ROUND(IF('数据-取费表'!B22&lt;=1,(C19+C20)*F24*F23/2,(C19+C20)*(POWER((1+F24),F23/2)-1)),0)</f>
        <v>#N/A</v>
      </c>
      <c r="D23" s="2573" t="str">
        <f>IF(F23&lt;=1,"(建造成本+管理费用)×利率×(建设周期÷2)","(建造成本+管理费用)×((1+利率)^(建设周期÷2)-1)")</f>
        <v>(建造成本+管理费用)×((1+利率)^(建设周期÷2)-1)</v>
      </c>
      <c r="E23" s="784" t="s">
        <v>1769</v>
      </c>
      <c r="F23" s="640">
        <f>'数据-取费表'!B20</f>
        <v>2</v>
      </c>
      <c r="G23" s="1594"/>
      <c r="H23" s="1650" t="s">
        <v>1889</v>
      </c>
      <c r="I23" s="784" t="s">
        <v>678</v>
      </c>
      <c r="J23" s="53" t="e">
        <f ca="1">ROUND(J13*M23,0)</f>
        <v>#N/A</v>
      </c>
      <c r="K23" s="3182" t="s">
        <v>1770</v>
      </c>
      <c r="L23" s="784" t="s">
        <v>1746</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1831</v>
      </c>
      <c r="B24" s="784" t="s">
        <v>1771</v>
      </c>
      <c r="C24" s="53">
        <f ca="1">ROUND(IF('数据-取费表'!B22&lt;=1,F21*F24*F23/2,F21*(POWER((1+F24),F23/2)-1)),4)</f>
        <v>1E-3</v>
      </c>
      <c r="D24" s="2573" t="str">
        <f>IF(F23&lt;=1,"销售费用×利率×(建设周期÷2)","销售费用×((1+利率)^(建设周期÷2)-1)")</f>
        <v>销售费用×((1+利率)^(建设周期÷2)-1)</v>
      </c>
      <c r="E24" s="784" t="s">
        <v>1772</v>
      </c>
      <c r="F24" s="819">
        <f ca="1">'数据-取费表'!B40</f>
        <v>4.7500000000000001E-2</v>
      </c>
      <c r="G24" s="1594"/>
      <c r="H24" s="2553" t="s">
        <v>1890</v>
      </c>
      <c r="I24" s="2548" t="s">
        <v>665</v>
      </c>
      <c r="J24" s="2546" t="e">
        <f ca="1">ROUND(J5*M24,0)</f>
        <v>#N/A</v>
      </c>
      <c r="K24" s="2547" t="s">
        <v>1773</v>
      </c>
      <c r="L24" s="2548" t="s">
        <v>1746</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1839</v>
      </c>
      <c r="B25" s="784" t="s">
        <v>683</v>
      </c>
      <c r="C25" s="53"/>
      <c r="D25" s="261" t="s">
        <v>1774</v>
      </c>
      <c r="E25" s="3184"/>
      <c r="F25" s="56"/>
      <c r="G25" s="1593"/>
      <c r="H25" s="1831" t="s">
        <v>1775</v>
      </c>
      <c r="I25" s="3012" t="s">
        <v>2820</v>
      </c>
      <c r="J25" s="792" t="e">
        <f ca="1">J5-J16</f>
        <v>#N/A</v>
      </c>
      <c r="K25" s="2550" t="s">
        <v>1776</v>
      </c>
      <c r="L25" s="2551"/>
      <c r="M25" s="2552"/>
    </row>
    <row r="26" spans="1:33" ht="18" customHeight="1">
      <c r="A26" s="1649" t="s">
        <v>1830</v>
      </c>
      <c r="B26" s="784" t="s">
        <v>2438</v>
      </c>
      <c r="C26" s="53" t="e">
        <f ca="1">ROUND((C19+C20)*F26,0)</f>
        <v>#N/A</v>
      </c>
      <c r="D26" s="812" t="s">
        <v>1777</v>
      </c>
      <c r="E26" s="795" t="s">
        <v>1778</v>
      </c>
      <c r="F26" s="794" t="e">
        <f ca="1">INDIRECT("'数据-取费表'!q"&amp;$G$1)</f>
        <v>#N/A</v>
      </c>
      <c r="G26" s="1593"/>
      <c r="H26" s="2504" t="s">
        <v>1779</v>
      </c>
      <c r="I26" s="2234" t="s">
        <v>2825</v>
      </c>
      <c r="J26" s="783" t="e">
        <f ca="1">IF(J5&lt;&gt;0,ROUND(J25*(1-((1+M28)/(1+M26))^M27)/(M26-M28),0),0)</f>
        <v>#N/A</v>
      </c>
      <c r="K26" s="814" t="s">
        <v>1780</v>
      </c>
      <c r="L26" s="784" t="s">
        <v>2419</v>
      </c>
      <c r="M26" s="794" t="e">
        <f ca="1">INDIRECT("'数据-取费表'!I"&amp;$G$1)</f>
        <v>#N/A</v>
      </c>
    </row>
    <row r="27" spans="1:33" ht="18" customHeight="1">
      <c r="A27" s="1649" t="s">
        <v>1831</v>
      </c>
      <c r="B27" s="784" t="s">
        <v>685</v>
      </c>
      <c r="C27" s="53" t="e">
        <f ca="1">ROUND(F21*F26,4)</f>
        <v>#N/A</v>
      </c>
      <c r="D27" s="812" t="s">
        <v>1781</v>
      </c>
      <c r="E27" s="806"/>
      <c r="F27" s="807"/>
      <c r="G27" s="1593"/>
      <c r="H27" s="2505"/>
      <c r="I27" s="787"/>
      <c r="J27" s="788"/>
      <c r="K27" s="821" t="s">
        <v>1782</v>
      </c>
      <c r="L27" s="784" t="s">
        <v>1783</v>
      </c>
      <c r="M27" s="822" t="e">
        <f ca="1">INDIRECT("'数据-取费表'!ag"&amp;$G$1)</f>
        <v>#N/A</v>
      </c>
    </row>
    <row r="28" spans="1:33" s="2066" customFormat="1" ht="18" customHeight="1">
      <c r="A28" s="1651" t="s">
        <v>1840</v>
      </c>
      <c r="B28" s="784" t="s">
        <v>686</v>
      </c>
      <c r="C28" s="53">
        <f>ROUND(F28/(1+'数据-取费表'!C42),4)</f>
        <v>5.33E-2</v>
      </c>
      <c r="D28" s="812" t="s">
        <v>2299</v>
      </c>
      <c r="E28" s="784" t="s">
        <v>1746</v>
      </c>
      <c r="F28" s="809">
        <f>'数据-取费表'!B41</f>
        <v>5.6000000000000001E-2</v>
      </c>
      <c r="G28" s="1594"/>
      <c r="H28" s="1831"/>
      <c r="I28" s="791"/>
      <c r="J28" s="792"/>
      <c r="K28" s="816"/>
      <c r="L28" s="784" t="s">
        <v>1785</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1891</v>
      </c>
      <c r="B29" s="2543" t="s">
        <v>2300</v>
      </c>
      <c r="C29" s="2546" t="e">
        <f ca="1">ROUND((C19+C20+C23+C26)/(1-F21-C24-C27-C28),0)</f>
        <v>#N/A</v>
      </c>
      <c r="D29" s="2547"/>
      <c r="E29" s="2548"/>
      <c r="F29" s="2549"/>
      <c r="G29" s="1594"/>
      <c r="H29" s="823" t="s">
        <v>1786</v>
      </c>
      <c r="I29" s="824" t="s">
        <v>1787</v>
      </c>
      <c r="J29" s="825" t="e">
        <f ca="1">ROUND(J26/(1+F40)^F41,0)</f>
        <v>#N/A</v>
      </c>
      <c r="K29" s="826" t="s">
        <v>1788</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1747</v>
      </c>
      <c r="B30" s="1829" t="s">
        <v>1748</v>
      </c>
      <c r="C30" s="792" t="e">
        <f ca="1">ROUND(C31+C36+C37+C38,0)</f>
        <v>#N/A</v>
      </c>
      <c r="D30" s="1823" t="s">
        <v>1749</v>
      </c>
      <c r="E30" s="3183"/>
      <c r="F30" s="2493"/>
      <c r="G30" s="2064"/>
      <c r="H30" s="2067"/>
      <c r="I30" s="2068"/>
      <c r="J30" s="2069"/>
      <c r="K30" s="2070"/>
      <c r="L30" s="2071"/>
      <c r="M30" s="2072"/>
    </row>
    <row r="31" spans="1:33" ht="18" customHeight="1">
      <c r="A31" s="1650" t="s">
        <v>1823</v>
      </c>
      <c r="B31" s="784" t="s">
        <v>655</v>
      </c>
      <c r="C31" s="53" t="e">
        <f ca="1">ROUND(IF(项目基本情况!B11="自然人",C5*F31,C32+C33+C34),1)</f>
        <v>#N/A</v>
      </c>
      <c r="D31" s="3181" t="s">
        <v>1752</v>
      </c>
      <c r="E31" s="3182" t="s">
        <v>1792</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1830</v>
      </c>
      <c r="B32" s="784" t="s">
        <v>1754</v>
      </c>
      <c r="C32" s="53" t="e">
        <f ca="1">ROUND(C5*F32/1.05,1)</f>
        <v>#N/A</v>
      </c>
      <c r="D32" s="3182" t="s">
        <v>1755</v>
      </c>
      <c r="E32" s="784" t="s">
        <v>1746</v>
      </c>
      <c r="F32" s="809">
        <f>'数据-取费表'!B41</f>
        <v>5.6000000000000001E-2</v>
      </c>
      <c r="G32" s="2064"/>
      <c r="H32" s="2073"/>
      <c r="I32" s="2074"/>
      <c r="J32" s="2075"/>
      <c r="K32" s="2076"/>
      <c r="L32" s="2077"/>
      <c r="M32" s="2078"/>
    </row>
    <row r="33" spans="1:18" ht="18" customHeight="1">
      <c r="A33" s="1649" t="s">
        <v>1831</v>
      </c>
      <c r="B33" s="784" t="s">
        <v>1757</v>
      </c>
      <c r="C33" s="53" t="e">
        <f ca="1">IF(D33="按租金收入计税",ROUND(C5*F33,1),IF(D33="按房产原值计税",ROUND(C29*F33*0.7,1),INDIRECT("'数据-取费表'!Aj"&amp;$G$1)))</f>
        <v>#N/A</v>
      </c>
      <c r="D33" s="811" t="s">
        <v>3036</v>
      </c>
      <c r="E33" s="784" t="s">
        <v>1746</v>
      </c>
      <c r="F33" s="809">
        <f>IF(D33="按租金收入计税",'数据-取费表'!B51,'数据-取费表'!B50)</f>
        <v>0.12</v>
      </c>
      <c r="G33" s="2064"/>
      <c r="H33" s="2079"/>
      <c r="I33" s="2079"/>
      <c r="J33" s="2079"/>
      <c r="K33" s="2080"/>
      <c r="L33" s="2079"/>
      <c r="M33" s="2079"/>
    </row>
    <row r="34" spans="1:18" ht="18" customHeight="1">
      <c r="A34" s="1652" t="s">
        <v>1832</v>
      </c>
      <c r="B34" s="341" t="s">
        <v>1759</v>
      </c>
      <c r="C34" s="54" t="e">
        <f ca="1">ROUND(F34*F35/10000,1)</f>
        <v>#N/A</v>
      </c>
      <c r="D34" s="814" t="s">
        <v>1760</v>
      </c>
      <c r="E34" s="784" t="s">
        <v>1761</v>
      </c>
      <c r="F34" s="640">
        <f>'数据-取费表'!B52</f>
        <v>16</v>
      </c>
      <c r="G34" s="2064"/>
      <c r="H34" s="2067"/>
      <c r="I34" s="835" t="s">
        <v>1812</v>
      </c>
      <c r="J34" s="836"/>
      <c r="K34" s="2082"/>
      <c r="L34" s="2081"/>
      <c r="M34" s="2081"/>
    </row>
    <row r="35" spans="1:18" ht="18" customHeight="1">
      <c r="A35" s="815"/>
      <c r="B35" s="793"/>
      <c r="C35" s="69"/>
      <c r="D35" s="816"/>
      <c r="E35" s="784" t="s">
        <v>1765</v>
      </c>
      <c r="F35" s="785" t="e">
        <f ca="1">INDIRECT("'数据-取费表'!r"&amp;$G$1)</f>
        <v>#N/A</v>
      </c>
      <c r="G35" s="2064"/>
      <c r="H35" s="2067"/>
      <c r="I35" s="837" t="s">
        <v>1813</v>
      </c>
      <c r="J35" s="838" t="e">
        <f ca="1">ROUND(C13*J36,0)</f>
        <v>#N/A</v>
      </c>
      <c r="K35" s="2080"/>
      <c r="L35" s="2079"/>
      <c r="M35" s="2079"/>
    </row>
    <row r="36" spans="1:18" ht="18" customHeight="1">
      <c r="A36" s="1650" t="s">
        <v>1888</v>
      </c>
      <c r="B36" s="784" t="s">
        <v>1767</v>
      </c>
      <c r="C36" s="53" t="e">
        <f ca="1">ROUND(C29*F36,1)</f>
        <v>#N/A</v>
      </c>
      <c r="D36" s="3182" t="s">
        <v>1802</v>
      </c>
      <c r="E36" s="784" t="s">
        <v>1746</v>
      </c>
      <c r="F36" s="817" t="e">
        <f ca="1">INDIRECT("'数据-取费表'!Ak"&amp;$G$1)</f>
        <v>#N/A</v>
      </c>
      <c r="G36" s="2064"/>
      <c r="H36" s="2079"/>
      <c r="I36" s="839" t="s">
        <v>1814</v>
      </c>
      <c r="J36" s="840" t="e">
        <f ca="1">INDIRECT("'数据-取费表'!j"&amp;$G$1)</f>
        <v>#N/A</v>
      </c>
      <c r="K36" s="2084"/>
      <c r="L36" s="2079"/>
      <c r="M36" s="2079"/>
    </row>
    <row r="37" spans="1:18" ht="18" customHeight="1">
      <c r="A37" s="1650" t="s">
        <v>1889</v>
      </c>
      <c r="B37" s="784" t="s">
        <v>678</v>
      </c>
      <c r="C37" s="53" t="e">
        <f ca="1">ROUND(C13*F37,1)</f>
        <v>#N/A</v>
      </c>
      <c r="D37" s="3182" t="s">
        <v>1770</v>
      </c>
      <c r="E37" s="784" t="s">
        <v>1746</v>
      </c>
      <c r="F37" s="818" t="e">
        <f ca="1">INDIRECT("'数据-取费表'!Al"&amp;$G$1)</f>
        <v>#N/A</v>
      </c>
      <c r="G37" s="2064"/>
      <c r="H37" s="2079"/>
      <c r="I37" s="841" t="s">
        <v>1815</v>
      </c>
      <c r="J37" s="842"/>
      <c r="K37" s="2084"/>
      <c r="L37" s="2079"/>
      <c r="M37" s="2079"/>
    </row>
    <row r="38" spans="1:18" ht="18" customHeight="1" thickBot="1">
      <c r="A38" s="2553" t="s">
        <v>1890</v>
      </c>
      <c r="B38" s="2548" t="s">
        <v>665</v>
      </c>
      <c r="C38" s="2546" t="e">
        <f ca="1">ROUND(C5*F38,1)</f>
        <v>#N/A</v>
      </c>
      <c r="D38" s="2547" t="s">
        <v>1773</v>
      </c>
      <c r="E38" s="2548" t="s">
        <v>1746</v>
      </c>
      <c r="F38" s="2544" t="e">
        <f ca="1">INDIRECT("'数据-取费表'!Am"&amp;$G$1)</f>
        <v>#N/A</v>
      </c>
      <c r="G38" s="2064"/>
      <c r="H38" s="2079"/>
      <c r="I38" s="843" t="s">
        <v>1816</v>
      </c>
      <c r="J38" s="844"/>
      <c r="K38" s="2085"/>
      <c r="L38" s="2079"/>
      <c r="M38" s="2079"/>
    </row>
    <row r="39" spans="1:18" ht="24.6" customHeight="1" thickTop="1">
      <c r="A39" s="1831" t="s">
        <v>1775</v>
      </c>
      <c r="B39" s="3012" t="s">
        <v>2820</v>
      </c>
      <c r="C39" s="792" t="e">
        <f ca="1">C5-C30</f>
        <v>#N/A</v>
      </c>
      <c r="D39" s="2550" t="s">
        <v>1776</v>
      </c>
      <c r="E39" s="2551"/>
      <c r="F39" s="2552"/>
      <c r="G39" s="2064"/>
      <c r="H39" s="2079"/>
      <c r="I39" s="837" t="s">
        <v>1817</v>
      </c>
      <c r="J39" s="845" t="e">
        <f ca="1">ROUND(J35/C39,3)</f>
        <v>#N/A</v>
      </c>
      <c r="K39" s="2085"/>
      <c r="L39" s="2079"/>
      <c r="M39" s="2079"/>
    </row>
    <row r="40" spans="1:18" ht="18" customHeight="1">
      <c r="A40" s="781" t="s">
        <v>1779</v>
      </c>
      <c r="B40" s="2234" t="s">
        <v>2301</v>
      </c>
      <c r="C40" s="783" t="e">
        <f ca="1">ROUND(C39*(1-((1+F42)/(1+F40))^F41)/(F40-F42),0)</f>
        <v>#N/A</v>
      </c>
      <c r="D40" s="814" t="s">
        <v>1780</v>
      </c>
      <c r="E40" s="784" t="s">
        <v>2419</v>
      </c>
      <c r="F40" s="794" t="e">
        <f ca="1">INDIRECT("'数据-取费表'!I"&amp;$G$1)</f>
        <v>#N/A</v>
      </c>
      <c r="G40" s="2064"/>
      <c r="H40" s="2064"/>
      <c r="I40" s="837" t="s">
        <v>1818</v>
      </c>
      <c r="J40" s="845" t="e">
        <f ca="1">1-J39</f>
        <v>#N/A</v>
      </c>
      <c r="K40" s="2085"/>
      <c r="L40" s="2064"/>
      <c r="M40" s="2064"/>
    </row>
    <row r="41" spans="1:18" ht="18" customHeight="1">
      <c r="A41" s="786"/>
      <c r="B41" s="787"/>
      <c r="C41" s="788"/>
      <c r="D41" s="821" t="s">
        <v>1807</v>
      </c>
      <c r="E41" s="784" t="s">
        <v>1783</v>
      </c>
      <c r="F41" s="822" t="e">
        <f ca="1">IF(INDIRECT("'数据-取费表'!af"&amp;$G$1)=0,INDIRECT("'数据-取费表'!ae"&amp;$G$1),INDIRECT("'数据-取费表'!af"&amp;$G$1))</f>
        <v>#N/A</v>
      </c>
      <c r="G41" s="2064"/>
      <c r="H41" s="1990"/>
      <c r="I41" s="843" t="s">
        <v>1819</v>
      </c>
      <c r="J41" s="846"/>
      <c r="K41" s="2084"/>
      <c r="L41" s="1990"/>
      <c r="M41" s="1990"/>
    </row>
    <row r="42" spans="1:18" ht="18" customHeight="1">
      <c r="A42" s="790"/>
      <c r="B42" s="791"/>
      <c r="C42" s="792"/>
      <c r="D42" s="816"/>
      <c r="E42" s="784" t="s">
        <v>1785</v>
      </c>
      <c r="F42" s="794" t="e">
        <f ca="1">INDIRECT("'数据-取费表'!v"&amp;$G$1)</f>
        <v>#N/A</v>
      </c>
      <c r="G42" s="2064"/>
      <c r="H42" s="1990"/>
      <c r="I42" s="847" t="s">
        <v>1820</v>
      </c>
      <c r="J42" s="845" t="e">
        <f ca="1">ROUND(C13/C40,3)</f>
        <v>#N/A</v>
      </c>
      <c r="K42" s="2084"/>
      <c r="L42" s="1990"/>
      <c r="M42" s="1990"/>
    </row>
    <row r="43" spans="1:18" ht="18" customHeight="1" thickBot="1">
      <c r="A43" s="823" t="s">
        <v>1786</v>
      </c>
      <c r="B43" s="824" t="s">
        <v>1809</v>
      </c>
      <c r="C43" s="825" t="e">
        <f ca="1">ROUND(C40*10000/F43,0)</f>
        <v>#N/A</v>
      </c>
      <c r="D43" s="826" t="s">
        <v>1810</v>
      </c>
      <c r="E43" s="827" t="s">
        <v>1811</v>
      </c>
      <c r="F43" s="828" t="e">
        <f ca="1">INDIRECT("'数据-取费表'!k"&amp;$G$1)</f>
        <v>#N/A</v>
      </c>
      <c r="G43" s="2064"/>
      <c r="H43" s="1990"/>
      <c r="I43" s="847" t="s">
        <v>1821</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576" t="e">
        <f ca="1">C67-C40</f>
        <v>#N/A</v>
      </c>
      <c r="D46" s="2087"/>
      <c r="E46" s="2087"/>
      <c r="F46" s="2087"/>
      <c r="I46" s="2380" t="s">
        <v>2343</v>
      </c>
      <c r="J46" s="2381"/>
      <c r="K46" s="2382"/>
      <c r="L46" s="3161">
        <f>IF(OR(M47="住宅",D1="土地（套用方法）"),0,IF(L48&gt;J51,L60,J60))</f>
        <v>0</v>
      </c>
      <c r="O46" s="2396" t="s">
        <v>2410</v>
      </c>
      <c r="P46" s="1593"/>
      <c r="Q46" s="1605"/>
      <c r="R46" s="1593"/>
    </row>
    <row r="47" spans="1:18" s="2061" customFormat="1" ht="18" customHeight="1" thickBot="1">
      <c r="A47" s="2374">
        <v>1</v>
      </c>
      <c r="B47" s="2375" t="s">
        <v>634</v>
      </c>
      <c r="C47" s="2576" t="e">
        <f ca="1">C48+C52+C54</f>
        <v>#N/A</v>
      </c>
      <c r="D47" s="2087"/>
      <c r="E47" s="2087"/>
      <c r="F47" s="2087"/>
      <c r="I47" s="3151" t="s">
        <v>2344</v>
      </c>
      <c r="J47" s="2383" t="s">
        <v>3037</v>
      </c>
      <c r="K47" s="3158" t="s">
        <v>2349</v>
      </c>
      <c r="L47" s="3162" t="e">
        <f ca="1">INDIRECT("'数据-取费表'!d"&amp;$G$1)</f>
        <v>#N/A</v>
      </c>
      <c r="M47" s="1605" t="str">
        <f>IF(ISNUMBER(FIND("住宅",C1)),"住宅","非住宅")</f>
        <v>非住宅</v>
      </c>
      <c r="O47" s="2397" t="s">
        <v>2375</v>
      </c>
      <c r="P47" s="2398" t="s">
        <v>2376</v>
      </c>
      <c r="Q47" s="2399" t="s">
        <v>2377</v>
      </c>
      <c r="R47" s="2398" t="s">
        <v>2378</v>
      </c>
    </row>
    <row r="48" spans="1:18" s="2061" customFormat="1" ht="18" customHeight="1" thickBot="1">
      <c r="A48" s="2644" t="s">
        <v>1869</v>
      </c>
      <c r="B48" s="2645" t="s">
        <v>2536</v>
      </c>
      <c r="C48" s="2376" t="e">
        <f ca="1">ROUND(F48*F50*F49*(1-F51)/10000,0)</f>
        <v>#N/A</v>
      </c>
      <c r="D48" s="2377" t="s">
        <v>635</v>
      </c>
      <c r="E48" s="2378" t="s">
        <v>2296</v>
      </c>
      <c r="F48" s="2379"/>
      <c r="G48" s="2092"/>
      <c r="I48" s="3127" t="s">
        <v>2345</v>
      </c>
      <c r="J48" s="2384" t="s">
        <v>2350</v>
      </c>
      <c r="K48" s="3159" t="s">
        <v>2351</v>
      </c>
      <c r="L48" s="1910" t="e">
        <f ca="1">INDIRECT("'数据-取费表'!f"&amp;$G$1)</f>
        <v>#N/A</v>
      </c>
      <c r="O48" s="2400" t="s">
        <v>2379</v>
      </c>
      <c r="P48" s="2401" t="s">
        <v>2405</v>
      </c>
      <c r="Q48" s="2402" t="e">
        <f ca="1">C40+J29</f>
        <v>#N/A</v>
      </c>
      <c r="R48" s="2401" t="s">
        <v>2380</v>
      </c>
    </row>
    <row r="49" spans="1:18" s="2061" customFormat="1" ht="18" customHeight="1" thickBot="1">
      <c r="A49" s="786"/>
      <c r="B49" s="787"/>
      <c r="C49" s="788"/>
      <c r="D49" s="789"/>
      <c r="E49" s="784" t="s">
        <v>1738</v>
      </c>
      <c r="F49" s="785" t="e">
        <f ca="1">F7</f>
        <v>#N/A</v>
      </c>
      <c r="G49" s="2092"/>
      <c r="H49" s="2095"/>
      <c r="I49" s="3127" t="s">
        <v>2346</v>
      </c>
      <c r="J49" s="2385">
        <v>2021</v>
      </c>
      <c r="K49" s="3160" t="s">
        <v>2352</v>
      </c>
      <c r="L49" s="2386"/>
      <c r="O49" s="2400" t="s">
        <v>2381</v>
      </c>
      <c r="P49" s="2401" t="s">
        <v>2406</v>
      </c>
      <c r="Q49" s="2402" t="e">
        <f ca="1">J60</f>
        <v>#N/A</v>
      </c>
      <c r="R49" s="2401" t="s">
        <v>2382</v>
      </c>
    </row>
    <row r="50" spans="1:18" s="2061" customFormat="1" ht="18" customHeight="1" thickBot="1">
      <c r="A50" s="786"/>
      <c r="B50" s="787"/>
      <c r="C50" s="788"/>
      <c r="D50" s="789"/>
      <c r="E50" s="784" t="s">
        <v>1739</v>
      </c>
      <c r="F50" s="785" t="e">
        <f ca="1">F8</f>
        <v>#N/A</v>
      </c>
      <c r="G50" s="2097"/>
      <c r="H50" s="2095"/>
      <c r="I50" s="3127" t="s">
        <v>2347</v>
      </c>
      <c r="J50" s="3155">
        <f>SUMPRODUCT((I63:I65=J47)*(J62:L62=J48)*(J63:L65))</f>
        <v>60</v>
      </c>
      <c r="K50" s="3160" t="s">
        <v>2353</v>
      </c>
      <c r="L50" s="2386"/>
      <c r="O50" s="2403" t="s">
        <v>2383</v>
      </c>
      <c r="P50" s="2401" t="s">
        <v>2407</v>
      </c>
      <c r="Q50" s="2402" t="e">
        <f ca="1">C29</f>
        <v>#N/A</v>
      </c>
      <c r="R50" s="2401" t="s">
        <v>2380</v>
      </c>
    </row>
    <row r="51" spans="1:18" s="2061" customFormat="1" ht="18" customHeight="1" thickBot="1">
      <c r="A51" s="786"/>
      <c r="B51" s="787"/>
      <c r="C51" s="788"/>
      <c r="D51" s="789"/>
      <c r="E51" s="784" t="s">
        <v>639</v>
      </c>
      <c r="F51" s="2373"/>
      <c r="H51" s="2095"/>
      <c r="I51" s="3152" t="s">
        <v>2348</v>
      </c>
      <c r="J51" s="3156">
        <f>IF(J49="",J50,J49+J50-YEAR('数据-取费表'!B2))</f>
        <v>63</v>
      </c>
      <c r="K51" s="3127" t="s">
        <v>2354</v>
      </c>
      <c r="L51" s="3163" t="e">
        <f ca="1">ROUND(-PV(INDIRECT("'数据-取费表'!h"&amp;$G$1),L48,(C39-C13*J36),0),0)</f>
        <v>#N/A</v>
      </c>
      <c r="O51" s="2403" t="s">
        <v>2384</v>
      </c>
      <c r="P51" s="2401" t="s">
        <v>2385</v>
      </c>
      <c r="Q51" s="2404" t="e">
        <f ca="1">J58</f>
        <v>#N/A</v>
      </c>
      <c r="R51" s="2405"/>
    </row>
    <row r="52" spans="1:18" s="2061" customFormat="1" ht="18" customHeight="1" thickBot="1">
      <c r="A52" s="781" t="s">
        <v>2534</v>
      </c>
      <c r="B52" s="2496" t="s">
        <v>2457</v>
      </c>
      <c r="C52" s="799">
        <f ca="1">ROUND(IF(F52="押一",C48/12*F11,IF(F52="押二",C48/12*2*F11,IF(F52="押三",C48/12*3*F11,C53*F11))),0)</f>
        <v>0</v>
      </c>
      <c r="D52" s="2503" t="s">
        <v>2971</v>
      </c>
      <c r="E52" s="2500" t="s">
        <v>2462</v>
      </c>
      <c r="F52" s="2623"/>
      <c r="I52" s="3153" t="s">
        <v>2421</v>
      </c>
      <c r="J52" s="2387">
        <v>0.09</v>
      </c>
      <c r="K52" s="3153" t="s">
        <v>2420</v>
      </c>
      <c r="L52" s="2387"/>
      <c r="O52" s="2403" t="s">
        <v>2386</v>
      </c>
      <c r="P52" s="2401" t="s">
        <v>2387</v>
      </c>
      <c r="Q52" s="2404">
        <f>J52</f>
        <v>0.09</v>
      </c>
      <c r="R52" s="2405"/>
    </row>
    <row r="53" spans="1:18" s="2061" customFormat="1" ht="39.75" customHeight="1" thickBot="1">
      <c r="A53" s="786"/>
      <c r="B53" s="2497" t="s">
        <v>2571</v>
      </c>
      <c r="C53" s="2501"/>
      <c r="D53" s="2503"/>
      <c r="E53" s="2500"/>
      <c r="F53" s="800"/>
      <c r="I53" s="3154" t="s">
        <v>2976</v>
      </c>
      <c r="J53" s="3157" t="e">
        <f ca="1">IF(M47="住宅",IF(D1="——",MAX(J51,L48),MAX(J51,L48-'数据-取费表'!B20)),IF(D1="——",MIN(J51,L48),MIN(J51,L48-'数据-取费表'!B20)))</f>
        <v>#N/A</v>
      </c>
      <c r="K53" s="3476" t="s">
        <v>2963</v>
      </c>
      <c r="L53" s="3477"/>
      <c r="O53" s="2403" t="s">
        <v>2388</v>
      </c>
      <c r="P53" s="2401" t="s">
        <v>2389</v>
      </c>
      <c r="Q53" s="2402" t="e">
        <f ca="1">J53</f>
        <v>#N/A</v>
      </c>
      <c r="R53" s="2401" t="s">
        <v>2390</v>
      </c>
    </row>
    <row r="54" spans="1:18" s="2061" customFormat="1" ht="18" customHeight="1" thickBot="1">
      <c r="A54" s="2539" t="s">
        <v>2465</v>
      </c>
      <c r="B54" s="2540" t="s">
        <v>2458</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2391</v>
      </c>
      <c r="P54" s="2401" t="s">
        <v>2408</v>
      </c>
      <c r="Q54" s="2402" t="e">
        <f ca="1">Q48+Q49</f>
        <v>#N/A</v>
      </c>
      <c r="R54" s="2405" t="s">
        <v>2392</v>
      </c>
    </row>
    <row r="55" spans="1:18" s="2061" customFormat="1" ht="18" customHeight="1" thickTop="1" thickBot="1">
      <c r="A55" s="797">
        <v>2</v>
      </c>
      <c r="B55" s="798" t="s">
        <v>643</v>
      </c>
      <c r="C55" s="799" t="e">
        <f ca="1">C13</f>
        <v>#N/A</v>
      </c>
      <c r="D55" s="795"/>
      <c r="E55" s="795"/>
      <c r="F55" s="800"/>
      <c r="I55" s="3166" t="s">
        <v>2355</v>
      </c>
      <c r="J55" s="3102" t="e">
        <f ca="1">ROUND(IF(J47="钢混",J57/J50,1-(1-2%)*(J50-J57)/J50),3)</f>
        <v>#N/A</v>
      </c>
      <c r="K55" s="3167" t="s">
        <v>2356</v>
      </c>
      <c r="L55" s="2388"/>
      <c r="O55" s="2406" t="s">
        <v>2411</v>
      </c>
      <c r="P55" s="1593"/>
      <c r="Q55" s="1605"/>
      <c r="R55" s="1593"/>
    </row>
    <row r="56" spans="1:18" s="2061" customFormat="1" ht="42.75" customHeight="1" thickBot="1">
      <c r="A56" s="1651"/>
      <c r="B56" s="2233" t="s">
        <v>2300</v>
      </c>
      <c r="C56" s="53" t="e">
        <f ca="1">C29</f>
        <v>#N/A</v>
      </c>
      <c r="D56" s="3182"/>
      <c r="E56" s="784"/>
      <c r="F56" s="809"/>
      <c r="I56" s="3168" t="s">
        <v>2357</v>
      </c>
      <c r="J56" s="3178" t="s">
        <v>1678</v>
      </c>
      <c r="K56" s="3127" t="s">
        <v>2362</v>
      </c>
      <c r="L56" s="1910" t="e">
        <f ca="1">IF(L48&lt;J51,"——",L48-J51)</f>
        <v>#N/A</v>
      </c>
      <c r="O56" s="2397" t="s">
        <v>2375</v>
      </c>
      <c r="P56" s="2398" t="s">
        <v>2376</v>
      </c>
      <c r="Q56" s="2399" t="s">
        <v>2377</v>
      </c>
      <c r="R56" s="2398" t="s">
        <v>2378</v>
      </c>
    </row>
    <row r="57" spans="1:18" s="2061" customFormat="1" ht="28.5" customHeight="1" thickBot="1">
      <c r="A57" s="797" t="s">
        <v>1747</v>
      </c>
      <c r="B57" s="798" t="s">
        <v>650</v>
      </c>
      <c r="C57" s="799" t="e">
        <f ca="1">ROUND(C58+C63+C64+C65,0)</f>
        <v>#N/A</v>
      </c>
      <c r="D57" s="26" t="s">
        <v>1749</v>
      </c>
      <c r="E57" s="3184"/>
      <c r="F57" s="56"/>
      <c r="I57" s="3169" t="s">
        <v>2358</v>
      </c>
      <c r="J57" s="3170" t="e">
        <f ca="1">IF(OR(M47="住宅",J51&lt;L48,J56="是"),"——",J51-L48)</f>
        <v>#N/A</v>
      </c>
      <c r="K57" s="3127" t="s">
        <v>2363</v>
      </c>
      <c r="L57" s="1910" t="e">
        <f ca="1">IF(L48&lt;J51,"——",IF(L55="比较法",L49,IF(L55="基准地价",L50,L51)))</f>
        <v>#N/A</v>
      </c>
      <c r="O57" s="2400" t="s">
        <v>2379</v>
      </c>
      <c r="P57" s="2401" t="s">
        <v>2405</v>
      </c>
      <c r="Q57" s="2402" t="e">
        <f ca="1">C40+J29</f>
        <v>#N/A</v>
      </c>
      <c r="R57" s="2401" t="s">
        <v>2380</v>
      </c>
    </row>
    <row r="58" spans="1:18" s="2061" customFormat="1" ht="28.5" customHeight="1" thickBot="1">
      <c r="A58" s="1650" t="s">
        <v>1823</v>
      </c>
      <c r="B58" s="784" t="s">
        <v>655</v>
      </c>
      <c r="C58" s="53" t="e">
        <f ca="1">ROUND(IF(项目基本情况!B11="自然人",C47*F58,C59+C60+C61),1)</f>
        <v>#N/A</v>
      </c>
      <c r="D58" s="3181" t="s">
        <v>656</v>
      </c>
      <c r="E58" s="3182" t="s">
        <v>689</v>
      </c>
      <c r="F58" s="810" t="str">
        <f ca="1">IF(项目基本情况!B11="企业","",IF(INDIRECT("'数据-取费表'!c"&amp;$G$1)="住宅",5%,IF(F48*F49*F50/12/(1+'数据-取费表'!C42)&gt;20000,12%,7%)))</f>
        <v/>
      </c>
      <c r="I58" s="3169" t="s">
        <v>2359</v>
      </c>
      <c r="J58" s="3103" t="e">
        <f ca="1">IF(J55&lt;0.4,0.4,J55)</f>
        <v>#N/A</v>
      </c>
      <c r="K58" s="3127" t="s">
        <v>2364</v>
      </c>
      <c r="L58" s="1910" t="e">
        <f ca="1">ROUND(POWER(1+L52,L47-L48)*(POWER(1+L52,L48)-1)/(POWER(1+L52,L47)-1),4)</f>
        <v>#N/A</v>
      </c>
      <c r="O58" s="2400" t="s">
        <v>2381</v>
      </c>
      <c r="P58" s="2401" t="s">
        <v>2412</v>
      </c>
      <c r="Q58" s="2402" t="e">
        <f ca="1">L60</f>
        <v>#N/A</v>
      </c>
      <c r="R58" s="2405" t="s">
        <v>2414</v>
      </c>
    </row>
    <row r="59" spans="1:18" s="2061" customFormat="1" ht="28.5" customHeight="1" thickBot="1">
      <c r="A59" s="1649" t="s">
        <v>1830</v>
      </c>
      <c r="B59" s="784" t="s">
        <v>659</v>
      </c>
      <c r="C59" s="53" t="e">
        <f ca="1">ROUND(C47*F59/1.05,1)</f>
        <v>#N/A</v>
      </c>
      <c r="D59" s="3182" t="s">
        <v>1755</v>
      </c>
      <c r="E59" s="784" t="s">
        <v>1746</v>
      </c>
      <c r="F59" s="809">
        <f t="shared" ref="F59:F65" si="0">F32</f>
        <v>5.6000000000000001E-2</v>
      </c>
      <c r="I59" s="3169" t="s">
        <v>2360</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#N/A</v>
      </c>
      <c r="O59" s="2403" t="s">
        <v>2383</v>
      </c>
      <c r="P59" s="2401" t="s">
        <v>2413</v>
      </c>
      <c r="Q59" s="2402">
        <f>IF(L55="比较法",L49,IF(L55="基准地价",L50,0))</f>
        <v>0</v>
      </c>
      <c r="R59" s="2401" t="s">
        <v>2380</v>
      </c>
    </row>
    <row r="60" spans="1:18" s="2061" customFormat="1" ht="18" customHeight="1" thickBot="1">
      <c r="A60" s="1649" t="s">
        <v>1831</v>
      </c>
      <c r="B60" s="784" t="s">
        <v>1757</v>
      </c>
      <c r="C60" s="53" t="e">
        <f ca="1">IF(D60="按租金收入计税",ROUND(C47*F60,1),IF(D60="按房产原值计税",ROUND(C56*F60*0.7,1),INDIRECT("'数据-取费表'!Aj"&amp;$G$1)))</f>
        <v>#N/A</v>
      </c>
      <c r="D60" s="3182" t="str">
        <f>D33</f>
        <v>按租金收入计税</v>
      </c>
      <c r="E60" s="784" t="s">
        <v>1746</v>
      </c>
      <c r="F60" s="809">
        <f t="shared" si="0"/>
        <v>0.12</v>
      </c>
      <c r="I60" s="3171" t="s">
        <v>2361</v>
      </c>
      <c r="J60" s="3172" t="e">
        <f ca="1">IF(OR(M47="住宅",J51&lt;L48,J56="是"),"0",ROUND(J59/(1+J52)^J53,0))</f>
        <v>#N/A</v>
      </c>
      <c r="K60" s="3173" t="s">
        <v>2366</v>
      </c>
      <c r="L60" s="3172" t="e">
        <f ca="1">IF(OR(M47="住宅",L48&lt;J51),0,ROUND(L57*(L58/L59-1),0))</f>
        <v>#N/A</v>
      </c>
      <c r="O60" s="2403" t="s">
        <v>2384</v>
      </c>
      <c r="P60" s="2401" t="s">
        <v>2393</v>
      </c>
      <c r="Q60" s="2404">
        <f>L52</f>
        <v>0</v>
      </c>
      <c r="R60" s="2405"/>
    </row>
    <row r="61" spans="1:18" s="2061" customFormat="1" ht="18" customHeight="1" thickBot="1">
      <c r="A61" s="1652" t="s">
        <v>1832</v>
      </c>
      <c r="B61" s="341" t="s">
        <v>667</v>
      </c>
      <c r="C61" s="54" t="e">
        <f ca="1">ROUND(F61*F62/10000,1)</f>
        <v>#N/A</v>
      </c>
      <c r="D61" s="814" t="s">
        <v>668</v>
      </c>
      <c r="E61" s="784" t="s">
        <v>669</v>
      </c>
      <c r="F61" s="640">
        <f t="shared" si="0"/>
        <v>16</v>
      </c>
      <c r="K61" s="2088"/>
      <c r="O61" s="2403" t="s">
        <v>2386</v>
      </c>
      <c r="P61" s="2401" t="s">
        <v>2394</v>
      </c>
      <c r="Q61" s="2402" t="e">
        <f ca="1">L58</f>
        <v>#N/A</v>
      </c>
      <c r="R61" s="2405" t="s">
        <v>2395</v>
      </c>
    </row>
    <row r="62" spans="1:18" s="2061" customFormat="1" ht="15.75" thickBot="1">
      <c r="A62" s="815"/>
      <c r="B62" s="793"/>
      <c r="C62" s="69"/>
      <c r="D62" s="816"/>
      <c r="E62" s="784" t="s">
        <v>673</v>
      </c>
      <c r="F62" s="785" t="e">
        <f t="shared" ca="1" si="0"/>
        <v>#N/A</v>
      </c>
      <c r="I62" s="3174" t="s">
        <v>2367</v>
      </c>
      <c r="J62" s="3175" t="s">
        <v>2368</v>
      </c>
      <c r="K62" s="3175" t="s">
        <v>2369</v>
      </c>
      <c r="L62" s="3175" t="s">
        <v>2350</v>
      </c>
      <c r="M62" s="3176" t="s">
        <v>2940</v>
      </c>
      <c r="O62" s="2403" t="s">
        <v>2388</v>
      </c>
      <c r="P62" s="2401" t="str">
        <f>K59</f>
        <v>建设期及建筑物耐用年限下的土地年期修正系数Kn</v>
      </c>
      <c r="Q62" s="2402" t="e">
        <f ca="1">L59</f>
        <v>#N/A</v>
      </c>
      <c r="R62" s="2405" t="s">
        <v>2397</v>
      </c>
    </row>
    <row r="63" spans="1:18" s="2061" customFormat="1" ht="15.75" thickBot="1">
      <c r="A63" s="1650" t="s">
        <v>1888</v>
      </c>
      <c r="B63" s="784" t="s">
        <v>675</v>
      </c>
      <c r="C63" s="53" t="e">
        <f ca="1">ROUND(C56*F63,1)</f>
        <v>#N/A</v>
      </c>
      <c r="D63" s="3182" t="s">
        <v>1802</v>
      </c>
      <c r="E63" s="784" t="s">
        <v>1746</v>
      </c>
      <c r="F63" s="817" t="e">
        <f t="shared" ca="1" si="0"/>
        <v>#N/A</v>
      </c>
      <c r="I63" s="3174" t="s">
        <v>2370</v>
      </c>
      <c r="J63" s="3175">
        <v>70</v>
      </c>
      <c r="K63" s="3175">
        <v>50</v>
      </c>
      <c r="L63" s="3175">
        <v>80</v>
      </c>
      <c r="M63" s="3177">
        <v>0.02</v>
      </c>
      <c r="O63" s="2400" t="s">
        <v>2391</v>
      </c>
      <c r="P63" s="2401" t="s">
        <v>2408</v>
      </c>
      <c r="Q63" s="2402" t="e">
        <f ca="1">Q57+Q58</f>
        <v>#N/A</v>
      </c>
      <c r="R63" s="2405" t="s">
        <v>2392</v>
      </c>
    </row>
    <row r="64" spans="1:18" s="2061" customFormat="1" ht="16.5" thickBot="1">
      <c r="A64" s="1650" t="s">
        <v>1889</v>
      </c>
      <c r="B64" s="784" t="s">
        <v>678</v>
      </c>
      <c r="C64" s="53" t="e">
        <f ca="1">ROUND(C55*F64,1)</f>
        <v>#N/A</v>
      </c>
      <c r="D64" s="3182" t="s">
        <v>679</v>
      </c>
      <c r="E64" s="784" t="s">
        <v>1746</v>
      </c>
      <c r="F64" s="818" t="e">
        <f t="shared" ca="1" si="0"/>
        <v>#N/A</v>
      </c>
      <c r="I64" s="3174" t="s">
        <v>2371</v>
      </c>
      <c r="J64" s="3175">
        <v>50</v>
      </c>
      <c r="K64" s="3175">
        <v>35</v>
      </c>
      <c r="L64" s="3175">
        <v>60</v>
      </c>
      <c r="M64" s="846">
        <v>0</v>
      </c>
      <c r="O64" s="2406" t="s">
        <v>2415</v>
      </c>
      <c r="P64" s="1593"/>
      <c r="Q64" s="1605"/>
      <c r="R64" s="1593"/>
    </row>
    <row r="65" spans="1:18" s="2061" customFormat="1" ht="15.75" thickBot="1">
      <c r="A65" s="1650" t="s">
        <v>1890</v>
      </c>
      <c r="B65" s="784" t="s">
        <v>665</v>
      </c>
      <c r="C65" s="53" t="e">
        <f ca="1">ROUND(C47*F65,1)</f>
        <v>#N/A</v>
      </c>
      <c r="D65" s="3182" t="s">
        <v>682</v>
      </c>
      <c r="E65" s="784" t="s">
        <v>1746</v>
      </c>
      <c r="F65" s="794" t="e">
        <f t="shared" ca="1" si="0"/>
        <v>#N/A</v>
      </c>
      <c r="I65" s="3174" t="s">
        <v>2372</v>
      </c>
      <c r="J65" s="3175">
        <v>40</v>
      </c>
      <c r="K65" s="3175">
        <v>30</v>
      </c>
      <c r="L65" s="3175">
        <v>50</v>
      </c>
      <c r="M65" s="3177">
        <v>0.02</v>
      </c>
      <c r="O65" s="2397" t="s">
        <v>2375</v>
      </c>
      <c r="P65" s="2398" t="s">
        <v>2376</v>
      </c>
      <c r="Q65" s="2399" t="s">
        <v>2377</v>
      </c>
      <c r="R65" s="2398" t="s">
        <v>2378</v>
      </c>
    </row>
    <row r="66" spans="1:18" s="2061" customFormat="1" ht="24.75" thickBot="1">
      <c r="A66" s="797" t="s">
        <v>1775</v>
      </c>
      <c r="B66" s="3013" t="s">
        <v>2820</v>
      </c>
      <c r="C66" s="799" t="e">
        <f ca="1">C47-C57</f>
        <v>#N/A</v>
      </c>
      <c r="D66" s="3181" t="s">
        <v>699</v>
      </c>
      <c r="E66" s="3179"/>
      <c r="F66" s="820"/>
      <c r="K66" s="2088"/>
      <c r="O66" s="2400" t="s">
        <v>2379</v>
      </c>
      <c r="P66" s="2401" t="s">
        <v>2405</v>
      </c>
      <c r="Q66" s="2402" t="e">
        <f ca="1">C40+J29</f>
        <v>#N/A</v>
      </c>
      <c r="R66" s="2401" t="s">
        <v>2380</v>
      </c>
    </row>
    <row r="67" spans="1:18" s="2061" customFormat="1" ht="20.25" thickBot="1">
      <c r="A67" s="781" t="s">
        <v>1779</v>
      </c>
      <c r="B67" s="2234" t="s">
        <v>2301</v>
      </c>
      <c r="C67" s="783" t="e">
        <f ca="1">ROUND(C66*(1-((1+F69)/(1+F67))^F68)/(F67-F69),0)</f>
        <v>#N/A</v>
      </c>
      <c r="D67" s="814" t="s">
        <v>703</v>
      </c>
      <c r="E67" s="784" t="s">
        <v>704</v>
      </c>
      <c r="F67" s="794" t="e">
        <f ca="1">F40</f>
        <v>#N/A</v>
      </c>
      <c r="K67" s="2088"/>
      <c r="O67" s="2400" t="s">
        <v>2381</v>
      </c>
      <c r="P67" s="2401" t="s">
        <v>2412</v>
      </c>
      <c r="Q67" s="2402" t="e">
        <f ca="1">L60</f>
        <v>#N/A</v>
      </c>
      <c r="R67" s="2405" t="s">
        <v>2414</v>
      </c>
    </row>
    <row r="68" spans="1:18" ht="21.75" thickBot="1">
      <c r="A68" s="786"/>
      <c r="B68" s="787"/>
      <c r="C68" s="788"/>
      <c r="D68" s="821" t="s">
        <v>1807</v>
      </c>
      <c r="E68" s="784" t="s">
        <v>1783</v>
      </c>
      <c r="F68" s="822" t="e">
        <f ca="1">F41</f>
        <v>#N/A</v>
      </c>
      <c r="O68" s="2403" t="s">
        <v>2383</v>
      </c>
      <c r="P68" s="2401" t="s">
        <v>2413</v>
      </c>
      <c r="Q68" s="2407" t="e">
        <f ca="1">L51</f>
        <v>#N/A</v>
      </c>
      <c r="R68" s="2408" t="s">
        <v>2416</v>
      </c>
    </row>
    <row r="69" spans="1:18" ht="20.25" thickBot="1">
      <c r="A69" s="790"/>
      <c r="B69" s="791"/>
      <c r="C69" s="792"/>
      <c r="D69" s="816"/>
      <c r="E69" s="784" t="s">
        <v>709</v>
      </c>
      <c r="F69" s="2373"/>
      <c r="O69" s="2403" t="s">
        <v>2384</v>
      </c>
      <c r="P69" s="2409" t="s">
        <v>2398</v>
      </c>
      <c r="Q69" s="2402" t="e">
        <f ca="1">ROUND(Q70-Q71*Q72,0)</f>
        <v>#N/A</v>
      </c>
      <c r="R69" s="2405"/>
    </row>
    <row r="70" spans="1:18" ht="15.75" thickBot="1">
      <c r="A70" s="823" t="s">
        <v>1786</v>
      </c>
      <c r="B70" s="824" t="s">
        <v>1809</v>
      </c>
      <c r="C70" s="825" t="e">
        <f ca="1">ROUND(C67*10000/F70,0)</f>
        <v>#N/A</v>
      </c>
      <c r="D70" s="826" t="s">
        <v>1810</v>
      </c>
      <c r="E70" s="827" t="s">
        <v>1811</v>
      </c>
      <c r="F70" s="828" t="e">
        <f ca="1">F43</f>
        <v>#N/A</v>
      </c>
      <c r="O70" s="2403" t="s">
        <v>2399</v>
      </c>
      <c r="P70" s="2409" t="s">
        <v>2400</v>
      </c>
      <c r="Q70" s="2402" t="e">
        <f ca="1">C39</f>
        <v>#N/A</v>
      </c>
      <c r="R70" s="2401" t="s">
        <v>2380</v>
      </c>
    </row>
    <row r="71" spans="1:18" ht="15.75" thickBot="1">
      <c r="O71" s="2403" t="s">
        <v>2401</v>
      </c>
      <c r="P71" s="2409" t="s">
        <v>2402</v>
      </c>
      <c r="Q71" s="2402" t="e">
        <f ca="1">C13</f>
        <v>#N/A</v>
      </c>
      <c r="R71" s="2401" t="s">
        <v>2380</v>
      </c>
    </row>
    <row r="72" spans="1:18" ht="15.75" thickBot="1">
      <c r="O72" s="2403" t="s">
        <v>2403</v>
      </c>
      <c r="P72" s="2409" t="s">
        <v>2404</v>
      </c>
      <c r="Q72" s="2404" t="e">
        <f ca="1">J36</f>
        <v>#N/A</v>
      </c>
      <c r="R72" s="2405"/>
    </row>
    <row r="73" spans="1:18" ht="15.75" thickBot="1">
      <c r="O73" s="2403" t="s">
        <v>2386</v>
      </c>
      <c r="P73" s="2401" t="s">
        <v>2393</v>
      </c>
      <c r="Q73" s="2404">
        <f>L52</f>
        <v>0</v>
      </c>
      <c r="R73" s="2405"/>
    </row>
    <row r="74" spans="1:18" ht="20.25" thickBot="1">
      <c r="O74" s="2403" t="s">
        <v>2388</v>
      </c>
      <c r="P74" s="2401" t="s">
        <v>2394</v>
      </c>
      <c r="Q74" s="2402" t="e">
        <f ca="1">L58</f>
        <v>#N/A</v>
      </c>
      <c r="R74" s="2405" t="s">
        <v>2395</v>
      </c>
    </row>
    <row r="75" spans="1:18" ht="15.75" thickBot="1">
      <c r="O75" s="2403" t="s">
        <v>2417</v>
      </c>
      <c r="P75" s="2401" t="str">
        <f>K59</f>
        <v>建设期及建筑物耐用年限下的土地年期修正系数Kn</v>
      </c>
      <c r="Q75" s="2402" t="e">
        <f ca="1">L59</f>
        <v>#N/A</v>
      </c>
      <c r="R75" s="2405" t="s">
        <v>2397</v>
      </c>
    </row>
    <row r="76" spans="1:18" ht="15.75" thickBot="1">
      <c r="O76" s="2400" t="s">
        <v>2391</v>
      </c>
      <c r="P76" s="2401" t="s">
        <v>2408</v>
      </c>
      <c r="Q76" s="2402" t="e">
        <f ca="1">Q66+Q67</f>
        <v>#N/A</v>
      </c>
      <c r="R76" s="240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399" t="s">
        <v>521</v>
      </c>
      <c r="D4" s="3400"/>
      <c r="E4" s="3423" t="s">
        <v>522</v>
      </c>
      <c r="F4" s="3424"/>
      <c r="G4" s="3399" t="s">
        <v>523</v>
      </c>
      <c r="H4" s="3400"/>
      <c r="I4" s="3399" t="s">
        <v>524</v>
      </c>
      <c r="J4" s="3400"/>
      <c r="K4" s="514" t="s">
        <v>525</v>
      </c>
      <c r="L4" s="2135"/>
      <c r="M4" s="2136"/>
      <c r="N4" s="2136"/>
      <c r="O4" s="2136"/>
      <c r="P4" s="3401" t="s">
        <v>526</v>
      </c>
      <c r="Q4" s="3402"/>
      <c r="R4" s="3387" t="s">
        <v>522</v>
      </c>
      <c r="S4" s="3388"/>
      <c r="T4" s="3387" t="s">
        <v>523</v>
      </c>
      <c r="U4" s="3388"/>
      <c r="V4" s="3407" t="s">
        <v>524</v>
      </c>
      <c r="W4" s="3407"/>
      <c r="X4" s="1568"/>
      <c r="Y4" s="3387" t="s">
        <v>526</v>
      </c>
      <c r="Z4" s="3388"/>
      <c r="AA4" s="3382" t="s">
        <v>522</v>
      </c>
      <c r="AB4" s="3407" t="s">
        <v>523</v>
      </c>
      <c r="AC4" s="3382" t="s">
        <v>524</v>
      </c>
    </row>
    <row r="5" spans="1:29" ht="15">
      <c r="A5" s="515"/>
      <c r="B5" s="516"/>
      <c r="C5" s="3410" t="s">
        <v>2925</v>
      </c>
      <c r="D5" s="3411"/>
      <c r="E5" s="3425" t="s">
        <v>2926</v>
      </c>
      <c r="F5" s="3426"/>
      <c r="G5" s="3410" t="s">
        <v>2927</v>
      </c>
      <c r="H5" s="3411"/>
      <c r="I5" s="3410" t="s">
        <v>2928</v>
      </c>
      <c r="J5" s="3411"/>
      <c r="K5" s="514"/>
      <c r="L5" s="2135"/>
      <c r="M5" s="2136"/>
      <c r="N5" s="2136"/>
      <c r="O5" s="2136"/>
      <c r="P5" s="3403"/>
      <c r="Q5" s="3404"/>
      <c r="R5" s="3389"/>
      <c r="S5" s="3390"/>
      <c r="T5" s="3389"/>
      <c r="U5" s="3390"/>
      <c r="V5" s="3407"/>
      <c r="W5" s="3407"/>
      <c r="X5" s="1568"/>
      <c r="Y5" s="3389"/>
      <c r="Z5" s="3390"/>
      <c r="AA5" s="3383"/>
      <c r="AB5" s="3407"/>
      <c r="AC5" s="3383"/>
    </row>
    <row r="6" spans="1:29" ht="15.75" thickBot="1">
      <c r="A6" s="517"/>
      <c r="B6" s="518"/>
      <c r="C6" s="3408" t="s">
        <v>2929</v>
      </c>
      <c r="D6" s="3409"/>
      <c r="E6" s="3427" t="s">
        <v>2929</v>
      </c>
      <c r="F6" s="3428"/>
      <c r="G6" s="3408" t="s">
        <v>2929</v>
      </c>
      <c r="H6" s="3409"/>
      <c r="I6" s="3408" t="s">
        <v>2929</v>
      </c>
      <c r="J6" s="3409"/>
      <c r="K6" s="514" t="s">
        <v>527</v>
      </c>
      <c r="L6" s="2135"/>
      <c r="M6" s="2136"/>
      <c r="N6" s="2136"/>
      <c r="O6" s="2136"/>
      <c r="P6" s="3405"/>
      <c r="Q6" s="3406"/>
      <c r="R6" s="3389"/>
      <c r="S6" s="3390"/>
      <c r="T6" s="3391"/>
      <c r="U6" s="3392"/>
      <c r="V6" s="3407"/>
      <c r="W6" s="3407"/>
      <c r="X6" s="1568"/>
      <c r="Y6" s="3391"/>
      <c r="Z6" s="3392"/>
      <c r="AA6" s="3384"/>
      <c r="AB6" s="3407"/>
      <c r="AC6" s="3384"/>
    </row>
    <row r="7" spans="1:29" s="1220" customFormat="1" ht="15.75" thickBot="1">
      <c r="A7" s="2914"/>
      <c r="B7" s="2921" t="s">
        <v>528</v>
      </c>
      <c r="C7" s="519">
        <f>'数据-取费表'!B2</f>
        <v>43446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85" t="s">
        <v>529</v>
      </c>
      <c r="Q7" s="3394"/>
      <c r="R7" s="1569" t="s">
        <v>8</v>
      </c>
      <c r="S7" s="1570">
        <f t="shared" ref="S7:S15" si="0">F7</f>
        <v>0</v>
      </c>
      <c r="T7" s="1569" t="s">
        <v>8</v>
      </c>
      <c r="U7" s="1570">
        <f t="shared" ref="U7:U15" si="1">H7</f>
        <v>0</v>
      </c>
      <c r="V7" s="1569" t="s">
        <v>8</v>
      </c>
      <c r="W7" s="1570">
        <f t="shared" ref="W7:W15" si="2">J7</f>
        <v>0</v>
      </c>
      <c r="X7" s="1571"/>
      <c r="Y7" s="3385" t="s">
        <v>529</v>
      </c>
      <c r="Z7" s="3386"/>
      <c r="AA7" s="1572" t="e">
        <f>D7/F7</f>
        <v>#DIV/0!</v>
      </c>
      <c r="AB7" s="1572" t="e">
        <f>D7/H7</f>
        <v>#DIV/0!</v>
      </c>
      <c r="AC7" s="1572" t="e">
        <f>D7/J7</f>
        <v>#DIV/0!</v>
      </c>
    </row>
    <row r="8" spans="1:29" s="1220" customFormat="1" ht="15.75" thickBot="1">
      <c r="A8" s="2915"/>
      <c r="B8" s="2922"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85" t="s">
        <v>532</v>
      </c>
      <c r="Q8" s="3386"/>
      <c r="R8" s="1569" t="s">
        <v>8</v>
      </c>
      <c r="S8" s="1570">
        <f t="shared" si="0"/>
        <v>0</v>
      </c>
      <c r="T8" s="1569" t="s">
        <v>8</v>
      </c>
      <c r="U8" s="1570">
        <f t="shared" si="1"/>
        <v>0</v>
      </c>
      <c r="V8" s="1569" t="s">
        <v>8</v>
      </c>
      <c r="W8" s="1570">
        <f t="shared" si="2"/>
        <v>0</v>
      </c>
      <c r="X8" s="1571"/>
      <c r="Y8" s="3385" t="s">
        <v>532</v>
      </c>
      <c r="Z8" s="3386"/>
      <c r="AA8" s="1572" t="e">
        <f t="shared" ref="AA8:AA46" si="3">D8/F8</f>
        <v>#DIV/0!</v>
      </c>
      <c r="AB8" s="1572" t="e">
        <f t="shared" ref="AB8:AB46" si="4">D8/H8</f>
        <v>#DIV/0!</v>
      </c>
      <c r="AC8" s="1572" t="e">
        <f t="shared" ref="AC8:AC46" si="5">D8/J8</f>
        <v>#DIV/0!</v>
      </c>
    </row>
    <row r="9" spans="1:29" s="1220" customFormat="1" ht="15">
      <c r="A9" s="2916"/>
      <c r="B9" s="2923" t="s">
        <v>2754</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93" t="s">
        <v>534</v>
      </c>
      <c r="Q9" s="1151" t="str">
        <f t="shared" ref="Q9:Q15" si="6">B9</f>
        <v>用途</v>
      </c>
      <c r="R9" s="1569" t="s">
        <v>8</v>
      </c>
      <c r="S9" s="1570">
        <f t="shared" si="0"/>
        <v>100</v>
      </c>
      <c r="T9" s="1569" t="s">
        <v>8</v>
      </c>
      <c r="U9" s="1570">
        <f t="shared" si="1"/>
        <v>100</v>
      </c>
      <c r="V9" s="1569" t="s">
        <v>8</v>
      </c>
      <c r="W9" s="1570">
        <f t="shared" si="2"/>
        <v>100</v>
      </c>
      <c r="X9" s="1571"/>
      <c r="Y9" s="3350"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93"/>
      <c r="Q11" s="1151" t="str">
        <f t="shared" si="6"/>
        <v>容积率</v>
      </c>
      <c r="R11" s="1569" t="s">
        <v>8</v>
      </c>
      <c r="S11" s="1570" t="e">
        <f t="shared" si="0"/>
        <v>#N/A</v>
      </c>
      <c r="T11" s="1569" t="s">
        <v>8</v>
      </c>
      <c r="U11" s="1570" t="e">
        <f t="shared" si="1"/>
        <v>#N/A</v>
      </c>
      <c r="V11" s="1569" t="s">
        <v>8</v>
      </c>
      <c r="W11" s="1570" t="e">
        <f t="shared" si="2"/>
        <v>#N/A</v>
      </c>
      <c r="X11" s="1571"/>
      <c r="Y11" s="335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 t="shared" si="3"/>
        <v>1</v>
      </c>
      <c r="AB14" s="1572">
        <f t="shared" si="4"/>
        <v>1</v>
      </c>
      <c r="AC14" s="1572">
        <f t="shared" si="5"/>
        <v>1</v>
      </c>
    </row>
    <row r="15" spans="1:29" ht="57">
      <c r="A15" s="2912" t="s">
        <v>2752</v>
      </c>
      <c r="B15" s="166" t="s">
        <v>540</v>
      </c>
      <c r="C15" s="867" t="str">
        <f>估价对象房地状况!C4</f>
        <v>估价对象周边商业氛围较差，人流量较小，商业繁华度一般</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395" t="s">
        <v>539</v>
      </c>
      <c r="Q15" s="1573" t="str">
        <f t="shared" si="6"/>
        <v>商业繁华度</v>
      </c>
      <c r="R15" s="1574" t="s">
        <v>8</v>
      </c>
      <c r="S15" s="1575">
        <f t="shared" si="0"/>
        <v>100</v>
      </c>
      <c r="T15" s="1574" t="s">
        <v>8</v>
      </c>
      <c r="U15" s="1575">
        <f t="shared" si="1"/>
        <v>100</v>
      </c>
      <c r="V15" s="1574" t="s">
        <v>8</v>
      </c>
      <c r="W15" s="1575">
        <f t="shared" si="2"/>
        <v>100</v>
      </c>
      <c r="X15" s="1568"/>
      <c r="Y15" s="3395"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6"/>
      <c r="Q16" s="1573"/>
      <c r="R16" s="1574"/>
      <c r="S16" s="1575"/>
      <c r="T16" s="1574"/>
      <c r="U16" s="1575"/>
      <c r="V16" s="1574"/>
      <c r="W16" s="1575"/>
      <c r="X16" s="1568"/>
      <c r="Y16" s="3396"/>
      <c r="Z16" s="1576"/>
      <c r="AA16" s="1577">
        <v>1</v>
      </c>
      <c r="AB16" s="1577">
        <v>1</v>
      </c>
      <c r="AC16" s="1577">
        <v>1</v>
      </c>
    </row>
    <row r="17" spans="1:29" ht="99.75">
      <c r="A17" s="532"/>
      <c r="B17" s="871" t="s">
        <v>295</v>
      </c>
      <c r="C17" s="872" t="str">
        <f>估价对象房地状况!C6</f>
        <v>估价对象周边道路通达状况较好、公共交通通达情况一般、停车较便捷，综合评价交通便捷度一般</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6"/>
      <c r="Q18" s="1573"/>
      <c r="R18" s="1574"/>
      <c r="S18" s="1575"/>
      <c r="T18" s="1574"/>
      <c r="U18" s="1575"/>
      <c r="V18" s="1574"/>
      <c r="W18" s="1575"/>
      <c r="X18" s="1568"/>
      <c r="Y18" s="3396"/>
      <c r="Z18" s="1576"/>
      <c r="AA18" s="1577">
        <v>1</v>
      </c>
      <c r="AB18" s="1577">
        <v>1</v>
      </c>
      <c r="AC18" s="1577">
        <v>1</v>
      </c>
    </row>
    <row r="19" spans="1:29" ht="42.75">
      <c r="A19" s="532"/>
      <c r="B19" s="2602" t="s">
        <v>2544</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396"/>
      <c r="Q20" s="1573"/>
      <c r="R20" s="1574"/>
      <c r="S20" s="1575"/>
      <c r="T20" s="1574"/>
      <c r="U20" s="1575"/>
      <c r="V20" s="1574"/>
      <c r="W20" s="1575"/>
      <c r="X20" s="1568"/>
      <c r="Y20" s="3396"/>
      <c r="Z20" s="1576"/>
      <c r="AA20" s="1577">
        <v>1</v>
      </c>
      <c r="AB20" s="1577">
        <v>1</v>
      </c>
      <c r="AC20" s="1577">
        <v>1</v>
      </c>
    </row>
    <row r="21" spans="1:29" ht="42.75">
      <c r="A21" s="532"/>
      <c r="B21" s="2595" t="s">
        <v>2556</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396"/>
      <c r="Q21" s="2581" t="str">
        <f>B21</f>
        <v>基础设施水平</v>
      </c>
      <c r="R21" s="1574" t="s">
        <v>8</v>
      </c>
      <c r="S21" s="1575">
        <f>F21</f>
        <v>100</v>
      </c>
      <c r="T21" s="1574" t="s">
        <v>8</v>
      </c>
      <c r="U21" s="1575">
        <f>H21</f>
        <v>100</v>
      </c>
      <c r="V21" s="1574" t="s">
        <v>8</v>
      </c>
      <c r="W21" s="1575">
        <f>J21</f>
        <v>100</v>
      </c>
      <c r="X21" s="2583"/>
      <c r="Y21" s="3396"/>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396"/>
      <c r="Q22" s="2581"/>
      <c r="R22" s="1574"/>
      <c r="S22" s="1575"/>
      <c r="T22" s="1574"/>
      <c r="U22" s="1575"/>
      <c r="V22" s="1574"/>
      <c r="W22" s="1575"/>
      <c r="X22" s="2583"/>
      <c r="Y22" s="3396"/>
      <c r="Z22" s="2582"/>
      <c r="AA22" s="1577">
        <v>1</v>
      </c>
      <c r="AB22" s="1577">
        <v>1</v>
      </c>
      <c r="AC22" s="1577">
        <v>1</v>
      </c>
    </row>
    <row r="23" spans="1:29" ht="57">
      <c r="A23" s="532"/>
      <c r="B23" s="871" t="s">
        <v>296</v>
      </c>
      <c r="C23" s="900" t="str">
        <f>估价对象房地状况!C9</f>
        <v>区域自然环境较好；人文环境一般；综合评价环境状况一般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396"/>
      <c r="Q23" s="1573" t="str">
        <f>B23</f>
        <v>自然及人文环境</v>
      </c>
      <c r="R23" s="1574" t="s">
        <v>8</v>
      </c>
      <c r="S23" s="1575">
        <f>F23</f>
        <v>100</v>
      </c>
      <c r="T23" s="1574" t="s">
        <v>8</v>
      </c>
      <c r="U23" s="1575">
        <f>H23</f>
        <v>100</v>
      </c>
      <c r="V23" s="1574" t="s">
        <v>8</v>
      </c>
      <c r="W23" s="1575">
        <f>J23</f>
        <v>100</v>
      </c>
      <c r="X23" s="1568"/>
      <c r="Y23" s="3396"/>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396"/>
      <c r="Q24" s="1573"/>
      <c r="R24" s="1574"/>
      <c r="S24" s="1575"/>
      <c r="T24" s="1574"/>
      <c r="U24" s="1575"/>
      <c r="V24" s="1574"/>
      <c r="W24" s="1575"/>
      <c r="X24" s="1568"/>
      <c r="Y24" s="3396"/>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396"/>
      <c r="Q25" s="1573" t="str">
        <f t="shared" ref="Q25:Q46" si="11">B25</f>
        <v>临街状况</v>
      </c>
      <c r="R25" s="1574" t="s">
        <v>8</v>
      </c>
      <c r="S25" s="1575">
        <f>F25</f>
        <v>100</v>
      </c>
      <c r="T25" s="1574" t="s">
        <v>8</v>
      </c>
      <c r="U25" s="1575">
        <f>H25</f>
        <v>100</v>
      </c>
      <c r="V25" s="1574" t="s">
        <v>8</v>
      </c>
      <c r="W25" s="1575">
        <f>J25</f>
        <v>100</v>
      </c>
      <c r="X25" s="1568"/>
      <c r="Y25" s="3396"/>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396"/>
      <c r="Q26" s="1573" t="str">
        <f t="shared" si="11"/>
        <v>平面位置/可视性</v>
      </c>
      <c r="R26" s="1574" t="s">
        <v>8</v>
      </c>
      <c r="S26" s="1575">
        <f>F26</f>
        <v>100</v>
      </c>
      <c r="T26" s="1574" t="s">
        <v>8</v>
      </c>
      <c r="U26" s="1575">
        <f>H26</f>
        <v>100</v>
      </c>
      <c r="V26" s="1574" t="s">
        <v>8</v>
      </c>
      <c r="W26" s="1575">
        <f>J26</f>
        <v>100</v>
      </c>
      <c r="X26" s="1568"/>
      <c r="Y26" s="3396"/>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396"/>
      <c r="Q27" s="1151" t="str">
        <f t="shared" si="11"/>
        <v>人流量</v>
      </c>
      <c r="R27" s="1569" t="s">
        <v>8</v>
      </c>
      <c r="S27" s="1570">
        <f>F27</f>
        <v>100</v>
      </c>
      <c r="T27" s="1569" t="s">
        <v>8</v>
      </c>
      <c r="U27" s="1570">
        <f>H27</f>
        <v>100</v>
      </c>
      <c r="V27" s="1569" t="s">
        <v>8</v>
      </c>
      <c r="W27" s="1570">
        <f>J27</f>
        <v>100</v>
      </c>
      <c r="X27" s="1571"/>
      <c r="Y27" s="3396"/>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396"/>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6"/>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396"/>
      <c r="Q29" s="1573">
        <f t="shared" si="11"/>
        <v>111</v>
      </c>
      <c r="R29" s="1574" t="s">
        <v>8</v>
      </c>
      <c r="S29" s="1575">
        <f t="shared" si="12"/>
        <v>100</v>
      </c>
      <c r="T29" s="1574" t="s">
        <v>8</v>
      </c>
      <c r="U29" s="1575">
        <f t="shared" si="13"/>
        <v>100</v>
      </c>
      <c r="V29" s="1574" t="s">
        <v>8</v>
      </c>
      <c r="W29" s="1575">
        <f t="shared" si="14"/>
        <v>100</v>
      </c>
      <c r="X29" s="1568"/>
      <c r="Y29" s="3396"/>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
      <c r="A32" s="2909" t="s">
        <v>2753</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397" t="s">
        <v>549</v>
      </c>
      <c r="Q32" s="1573" t="str">
        <f t="shared" si="11"/>
        <v>商业类型</v>
      </c>
      <c r="R32" s="1574" t="s">
        <v>8</v>
      </c>
      <c r="S32" s="1575">
        <f t="shared" si="12"/>
        <v>100</v>
      </c>
      <c r="T32" s="1574" t="s">
        <v>8</v>
      </c>
      <c r="U32" s="1575">
        <f t="shared" si="13"/>
        <v>100</v>
      </c>
      <c r="V32" s="1574" t="s">
        <v>8</v>
      </c>
      <c r="W32" s="1575">
        <f t="shared" si="14"/>
        <v>100</v>
      </c>
      <c r="X32" s="1568"/>
      <c r="Y32" s="3398"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398"/>
      <c r="Q33" s="1606" t="str">
        <f t="shared" si="11"/>
        <v>项目建筑规模</v>
      </c>
      <c r="R33" s="1578" t="s">
        <v>8</v>
      </c>
      <c r="S33" s="1579" t="e">
        <f t="shared" si="12"/>
        <v>#N/A</v>
      </c>
      <c r="T33" s="1578" t="s">
        <v>8</v>
      </c>
      <c r="U33" s="1579" t="e">
        <f t="shared" si="13"/>
        <v>#N/A</v>
      </c>
      <c r="V33" s="1578" t="s">
        <v>8</v>
      </c>
      <c r="W33" s="1579" t="e">
        <f t="shared" si="14"/>
        <v>#N/A</v>
      </c>
      <c r="X33" s="1580"/>
      <c r="Y33" s="3398"/>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398"/>
      <c r="Q34" s="1573" t="str">
        <f t="shared" si="11"/>
        <v>建筑结构</v>
      </c>
      <c r="R34" s="1574" t="s">
        <v>8</v>
      </c>
      <c r="S34" s="1575">
        <f t="shared" si="12"/>
        <v>100</v>
      </c>
      <c r="T34" s="1574" t="s">
        <v>8</v>
      </c>
      <c r="U34" s="1575">
        <f t="shared" si="13"/>
        <v>100</v>
      </c>
      <c r="V34" s="1574" t="s">
        <v>8</v>
      </c>
      <c r="W34" s="1575">
        <f t="shared" si="14"/>
        <v>100</v>
      </c>
      <c r="X34" s="1568"/>
      <c r="Y34" s="3398"/>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398"/>
      <c r="Q35" s="1573" t="str">
        <f t="shared" si="11"/>
        <v>公共部分装修</v>
      </c>
      <c r="R35" s="1574" t="s">
        <v>8</v>
      </c>
      <c r="S35" s="1575">
        <f t="shared" si="12"/>
        <v>100</v>
      </c>
      <c r="T35" s="1574" t="s">
        <v>8</v>
      </c>
      <c r="U35" s="1575">
        <f t="shared" si="13"/>
        <v>100</v>
      </c>
      <c r="V35" s="1574" t="s">
        <v>8</v>
      </c>
      <c r="W35" s="1575">
        <f t="shared" si="14"/>
        <v>100</v>
      </c>
      <c r="X35" s="1568"/>
      <c r="Y35" s="3398"/>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398"/>
      <c r="Q36" s="1573" t="str">
        <f t="shared" si="11"/>
        <v>成新度</v>
      </c>
      <c r="R36" s="1574" t="s">
        <v>8</v>
      </c>
      <c r="S36" s="1575" t="e">
        <f t="shared" si="12"/>
        <v>#N/A</v>
      </c>
      <c r="T36" s="1574" t="s">
        <v>8</v>
      </c>
      <c r="U36" s="1575" t="e">
        <f t="shared" si="13"/>
        <v>#N/A</v>
      </c>
      <c r="V36" s="1574" t="s">
        <v>8</v>
      </c>
      <c r="W36" s="1575" t="e">
        <f t="shared" si="14"/>
        <v>#N/A</v>
      </c>
      <c r="X36" s="1568"/>
      <c r="Y36" s="3398"/>
      <c r="Z36" s="1576" t="str">
        <f t="shared" si="15"/>
        <v>成新度</v>
      </c>
      <c r="AA36" s="1577" t="e">
        <f t="shared" si="3"/>
        <v>#N/A</v>
      </c>
      <c r="AB36" s="1577" t="e">
        <f t="shared" si="4"/>
        <v>#N/A</v>
      </c>
      <c r="AC36" s="1577" t="e">
        <f t="shared" si="5"/>
        <v>#N/A</v>
      </c>
    </row>
    <row r="37" spans="1:29" s="1220" customFormat="1" ht="15">
      <c r="A37" s="600"/>
      <c r="B37" s="1897"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398"/>
      <c r="Q37" s="1151" t="str">
        <f t="shared" si="11"/>
        <v>市政基础设施</v>
      </c>
      <c r="R37" s="1569" t="s">
        <v>8</v>
      </c>
      <c r="S37" s="1570">
        <f t="shared" si="12"/>
        <v>100</v>
      </c>
      <c r="T37" s="1569" t="s">
        <v>8</v>
      </c>
      <c r="U37" s="1570">
        <f t="shared" si="13"/>
        <v>100</v>
      </c>
      <c r="V37" s="1569" t="s">
        <v>8</v>
      </c>
      <c r="W37" s="1570">
        <f t="shared" si="14"/>
        <v>100</v>
      </c>
      <c r="X37" s="1571"/>
      <c r="Y37" s="3398"/>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398" t="s">
        <v>765</v>
      </c>
      <c r="Q38" s="1573" t="str">
        <f t="shared" si="11"/>
        <v>业态</v>
      </c>
      <c r="R38" s="1574" t="s">
        <v>8</v>
      </c>
      <c r="S38" s="1575">
        <f t="shared" si="12"/>
        <v>100</v>
      </c>
      <c r="T38" s="1574" t="s">
        <v>8</v>
      </c>
      <c r="U38" s="1575">
        <f t="shared" si="13"/>
        <v>100</v>
      </c>
      <c r="V38" s="1574" t="s">
        <v>8</v>
      </c>
      <c r="W38" s="1575">
        <f t="shared" si="14"/>
        <v>100</v>
      </c>
      <c r="X38" s="1568"/>
      <c r="Y38" s="3398"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398"/>
      <c r="Q39" s="1573" t="str">
        <f t="shared" si="11"/>
        <v>层高</v>
      </c>
      <c r="R39" s="1574" t="s">
        <v>8</v>
      </c>
      <c r="S39" s="1575">
        <f t="shared" si="12"/>
        <v>100</v>
      </c>
      <c r="T39" s="1574" t="s">
        <v>8</v>
      </c>
      <c r="U39" s="1575">
        <f t="shared" si="13"/>
        <v>100</v>
      </c>
      <c r="V39" s="1574" t="s">
        <v>8</v>
      </c>
      <c r="W39" s="1575">
        <f t="shared" si="14"/>
        <v>100</v>
      </c>
      <c r="X39" s="1568"/>
      <c r="Y39" s="3398"/>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398"/>
      <c r="Q40" s="1573" t="str">
        <f t="shared" si="11"/>
        <v>单套建筑面积</v>
      </c>
      <c r="R40" s="1574" t="s">
        <v>8</v>
      </c>
      <c r="S40" s="1575">
        <f t="shared" si="12"/>
        <v>100</v>
      </c>
      <c r="T40" s="1574" t="s">
        <v>8</v>
      </c>
      <c r="U40" s="1575">
        <f t="shared" si="13"/>
        <v>100</v>
      </c>
      <c r="V40" s="1574" t="s">
        <v>8</v>
      </c>
      <c r="W40" s="1575">
        <f t="shared" si="14"/>
        <v>100</v>
      </c>
      <c r="X40" s="1568"/>
      <c r="Y40" s="3398"/>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398"/>
      <c r="Q41" s="1606" t="str">
        <f t="shared" si="11"/>
        <v>进深比</v>
      </c>
      <c r="R41" s="1578" t="s">
        <v>8</v>
      </c>
      <c r="S41" s="1579">
        <f t="shared" si="12"/>
        <v>100</v>
      </c>
      <c r="T41" s="1578" t="s">
        <v>8</v>
      </c>
      <c r="U41" s="1579">
        <f t="shared" si="13"/>
        <v>100</v>
      </c>
      <c r="V41" s="1578" t="s">
        <v>8</v>
      </c>
      <c r="W41" s="1579">
        <f t="shared" si="14"/>
        <v>100</v>
      </c>
      <c r="X41" s="1580"/>
      <c r="Y41" s="3398"/>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398"/>
      <c r="Q42" s="1573" t="str">
        <f t="shared" si="11"/>
        <v>内部装修</v>
      </c>
      <c r="R42" s="1574" t="s">
        <v>8</v>
      </c>
      <c r="S42" s="1575">
        <f t="shared" si="12"/>
        <v>100</v>
      </c>
      <c r="T42" s="1574" t="s">
        <v>8</v>
      </c>
      <c r="U42" s="1575">
        <f t="shared" si="13"/>
        <v>100</v>
      </c>
      <c r="V42" s="1574" t="s">
        <v>8</v>
      </c>
      <c r="W42" s="1575">
        <f t="shared" si="14"/>
        <v>100</v>
      </c>
      <c r="X42" s="1568"/>
      <c r="Y42" s="3398"/>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398"/>
      <c r="Q43" s="1573" t="str">
        <f t="shared" si="11"/>
        <v>内部装修维护情况</v>
      </c>
      <c r="R43" s="1574" t="s">
        <v>8</v>
      </c>
      <c r="S43" s="1575">
        <f t="shared" si="12"/>
        <v>100</v>
      </c>
      <c r="T43" s="1574" t="s">
        <v>8</v>
      </c>
      <c r="U43" s="1575">
        <f t="shared" si="13"/>
        <v>100</v>
      </c>
      <c r="V43" s="1574" t="s">
        <v>8</v>
      </c>
      <c r="W43" s="1575">
        <f t="shared" si="14"/>
        <v>100</v>
      </c>
      <c r="X43" s="1568"/>
      <c r="Y43" s="3398"/>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398"/>
      <c r="Q44" s="1151">
        <f t="shared" si="11"/>
        <v>111</v>
      </c>
      <c r="R44" s="1569" t="s">
        <v>8</v>
      </c>
      <c r="S44" s="1570">
        <f t="shared" si="12"/>
        <v>100</v>
      </c>
      <c r="T44" s="1569" t="s">
        <v>8</v>
      </c>
      <c r="U44" s="1570">
        <f t="shared" si="13"/>
        <v>100</v>
      </c>
      <c r="V44" s="1569" t="s">
        <v>8</v>
      </c>
      <c r="W44" s="1570">
        <f t="shared" si="14"/>
        <v>100</v>
      </c>
      <c r="X44" s="1571"/>
      <c r="Y44" s="3398"/>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398"/>
      <c r="Q45" s="1573">
        <f t="shared" si="11"/>
        <v>111</v>
      </c>
      <c r="R45" s="1574" t="s">
        <v>8</v>
      </c>
      <c r="S45" s="1575">
        <f t="shared" si="12"/>
        <v>100</v>
      </c>
      <c r="T45" s="1574" t="s">
        <v>8</v>
      </c>
      <c r="U45" s="1575">
        <f t="shared" si="13"/>
        <v>100</v>
      </c>
      <c r="V45" s="1574" t="s">
        <v>8</v>
      </c>
      <c r="W45" s="1575">
        <f t="shared" si="14"/>
        <v>100</v>
      </c>
      <c r="X45" s="1568"/>
      <c r="Y45" s="3398"/>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75"/>
      <c r="Q46" s="1573">
        <f t="shared" si="11"/>
        <v>111</v>
      </c>
      <c r="R46" s="1574" t="s">
        <v>8</v>
      </c>
      <c r="S46" s="1575">
        <f t="shared" si="12"/>
        <v>100</v>
      </c>
      <c r="T46" s="1574" t="s">
        <v>8</v>
      </c>
      <c r="U46" s="1575">
        <f t="shared" si="13"/>
        <v>100</v>
      </c>
      <c r="V46" s="1574" t="s">
        <v>8</v>
      </c>
      <c r="W46" s="1575">
        <f t="shared" si="14"/>
        <v>100</v>
      </c>
      <c r="X46" s="1568"/>
      <c r="Y46" s="3475"/>
      <c r="Z46" s="1576">
        <f t="shared" si="15"/>
        <v>111</v>
      </c>
      <c r="AA46" s="1577">
        <f t="shared" si="3"/>
        <v>1</v>
      </c>
      <c r="AB46" s="1577">
        <f t="shared" si="4"/>
        <v>1</v>
      </c>
      <c r="AC46" s="1577">
        <f t="shared" si="5"/>
        <v>1</v>
      </c>
    </row>
    <row r="47" spans="1:29" ht="15">
      <c r="A47" s="607" t="s">
        <v>735</v>
      </c>
      <c r="B47" s="887"/>
      <c r="C47" s="2629" t="s">
        <v>1</v>
      </c>
      <c r="D47" s="2630"/>
      <c r="E47" s="2631"/>
      <c r="F47" s="2632"/>
      <c r="G47" s="2633"/>
      <c r="H47" s="2634"/>
      <c r="I47" s="2631"/>
      <c r="J47" s="2634"/>
      <c r="K47" s="1612"/>
      <c r="L47" s="2146"/>
      <c r="M47" s="2147"/>
      <c r="N47" s="2136"/>
      <c r="O47" s="2147"/>
      <c r="P47" s="3393" t="str">
        <f>A47</f>
        <v>成交单价（元/平方米）</v>
      </c>
      <c r="Q47" s="3393"/>
      <c r="R47" s="3474">
        <f>E47</f>
        <v>0</v>
      </c>
      <c r="S47" s="3474"/>
      <c r="T47" s="3474">
        <f>G47</f>
        <v>0</v>
      </c>
      <c r="U47" s="3474"/>
      <c r="V47" s="3474">
        <f>I47</f>
        <v>0</v>
      </c>
      <c r="W47" s="3474"/>
      <c r="X47" s="1560"/>
      <c r="Y47" s="1582"/>
      <c r="Z47" s="1560"/>
      <c r="AA47" s="1560"/>
      <c r="AB47" s="1560"/>
      <c r="AC47" s="1560"/>
    </row>
    <row r="48" spans="1:29" ht="15.75" thickBot="1">
      <c r="A48" s="615" t="s">
        <v>2758</v>
      </c>
      <c r="B48" s="888"/>
      <c r="C48" s="2635" t="e">
        <f>R49</f>
        <v>#DIV/0!</v>
      </c>
      <c r="D48" s="2636"/>
      <c r="E48" s="2637" t="e">
        <f>R48</f>
        <v>#DIV/0!</v>
      </c>
      <c r="F48" s="2637"/>
      <c r="G48" s="2635" t="e">
        <f>T48</f>
        <v>#DIV/0!</v>
      </c>
      <c r="H48" s="2636"/>
      <c r="I48" s="2637" t="e">
        <f>V48</f>
        <v>#DIV/0!</v>
      </c>
      <c r="J48" s="2636"/>
      <c r="K48" s="1613"/>
      <c r="L48" s="2146"/>
      <c r="M48" s="2147"/>
      <c r="N48" s="2136"/>
      <c r="O48" s="2147"/>
      <c r="P48" s="3393" t="str">
        <f>A48</f>
        <v>比较价格（元/平方米）</v>
      </c>
      <c r="Q48" s="339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560"/>
      <c r="Y48" s="1560"/>
      <c r="Z48" s="1560"/>
      <c r="AA48" s="1560"/>
      <c r="AB48" s="1560"/>
      <c r="AC48" s="1560"/>
    </row>
    <row r="49" spans="1:29" ht="15.75" thickBot="1">
      <c r="A49" s="621" t="s">
        <v>2931</v>
      </c>
      <c r="B49" s="622"/>
      <c r="C49" s="2638" t="e">
        <f>R49</f>
        <v>#DIV/0!</v>
      </c>
      <c r="D49" s="2638"/>
      <c r="E49" s="2638"/>
      <c r="F49" s="2638"/>
      <c r="G49" s="2638"/>
      <c r="H49" s="2638"/>
      <c r="I49" s="2638"/>
      <c r="J49" s="2638"/>
      <c r="K49" s="1614"/>
      <c r="L49" s="2146"/>
      <c r="M49" s="2147"/>
      <c r="N49" s="2136"/>
      <c r="O49" s="2147"/>
      <c r="P49" s="3414" t="str">
        <f>A49</f>
        <v>估价对象XX用房的比较价格（楼面单价，元/平方米）</v>
      </c>
      <c r="Q49" s="3415"/>
      <c r="R49" s="3473" t="e">
        <f>IF(F1="售价",ROUND(AVERAGE(R48:V48),0),ROUND(AVERAGE(R48:V48),1))</f>
        <v>#DIV/0!</v>
      </c>
      <c r="S49" s="3473"/>
      <c r="T49" s="3473"/>
      <c r="U49" s="3473"/>
      <c r="V49" s="3473"/>
      <c r="W49" s="3473"/>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2018-12</v>
      </c>
      <c r="D58" s="2806">
        <f>EDATE(C58,-1)</f>
        <v>43405</v>
      </c>
      <c r="E58" s="2806">
        <f t="shared" ref="E58:O58" si="16">EDATE(D58,-1)</f>
        <v>43374</v>
      </c>
      <c r="F58" s="2806">
        <f t="shared" si="16"/>
        <v>43344</v>
      </c>
      <c r="G58" s="2806">
        <f t="shared" si="16"/>
        <v>43313</v>
      </c>
      <c r="H58" s="2806">
        <f t="shared" si="16"/>
        <v>43282</v>
      </c>
      <c r="I58" s="2806">
        <f t="shared" si="16"/>
        <v>43252</v>
      </c>
      <c r="J58" s="2806">
        <f t="shared" si="16"/>
        <v>43221</v>
      </c>
      <c r="K58" s="2806">
        <f t="shared" si="16"/>
        <v>43191</v>
      </c>
      <c r="L58" s="2806">
        <f t="shared" si="16"/>
        <v>43160</v>
      </c>
      <c r="M58" s="2806">
        <f t="shared" si="16"/>
        <v>43132</v>
      </c>
      <c r="N58" s="2806">
        <f t="shared" si="16"/>
        <v>43101</v>
      </c>
      <c r="O58" s="2806">
        <f t="shared" si="16"/>
        <v>43070</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2555</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2556</v>
      </c>
      <c r="C82" s="2600" t="s">
        <v>2557</v>
      </c>
      <c r="D82" s="2600" t="s">
        <v>2558</v>
      </c>
      <c r="E82" s="2600" t="s">
        <v>2559</v>
      </c>
      <c r="F82" s="2600" t="s">
        <v>2560</v>
      </c>
      <c r="G82" s="2600" t="s">
        <v>2561</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2554</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9"/>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399" t="s">
        <v>521</v>
      </c>
      <c r="D4" s="3400"/>
      <c r="E4" s="3423" t="s">
        <v>522</v>
      </c>
      <c r="F4" s="3424"/>
      <c r="G4" s="3399" t="s">
        <v>523</v>
      </c>
      <c r="H4" s="3400"/>
      <c r="I4" s="3399" t="s">
        <v>524</v>
      </c>
      <c r="J4" s="3400"/>
      <c r="K4" s="514" t="s">
        <v>525</v>
      </c>
      <c r="L4" s="2135"/>
      <c r="M4" s="2136"/>
      <c r="N4" s="2136"/>
      <c r="O4" s="2136"/>
      <c r="P4" s="3499" t="s">
        <v>526</v>
      </c>
      <c r="Q4" s="3402"/>
      <c r="R4" s="3387" t="s">
        <v>522</v>
      </c>
      <c r="S4" s="3388"/>
      <c r="T4" s="3387" t="s">
        <v>523</v>
      </c>
      <c r="U4" s="3388"/>
      <c r="V4" s="3407" t="s">
        <v>524</v>
      </c>
      <c r="W4" s="3407"/>
      <c r="X4" s="1568"/>
      <c r="Y4" s="3387" t="s">
        <v>526</v>
      </c>
      <c r="Z4" s="3388"/>
      <c r="AA4" s="3382" t="s">
        <v>522</v>
      </c>
      <c r="AB4" s="3382" t="s">
        <v>523</v>
      </c>
      <c r="AC4" s="3382" t="s">
        <v>524</v>
      </c>
    </row>
    <row r="5" spans="1:29" ht="15">
      <c r="A5" s="515"/>
      <c r="B5" s="516"/>
      <c r="C5" s="3410" t="s">
        <v>2925</v>
      </c>
      <c r="D5" s="3411"/>
      <c r="E5" s="3425" t="s">
        <v>2926</v>
      </c>
      <c r="F5" s="3426"/>
      <c r="G5" s="3410" t="s">
        <v>2927</v>
      </c>
      <c r="H5" s="3411"/>
      <c r="I5" s="3410" t="s">
        <v>2928</v>
      </c>
      <c r="J5" s="3411"/>
      <c r="K5" s="514"/>
      <c r="L5" s="2135"/>
      <c r="M5" s="2136"/>
      <c r="N5" s="2136"/>
      <c r="O5" s="2136"/>
      <c r="P5" s="3500"/>
      <c r="Q5" s="3404"/>
      <c r="R5" s="3389"/>
      <c r="S5" s="3390"/>
      <c r="T5" s="3389"/>
      <c r="U5" s="3390"/>
      <c r="V5" s="3407"/>
      <c r="W5" s="3407"/>
      <c r="X5" s="1568"/>
      <c r="Y5" s="3389"/>
      <c r="Z5" s="3390"/>
      <c r="AA5" s="3383"/>
      <c r="AB5" s="3383"/>
      <c r="AC5" s="3383"/>
    </row>
    <row r="6" spans="1:29" ht="15.75" thickBot="1">
      <c r="A6" s="517"/>
      <c r="B6" s="518"/>
      <c r="C6" s="3408" t="s">
        <v>2929</v>
      </c>
      <c r="D6" s="3409"/>
      <c r="E6" s="3427" t="s">
        <v>2929</v>
      </c>
      <c r="F6" s="3428"/>
      <c r="G6" s="3408" t="s">
        <v>2929</v>
      </c>
      <c r="H6" s="3409"/>
      <c r="I6" s="3408" t="s">
        <v>2929</v>
      </c>
      <c r="J6" s="3409"/>
      <c r="K6" s="514" t="s">
        <v>527</v>
      </c>
      <c r="L6" s="2135"/>
      <c r="M6" s="2136"/>
      <c r="N6" s="2136"/>
      <c r="O6" s="2136"/>
      <c r="P6" s="3501"/>
      <c r="Q6" s="3406"/>
      <c r="R6" s="3389"/>
      <c r="S6" s="3390"/>
      <c r="T6" s="3391"/>
      <c r="U6" s="3392"/>
      <c r="V6" s="3407"/>
      <c r="W6" s="3407"/>
      <c r="X6" s="1568"/>
      <c r="Y6" s="3391"/>
      <c r="Z6" s="3392"/>
      <c r="AA6" s="3384"/>
      <c r="AB6" s="3384"/>
      <c r="AC6" s="3384"/>
    </row>
    <row r="7" spans="1:29" s="1220" customFormat="1" ht="15.75" thickBot="1">
      <c r="A7" s="2914"/>
      <c r="B7" s="2921" t="s">
        <v>528</v>
      </c>
      <c r="C7" s="519">
        <f>'数据-取费表'!B2</f>
        <v>43446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394" t="s">
        <v>529</v>
      </c>
      <c r="Q7" s="3394"/>
      <c r="R7" s="1569" t="s">
        <v>8</v>
      </c>
      <c r="S7" s="1570">
        <f t="shared" ref="S7:S15" si="0">F7</f>
        <v>0</v>
      </c>
      <c r="T7" s="1569" t="s">
        <v>8</v>
      </c>
      <c r="U7" s="1570">
        <f t="shared" ref="U7:U15" si="1">H7</f>
        <v>0</v>
      </c>
      <c r="V7" s="1569" t="s">
        <v>8</v>
      </c>
      <c r="W7" s="1570">
        <f t="shared" ref="W7:W15" si="2">J7</f>
        <v>0</v>
      </c>
      <c r="X7" s="1571"/>
      <c r="Y7" s="3385" t="s">
        <v>529</v>
      </c>
      <c r="Z7" s="3386"/>
      <c r="AA7" s="1572" t="e">
        <f>D7/F7</f>
        <v>#DIV/0!</v>
      </c>
      <c r="AB7" s="1572" t="e">
        <f>D7/H7</f>
        <v>#DIV/0!</v>
      </c>
      <c r="AC7" s="1572" t="e">
        <f>D7/J7</f>
        <v>#DIV/0!</v>
      </c>
    </row>
    <row r="8" spans="1:29" s="1220" customFormat="1" ht="15.75" thickBot="1">
      <c r="A8" s="2915"/>
      <c r="B8" s="2922"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394" t="s">
        <v>532</v>
      </c>
      <c r="Q8" s="3386"/>
      <c r="R8" s="1569" t="s">
        <v>8</v>
      </c>
      <c r="S8" s="1570">
        <f t="shared" si="0"/>
        <v>0</v>
      </c>
      <c r="T8" s="1569" t="s">
        <v>8</v>
      </c>
      <c r="U8" s="1570">
        <f t="shared" si="1"/>
        <v>0</v>
      </c>
      <c r="V8" s="1569" t="s">
        <v>8</v>
      </c>
      <c r="W8" s="1570">
        <f t="shared" si="2"/>
        <v>0</v>
      </c>
      <c r="X8" s="1571"/>
      <c r="Y8" s="3385" t="s">
        <v>532</v>
      </c>
      <c r="Z8" s="3386"/>
      <c r="AA8" s="1572" t="e">
        <f t="shared" ref="AA8:AA47" si="3">D8/F8</f>
        <v>#DIV/0!</v>
      </c>
      <c r="AB8" s="1572" t="e">
        <f t="shared" ref="AB8:AB47" si="4">D8/H8</f>
        <v>#DIV/0!</v>
      </c>
      <c r="AC8" s="1572" t="e">
        <f t="shared" ref="AC8:AC47" si="5">D8/J8</f>
        <v>#DIV/0!</v>
      </c>
    </row>
    <row r="9" spans="1:29" s="1220" customFormat="1" ht="15">
      <c r="A9" s="2916"/>
      <c r="B9" s="2923" t="s">
        <v>2754</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93" t="s">
        <v>534</v>
      </c>
      <c r="Q9" s="1151" t="str">
        <f t="shared" ref="Q9:Q15" si="6">B9</f>
        <v>用途</v>
      </c>
      <c r="R9" s="1569" t="s">
        <v>8</v>
      </c>
      <c r="S9" s="1570">
        <f t="shared" si="0"/>
        <v>100</v>
      </c>
      <c r="T9" s="1569" t="s">
        <v>8</v>
      </c>
      <c r="U9" s="1570">
        <f t="shared" si="1"/>
        <v>100</v>
      </c>
      <c r="V9" s="1569" t="s">
        <v>8</v>
      </c>
      <c r="W9" s="1570">
        <f t="shared" si="2"/>
        <v>100</v>
      </c>
      <c r="X9" s="1571"/>
      <c r="Y9" s="3350"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93"/>
      <c r="Q11" s="1151" t="str">
        <f t="shared" si="6"/>
        <v>容积率</v>
      </c>
      <c r="R11" s="1569" t="s">
        <v>8</v>
      </c>
      <c r="S11" s="1570" t="e">
        <f t="shared" si="0"/>
        <v>#N/A</v>
      </c>
      <c r="T11" s="1569" t="s">
        <v>8</v>
      </c>
      <c r="U11" s="1570" t="e">
        <f t="shared" si="1"/>
        <v>#N/A</v>
      </c>
      <c r="V11" s="1569" t="s">
        <v>8</v>
      </c>
      <c r="W11" s="1570" t="e">
        <f t="shared" si="2"/>
        <v>#N/A</v>
      </c>
      <c r="X11" s="1571"/>
      <c r="Y11" s="335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 t="shared" si="3"/>
        <v>1</v>
      </c>
      <c r="AB14" s="1572">
        <f t="shared" si="4"/>
        <v>1</v>
      </c>
      <c r="AC14" s="1572">
        <f t="shared" si="5"/>
        <v>1</v>
      </c>
    </row>
    <row r="15" spans="1:29" ht="71.25">
      <c r="A15" s="2912" t="s">
        <v>2752</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395" t="s">
        <v>539</v>
      </c>
      <c r="Q15" s="1573" t="str">
        <f t="shared" si="6"/>
        <v>办公集聚程度</v>
      </c>
      <c r="R15" s="1574" t="s">
        <v>8</v>
      </c>
      <c r="S15" s="1575">
        <f t="shared" si="0"/>
        <v>100</v>
      </c>
      <c r="T15" s="1574" t="s">
        <v>8</v>
      </c>
      <c r="U15" s="1575">
        <f t="shared" si="1"/>
        <v>100</v>
      </c>
      <c r="V15" s="1574" t="s">
        <v>8</v>
      </c>
      <c r="W15" s="1575">
        <f t="shared" si="2"/>
        <v>100</v>
      </c>
      <c r="X15" s="1568"/>
      <c r="Y15" s="3395"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396"/>
      <c r="Q16" s="1573"/>
      <c r="R16" s="1574"/>
      <c r="S16" s="1575"/>
      <c r="T16" s="1574"/>
      <c r="U16" s="1575"/>
      <c r="V16" s="1574"/>
      <c r="W16" s="1575"/>
      <c r="X16" s="1568"/>
      <c r="Y16" s="3396"/>
      <c r="Z16" s="1576"/>
      <c r="AA16" s="1577">
        <v>1</v>
      </c>
      <c r="AB16" s="1577">
        <v>1</v>
      </c>
      <c r="AC16" s="1577">
        <v>1</v>
      </c>
    </row>
    <row r="17" spans="1:29" ht="99.75">
      <c r="A17" s="532"/>
      <c r="B17" s="560" t="s">
        <v>295</v>
      </c>
      <c r="C17" s="573" t="str">
        <f>估价对象房地状况!C6</f>
        <v>估价对象周边道路通达状况较好、公共交通通达情况一般、停车较便捷，综合评价交通便捷度一般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396"/>
      <c r="Q18" s="1573"/>
      <c r="R18" s="1574"/>
      <c r="S18" s="1575"/>
      <c r="T18" s="1574"/>
      <c r="U18" s="1575"/>
      <c r="V18" s="1574"/>
      <c r="W18" s="1575"/>
      <c r="X18" s="1568"/>
      <c r="Y18" s="3396"/>
      <c r="Z18" s="1576"/>
      <c r="AA18" s="1577">
        <v>1</v>
      </c>
      <c r="AB18" s="1577">
        <v>1</v>
      </c>
      <c r="AC18" s="1577">
        <v>1</v>
      </c>
    </row>
    <row r="19" spans="1:29" ht="42.75">
      <c r="A19" s="532"/>
      <c r="B19" s="2605" t="s">
        <v>2544</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396"/>
      <c r="Q20" s="1573"/>
      <c r="R20" s="1574"/>
      <c r="S20" s="1575"/>
      <c r="T20" s="1574"/>
      <c r="U20" s="1575"/>
      <c r="V20" s="1574"/>
      <c r="W20" s="1575"/>
      <c r="X20" s="1568"/>
      <c r="Y20" s="3396"/>
      <c r="Z20" s="1576"/>
      <c r="AA20" s="1577">
        <v>1</v>
      </c>
      <c r="AB20" s="1577">
        <v>1</v>
      </c>
      <c r="AC20" s="1577">
        <v>1</v>
      </c>
    </row>
    <row r="21" spans="1:29" ht="42.75">
      <c r="A21" s="532"/>
      <c r="B21" s="2593" t="s">
        <v>2556</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396"/>
      <c r="Q21" s="2581" t="str">
        <f>B21</f>
        <v>基础设施水平</v>
      </c>
      <c r="R21" s="1574" t="s">
        <v>8</v>
      </c>
      <c r="S21" s="1575">
        <f>F21</f>
        <v>100</v>
      </c>
      <c r="T21" s="1574" t="s">
        <v>8</v>
      </c>
      <c r="U21" s="1575">
        <f>H21</f>
        <v>100</v>
      </c>
      <c r="V21" s="1574" t="s">
        <v>8</v>
      </c>
      <c r="W21" s="1575">
        <f>J21</f>
        <v>100</v>
      </c>
      <c r="X21" s="2583"/>
      <c r="Y21" s="3396"/>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396"/>
      <c r="Q22" s="2581"/>
      <c r="R22" s="1574"/>
      <c r="S22" s="1575"/>
      <c r="T22" s="1574"/>
      <c r="U22" s="1575"/>
      <c r="V22" s="1574"/>
      <c r="W22" s="1575"/>
      <c r="X22" s="2583"/>
      <c r="Y22" s="3396"/>
      <c r="Z22" s="2582"/>
      <c r="AA22" s="1577">
        <v>1</v>
      </c>
      <c r="AB22" s="1577">
        <v>1</v>
      </c>
      <c r="AC22" s="1577">
        <v>1</v>
      </c>
    </row>
    <row r="23" spans="1:29" ht="57">
      <c r="A23" s="532"/>
      <c r="B23" s="560" t="s">
        <v>777</v>
      </c>
      <c r="C23" s="573" t="str">
        <f>估价对象房地状况!C9</f>
        <v>区域自然环境较好；人文环境一般；综合评价环境状况一般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396"/>
      <c r="Q24" s="1573"/>
      <c r="R24" s="1574"/>
      <c r="S24" s="1575"/>
      <c r="T24" s="1574"/>
      <c r="U24" s="1575"/>
      <c r="V24" s="1574"/>
      <c r="W24" s="1575"/>
      <c r="X24" s="1568"/>
      <c r="Y24" s="3396"/>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396"/>
      <c r="Q25" s="1573" t="str">
        <f>B25</f>
        <v>毗邻道路的类型与等级</v>
      </c>
      <c r="R25" s="1574" t="s">
        <v>8</v>
      </c>
      <c r="S25" s="1575">
        <f>F25</f>
        <v>100</v>
      </c>
      <c r="T25" s="1574" t="s">
        <v>8</v>
      </c>
      <c r="U25" s="1575">
        <f>H25</f>
        <v>100</v>
      </c>
      <c r="V25" s="1574" t="s">
        <v>8</v>
      </c>
      <c r="W25" s="1575">
        <f>J25</f>
        <v>100</v>
      </c>
      <c r="X25" s="1568"/>
      <c r="Y25" s="3396"/>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396"/>
      <c r="Q26" s="1573"/>
      <c r="R26" s="1574"/>
      <c r="S26" s="1575"/>
      <c r="T26" s="1574"/>
      <c r="U26" s="1575"/>
      <c r="V26" s="1574"/>
      <c r="W26" s="1575"/>
      <c r="X26" s="1568"/>
      <c r="Y26" s="3396"/>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396"/>
      <c r="Q27" s="1573" t="str">
        <f t="shared" ref="Q27:Q47" si="11">B27</f>
        <v>楼层</v>
      </c>
      <c r="R27" s="1574" t="s">
        <v>8</v>
      </c>
      <c r="S27" s="1575">
        <f>F27</f>
        <v>100</v>
      </c>
      <c r="T27" s="1574" t="s">
        <v>8</v>
      </c>
      <c r="U27" s="1575">
        <f>H27</f>
        <v>100</v>
      </c>
      <c r="V27" s="1574" t="s">
        <v>8</v>
      </c>
      <c r="W27" s="1575">
        <f>J27</f>
        <v>100</v>
      </c>
      <c r="X27" s="1568"/>
      <c r="Y27" s="3396"/>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396"/>
      <c r="Q28" s="1151" t="str">
        <f t="shared" si="11"/>
        <v>朝向</v>
      </c>
      <c r="R28" s="1569" t="s">
        <v>8</v>
      </c>
      <c r="S28" s="1570">
        <f>F28</f>
        <v>100</v>
      </c>
      <c r="T28" s="1569" t="s">
        <v>8</v>
      </c>
      <c r="U28" s="1570">
        <f>H28</f>
        <v>100</v>
      </c>
      <c r="V28" s="1569" t="s">
        <v>8</v>
      </c>
      <c r="W28" s="1570">
        <f>J28</f>
        <v>100</v>
      </c>
      <c r="X28" s="1571"/>
      <c r="Y28" s="3396"/>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396"/>
      <c r="Q29" s="1573">
        <f t="shared" si="11"/>
        <v>111</v>
      </c>
      <c r="R29" s="1574" t="s">
        <v>8</v>
      </c>
      <c r="S29" s="1575">
        <f t="shared" ref="S29:S47" si="12">F29</f>
        <v>100</v>
      </c>
      <c r="T29" s="1574" t="s">
        <v>8</v>
      </c>
      <c r="U29" s="1575">
        <f t="shared" ref="U29:U47" si="13">H29</f>
        <v>100</v>
      </c>
      <c r="V29" s="1574" t="s">
        <v>8</v>
      </c>
      <c r="W29" s="1575">
        <f t="shared" ref="W29:W47" si="14">J29</f>
        <v>100</v>
      </c>
      <c r="X29" s="1568"/>
      <c r="Y29" s="3396"/>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396"/>
      <c r="Q30" s="1573">
        <f t="shared" si="11"/>
        <v>111</v>
      </c>
      <c r="R30" s="1574" t="s">
        <v>8</v>
      </c>
      <c r="S30" s="1575">
        <f t="shared" si="12"/>
        <v>100</v>
      </c>
      <c r="T30" s="1574" t="s">
        <v>8</v>
      </c>
      <c r="U30" s="1575">
        <f t="shared" si="13"/>
        <v>100</v>
      </c>
      <c r="V30" s="1574" t="s">
        <v>8</v>
      </c>
      <c r="W30" s="1575">
        <f t="shared" si="14"/>
        <v>100</v>
      </c>
      <c r="X30" s="1568"/>
      <c r="Y30" s="3396"/>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396"/>
      <c r="Q31" s="1573">
        <f t="shared" si="11"/>
        <v>111</v>
      </c>
      <c r="R31" s="1574" t="s">
        <v>8</v>
      </c>
      <c r="S31" s="1575">
        <f t="shared" si="12"/>
        <v>100</v>
      </c>
      <c r="T31" s="1574" t="s">
        <v>8</v>
      </c>
      <c r="U31" s="1575">
        <f t="shared" si="13"/>
        <v>100</v>
      </c>
      <c r="V31" s="1574" t="s">
        <v>8</v>
      </c>
      <c r="W31" s="1575">
        <f t="shared" si="14"/>
        <v>100</v>
      </c>
      <c r="X31" s="1568"/>
      <c r="Y31" s="3396"/>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396"/>
      <c r="Q32" s="1573">
        <f t="shared" si="11"/>
        <v>111</v>
      </c>
      <c r="R32" s="1574" t="s">
        <v>8</v>
      </c>
      <c r="S32" s="1575">
        <f t="shared" si="12"/>
        <v>100</v>
      </c>
      <c r="T32" s="1574" t="s">
        <v>8</v>
      </c>
      <c r="U32" s="1575">
        <f t="shared" si="13"/>
        <v>100</v>
      </c>
      <c r="V32" s="1574" t="s">
        <v>8</v>
      </c>
      <c r="W32" s="1575">
        <f t="shared" si="14"/>
        <v>100</v>
      </c>
      <c r="X32" s="1568"/>
      <c r="Y32" s="3396"/>
      <c r="Z32" s="1576">
        <f t="shared" si="15"/>
        <v>111</v>
      </c>
      <c r="AA32" s="1577">
        <f t="shared" si="3"/>
        <v>1</v>
      </c>
      <c r="AB32" s="1577">
        <f t="shared" si="4"/>
        <v>1</v>
      </c>
      <c r="AC32" s="1577">
        <f t="shared" si="5"/>
        <v>1</v>
      </c>
    </row>
    <row r="33" spans="1:29" ht="15">
      <c r="A33" s="2909" t="s">
        <v>2753</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397" t="s">
        <v>549</v>
      </c>
      <c r="Q33" s="1573" t="str">
        <f t="shared" si="11"/>
        <v>建筑类型</v>
      </c>
      <c r="R33" s="1574" t="s">
        <v>8</v>
      </c>
      <c r="S33" s="1575">
        <f t="shared" si="12"/>
        <v>100</v>
      </c>
      <c r="T33" s="1574" t="s">
        <v>8</v>
      </c>
      <c r="U33" s="1575">
        <f t="shared" si="13"/>
        <v>100</v>
      </c>
      <c r="V33" s="1574" t="s">
        <v>8</v>
      </c>
      <c r="W33" s="1575">
        <f t="shared" si="14"/>
        <v>100</v>
      </c>
      <c r="X33" s="1568"/>
      <c r="Y33" s="3398"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398"/>
      <c r="Q34" s="1606" t="str">
        <f t="shared" si="11"/>
        <v>项目建筑规模</v>
      </c>
      <c r="R34" s="1578" t="s">
        <v>8</v>
      </c>
      <c r="S34" s="1579" t="e">
        <f t="shared" si="12"/>
        <v>#N/A</v>
      </c>
      <c r="T34" s="1578" t="s">
        <v>8</v>
      </c>
      <c r="U34" s="1579" t="e">
        <f t="shared" si="13"/>
        <v>#N/A</v>
      </c>
      <c r="V34" s="1578" t="s">
        <v>8</v>
      </c>
      <c r="W34" s="1579" t="e">
        <f t="shared" si="14"/>
        <v>#N/A</v>
      </c>
      <c r="X34" s="1580"/>
      <c r="Y34" s="3398"/>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398"/>
      <c r="Q35" s="1573" t="str">
        <f t="shared" si="11"/>
        <v>建筑结构</v>
      </c>
      <c r="R35" s="1574" t="s">
        <v>8</v>
      </c>
      <c r="S35" s="1575">
        <f t="shared" si="12"/>
        <v>100</v>
      </c>
      <c r="T35" s="1574" t="s">
        <v>8</v>
      </c>
      <c r="U35" s="1575">
        <f t="shared" si="13"/>
        <v>100</v>
      </c>
      <c r="V35" s="1574" t="s">
        <v>8</v>
      </c>
      <c r="W35" s="1575">
        <f t="shared" si="14"/>
        <v>100</v>
      </c>
      <c r="X35" s="1568"/>
      <c r="Y35" s="3398"/>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398"/>
      <c r="Q36" s="1573" t="str">
        <f t="shared" si="11"/>
        <v>公共部分装修</v>
      </c>
      <c r="R36" s="1574" t="s">
        <v>8</v>
      </c>
      <c r="S36" s="1575">
        <f t="shared" si="12"/>
        <v>100</v>
      </c>
      <c r="T36" s="1574" t="s">
        <v>8</v>
      </c>
      <c r="U36" s="1575">
        <f t="shared" si="13"/>
        <v>100</v>
      </c>
      <c r="V36" s="1574" t="s">
        <v>8</v>
      </c>
      <c r="W36" s="1575">
        <f t="shared" si="14"/>
        <v>100</v>
      </c>
      <c r="X36" s="1568"/>
      <c r="Y36" s="3398"/>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398"/>
      <c r="Q37" s="1573" t="str">
        <f t="shared" si="11"/>
        <v>成新度</v>
      </c>
      <c r="R37" s="1574" t="s">
        <v>8</v>
      </c>
      <c r="S37" s="1575" t="e">
        <f t="shared" si="12"/>
        <v>#N/A</v>
      </c>
      <c r="T37" s="1574" t="s">
        <v>8</v>
      </c>
      <c r="U37" s="1575" t="e">
        <f t="shared" si="13"/>
        <v>#N/A</v>
      </c>
      <c r="V37" s="1574" t="s">
        <v>8</v>
      </c>
      <c r="W37" s="1575" t="e">
        <f t="shared" si="14"/>
        <v>#N/A</v>
      </c>
      <c r="X37" s="1568"/>
      <c r="Y37" s="3398"/>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398"/>
      <c r="Q38" s="1151" t="str">
        <f t="shared" si="11"/>
        <v>写字楼等级</v>
      </c>
      <c r="R38" s="1569" t="s">
        <v>8</v>
      </c>
      <c r="S38" s="1570">
        <f t="shared" si="12"/>
        <v>100</v>
      </c>
      <c r="T38" s="1569" t="s">
        <v>8</v>
      </c>
      <c r="U38" s="1570">
        <f t="shared" si="13"/>
        <v>100</v>
      </c>
      <c r="V38" s="1569" t="s">
        <v>8</v>
      </c>
      <c r="W38" s="1570">
        <f t="shared" si="14"/>
        <v>100</v>
      </c>
      <c r="X38" s="1571"/>
      <c r="Y38" s="3398"/>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398" t="s">
        <v>549</v>
      </c>
      <c r="Q39" s="1573" t="str">
        <f t="shared" si="11"/>
        <v>物业管理</v>
      </c>
      <c r="R39" s="1574" t="s">
        <v>8</v>
      </c>
      <c r="S39" s="1575">
        <f t="shared" si="12"/>
        <v>100</v>
      </c>
      <c r="T39" s="1574" t="s">
        <v>8</v>
      </c>
      <c r="U39" s="1575">
        <f t="shared" si="13"/>
        <v>100</v>
      </c>
      <c r="V39" s="1574" t="s">
        <v>8</v>
      </c>
      <c r="W39" s="1575">
        <f t="shared" si="14"/>
        <v>100</v>
      </c>
      <c r="X39" s="1568"/>
      <c r="Y39" s="3398" t="s">
        <v>549</v>
      </c>
      <c r="Z39" s="1576" t="str">
        <f t="shared" si="15"/>
        <v>物业管理</v>
      </c>
      <c r="AA39" s="1577">
        <f t="shared" si="3"/>
        <v>1</v>
      </c>
      <c r="AB39" s="1577">
        <f t="shared" si="4"/>
        <v>1</v>
      </c>
      <c r="AC39" s="1577">
        <f t="shared" si="5"/>
        <v>1</v>
      </c>
    </row>
    <row r="40" spans="1:29" ht="15">
      <c r="A40" s="594"/>
      <c r="B40" s="1897"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398"/>
      <c r="Q40" s="1573" t="str">
        <f t="shared" si="11"/>
        <v>市政基础设施</v>
      </c>
      <c r="R40" s="1574" t="s">
        <v>8</v>
      </c>
      <c r="S40" s="1575">
        <f t="shared" si="12"/>
        <v>100</v>
      </c>
      <c r="T40" s="1574" t="s">
        <v>8</v>
      </c>
      <c r="U40" s="1575">
        <f t="shared" si="13"/>
        <v>100</v>
      </c>
      <c r="V40" s="1574" t="s">
        <v>8</v>
      </c>
      <c r="W40" s="1575">
        <f t="shared" si="14"/>
        <v>100</v>
      </c>
      <c r="X40" s="1568"/>
      <c r="Y40" s="3398"/>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398"/>
      <c r="Q41" s="1573" t="str">
        <f t="shared" si="11"/>
        <v>层高</v>
      </c>
      <c r="R41" s="1574" t="s">
        <v>8</v>
      </c>
      <c r="S41" s="1575">
        <f t="shared" si="12"/>
        <v>100</v>
      </c>
      <c r="T41" s="1574" t="s">
        <v>8</v>
      </c>
      <c r="U41" s="1575">
        <f t="shared" si="13"/>
        <v>100</v>
      </c>
      <c r="V41" s="1574" t="s">
        <v>8</v>
      </c>
      <c r="W41" s="1575">
        <f t="shared" si="14"/>
        <v>100</v>
      </c>
      <c r="X41" s="1568"/>
      <c r="Y41" s="3398"/>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398"/>
      <c r="Q42" s="1606" t="str">
        <f t="shared" si="11"/>
        <v>单套建筑面积</v>
      </c>
      <c r="R42" s="1578" t="s">
        <v>8</v>
      </c>
      <c r="S42" s="1579">
        <f t="shared" si="12"/>
        <v>100</v>
      </c>
      <c r="T42" s="1578" t="s">
        <v>8</v>
      </c>
      <c r="U42" s="1579">
        <f t="shared" si="13"/>
        <v>100</v>
      </c>
      <c r="V42" s="1578" t="s">
        <v>8</v>
      </c>
      <c r="W42" s="1579">
        <f t="shared" si="14"/>
        <v>100</v>
      </c>
      <c r="X42" s="1580"/>
      <c r="Y42" s="3398"/>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398"/>
      <c r="Q43" s="1573" t="str">
        <f t="shared" si="11"/>
        <v>内部装修</v>
      </c>
      <c r="R43" s="1574" t="s">
        <v>8</v>
      </c>
      <c r="S43" s="1575">
        <f t="shared" si="12"/>
        <v>100</v>
      </c>
      <c r="T43" s="1574" t="s">
        <v>8</v>
      </c>
      <c r="U43" s="1575">
        <f t="shared" si="13"/>
        <v>100</v>
      </c>
      <c r="V43" s="1574" t="s">
        <v>8</v>
      </c>
      <c r="W43" s="1575">
        <f t="shared" si="14"/>
        <v>100</v>
      </c>
      <c r="X43" s="1568"/>
      <c r="Y43" s="3398"/>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398"/>
      <c r="Q44" s="1573" t="str">
        <f t="shared" si="11"/>
        <v>内部装修维护情况</v>
      </c>
      <c r="R44" s="1574" t="s">
        <v>8</v>
      </c>
      <c r="S44" s="1575">
        <f t="shared" si="12"/>
        <v>100</v>
      </c>
      <c r="T44" s="1574" t="s">
        <v>8</v>
      </c>
      <c r="U44" s="1575">
        <f t="shared" si="13"/>
        <v>100</v>
      </c>
      <c r="V44" s="1574" t="s">
        <v>8</v>
      </c>
      <c r="W44" s="1575">
        <f t="shared" si="14"/>
        <v>100</v>
      </c>
      <c r="X44" s="1568"/>
      <c r="Y44" s="3398"/>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398"/>
      <c r="Q45" s="1151">
        <f t="shared" si="11"/>
        <v>111</v>
      </c>
      <c r="R45" s="1569" t="s">
        <v>8</v>
      </c>
      <c r="S45" s="1570">
        <f t="shared" si="12"/>
        <v>100</v>
      </c>
      <c r="T45" s="1569" t="s">
        <v>8</v>
      </c>
      <c r="U45" s="1570">
        <f t="shared" si="13"/>
        <v>100</v>
      </c>
      <c r="V45" s="1569" t="s">
        <v>8</v>
      </c>
      <c r="W45" s="1570">
        <f t="shared" si="14"/>
        <v>100</v>
      </c>
      <c r="X45" s="1571"/>
      <c r="Y45" s="3398"/>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398"/>
      <c r="Q46" s="1573">
        <f t="shared" si="11"/>
        <v>111</v>
      </c>
      <c r="R46" s="1574" t="s">
        <v>8</v>
      </c>
      <c r="S46" s="1575">
        <f t="shared" si="12"/>
        <v>100</v>
      </c>
      <c r="T46" s="1574" t="s">
        <v>8</v>
      </c>
      <c r="U46" s="1575">
        <f t="shared" si="13"/>
        <v>100</v>
      </c>
      <c r="V46" s="1574" t="s">
        <v>8</v>
      </c>
      <c r="W46" s="1575">
        <f t="shared" si="14"/>
        <v>100</v>
      </c>
      <c r="X46" s="1568"/>
      <c r="Y46" s="3398"/>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75"/>
      <c r="Q47" s="1573">
        <f t="shared" si="11"/>
        <v>111</v>
      </c>
      <c r="R47" s="1574" t="s">
        <v>8</v>
      </c>
      <c r="S47" s="1575">
        <f t="shared" si="12"/>
        <v>100</v>
      </c>
      <c r="T47" s="1574" t="s">
        <v>8</v>
      </c>
      <c r="U47" s="1575">
        <f t="shared" si="13"/>
        <v>100</v>
      </c>
      <c r="V47" s="1574" t="s">
        <v>8</v>
      </c>
      <c r="W47" s="1575">
        <f t="shared" si="14"/>
        <v>100</v>
      </c>
      <c r="X47" s="1568"/>
      <c r="Y47" s="3475"/>
      <c r="Z47" s="1576">
        <f t="shared" si="15"/>
        <v>111</v>
      </c>
      <c r="AA47" s="1577">
        <f t="shared" si="3"/>
        <v>1</v>
      </c>
      <c r="AB47" s="1577">
        <f t="shared" si="4"/>
        <v>1</v>
      </c>
      <c r="AC47" s="1577">
        <f t="shared" si="5"/>
        <v>1</v>
      </c>
    </row>
    <row r="48" spans="1:29" ht="15">
      <c r="A48" s="607" t="s">
        <v>735</v>
      </c>
      <c r="B48" s="887"/>
      <c r="C48" s="2629" t="s">
        <v>1</v>
      </c>
      <c r="D48" s="2630"/>
      <c r="E48" s="2631"/>
      <c r="F48" s="2632"/>
      <c r="G48" s="2633"/>
      <c r="H48" s="2634"/>
      <c r="I48" s="2631"/>
      <c r="J48" s="2634"/>
      <c r="K48" s="1612"/>
      <c r="L48" s="2146"/>
      <c r="M48" s="2136"/>
      <c r="N48" s="2136"/>
      <c r="O48" s="2136"/>
      <c r="P48" s="3415" t="str">
        <f>A48</f>
        <v>成交单价（元/平方米）</v>
      </c>
      <c r="Q48" s="3393"/>
      <c r="R48" s="3474">
        <f>E48</f>
        <v>0</v>
      </c>
      <c r="S48" s="3474"/>
      <c r="T48" s="3474">
        <f>G48</f>
        <v>0</v>
      </c>
      <c r="U48" s="3474"/>
      <c r="V48" s="3474">
        <f>I48</f>
        <v>0</v>
      </c>
      <c r="W48" s="3474"/>
      <c r="X48" s="1560"/>
      <c r="Y48" s="1582"/>
      <c r="Z48" s="1560"/>
      <c r="AA48" s="1560"/>
      <c r="AB48" s="1560"/>
      <c r="AC48" s="1560"/>
    </row>
    <row r="49" spans="1:29" ht="15.75" thickBot="1">
      <c r="A49" s="615" t="s">
        <v>2758</v>
      </c>
      <c r="B49" s="888"/>
      <c r="C49" s="2635" t="e">
        <f>R50</f>
        <v>#DIV/0!</v>
      </c>
      <c r="D49" s="2636"/>
      <c r="E49" s="2637" t="e">
        <f>R49</f>
        <v>#DIV/0!</v>
      </c>
      <c r="F49" s="2637"/>
      <c r="G49" s="2635" t="e">
        <f>T49</f>
        <v>#DIV/0!</v>
      </c>
      <c r="H49" s="2636"/>
      <c r="I49" s="2637" t="e">
        <f>V49</f>
        <v>#DIV/0!</v>
      </c>
      <c r="J49" s="2636"/>
      <c r="K49" s="1613"/>
      <c r="L49" s="2146"/>
      <c r="M49" s="2136"/>
      <c r="N49" s="2136"/>
      <c r="O49" s="2136"/>
      <c r="P49" s="3415" t="str">
        <f>A49</f>
        <v>比较价格（元/平方米）</v>
      </c>
      <c r="Q49" s="3393"/>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560"/>
      <c r="Y49" s="1560"/>
      <c r="Z49" s="1560"/>
      <c r="AA49" s="1560"/>
      <c r="AB49" s="1560"/>
      <c r="AC49" s="1560"/>
    </row>
    <row r="50" spans="1:29" ht="15.75" thickBot="1">
      <c r="A50" s="621" t="s">
        <v>2931</v>
      </c>
      <c r="B50" s="622"/>
      <c r="C50" s="2638" t="e">
        <f>R50</f>
        <v>#DIV/0!</v>
      </c>
      <c r="D50" s="2638"/>
      <c r="E50" s="2638"/>
      <c r="F50" s="2638"/>
      <c r="G50" s="2638"/>
      <c r="H50" s="2638"/>
      <c r="I50" s="2638"/>
      <c r="J50" s="2638"/>
      <c r="K50" s="1614"/>
      <c r="L50" s="2146"/>
      <c r="M50" s="2136"/>
      <c r="N50" s="2136"/>
      <c r="O50" s="2136"/>
      <c r="P50" s="3502" t="str">
        <f>A50</f>
        <v>估价对象XX用房的比较价格（楼面单价，元/平方米）</v>
      </c>
      <c r="Q50" s="3415"/>
      <c r="R50" s="3473" t="e">
        <f>IF(F1="售价",ROUND(AVERAGE(R49:V49),0),ROUND(AVERAGE(R49:V49),1))</f>
        <v>#DIV/0!</v>
      </c>
      <c r="S50" s="3473"/>
      <c r="T50" s="3473"/>
      <c r="U50" s="3473"/>
      <c r="V50" s="3473"/>
      <c r="W50" s="3473"/>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4" t="str">
        <f>YEAR(C7)&amp;"-"&amp;MONTH(C7)</f>
        <v>2018-12</v>
      </c>
      <c r="D59" s="2806">
        <f>EDATE(C59,-1)</f>
        <v>43405</v>
      </c>
      <c r="E59" s="2806">
        <f t="shared" ref="E59:O59" si="16">EDATE(D59,-1)</f>
        <v>43374</v>
      </c>
      <c r="F59" s="2806">
        <f t="shared" si="16"/>
        <v>43344</v>
      </c>
      <c r="G59" s="2806">
        <f t="shared" si="16"/>
        <v>43313</v>
      </c>
      <c r="H59" s="2806">
        <f t="shared" si="16"/>
        <v>43282</v>
      </c>
      <c r="I59" s="2806">
        <f t="shared" si="16"/>
        <v>43252</v>
      </c>
      <c r="J59" s="2806">
        <f t="shared" si="16"/>
        <v>43221</v>
      </c>
      <c r="K59" s="2806">
        <f t="shared" si="16"/>
        <v>43191</v>
      </c>
      <c r="L59" s="2806">
        <f t="shared" si="16"/>
        <v>43160</v>
      </c>
      <c r="M59" s="2806">
        <f t="shared" si="16"/>
        <v>43132</v>
      </c>
      <c r="N59" s="2806">
        <f t="shared" si="16"/>
        <v>43101</v>
      </c>
      <c r="O59" s="2806">
        <f t="shared" si="16"/>
        <v>43070</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2555</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2556</v>
      </c>
      <c r="C83" s="2600" t="s">
        <v>2557</v>
      </c>
      <c r="D83" s="2600" t="s">
        <v>2558</v>
      </c>
      <c r="E83" s="2600" t="s">
        <v>2559</v>
      </c>
      <c r="F83" s="2600" t="s">
        <v>2560</v>
      </c>
      <c r="G83" s="2600" t="s">
        <v>2561</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2554</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399" t="s">
        <v>521</v>
      </c>
      <c r="D4" s="3400"/>
      <c r="E4" s="3423" t="s">
        <v>522</v>
      </c>
      <c r="F4" s="3424"/>
      <c r="G4" s="3399" t="s">
        <v>523</v>
      </c>
      <c r="H4" s="3400"/>
      <c r="I4" s="3399" t="s">
        <v>524</v>
      </c>
      <c r="J4" s="3400"/>
      <c r="K4" s="514" t="s">
        <v>525</v>
      </c>
      <c r="L4" s="2135"/>
      <c r="M4" s="2136"/>
      <c r="N4" s="2136"/>
      <c r="O4" s="2136"/>
      <c r="P4" s="3401" t="s">
        <v>526</v>
      </c>
      <c r="Q4" s="3402"/>
      <c r="R4" s="3387" t="s">
        <v>522</v>
      </c>
      <c r="S4" s="3388"/>
      <c r="T4" s="3387" t="s">
        <v>523</v>
      </c>
      <c r="U4" s="3388"/>
      <c r="V4" s="3407" t="s">
        <v>524</v>
      </c>
      <c r="W4" s="3407"/>
      <c r="X4" s="1568"/>
      <c r="Y4" s="3387" t="s">
        <v>526</v>
      </c>
      <c r="Z4" s="3388"/>
      <c r="AA4" s="3382" t="s">
        <v>522</v>
      </c>
      <c r="AB4" s="3383" t="s">
        <v>523</v>
      </c>
      <c r="AC4" s="3382" t="s">
        <v>524</v>
      </c>
    </row>
    <row r="5" spans="1:29" ht="15">
      <c r="A5" s="515"/>
      <c r="B5" s="516"/>
      <c r="C5" s="3410" t="s">
        <v>2925</v>
      </c>
      <c r="D5" s="3411"/>
      <c r="E5" s="3425" t="s">
        <v>2926</v>
      </c>
      <c r="F5" s="3426"/>
      <c r="G5" s="3410" t="s">
        <v>2927</v>
      </c>
      <c r="H5" s="3411"/>
      <c r="I5" s="3410" t="s">
        <v>2928</v>
      </c>
      <c r="J5" s="3411"/>
      <c r="K5" s="514"/>
      <c r="L5" s="2135"/>
      <c r="M5" s="2136"/>
      <c r="N5" s="2136"/>
      <c r="O5" s="2136"/>
      <c r="P5" s="3403"/>
      <c r="Q5" s="3404"/>
      <c r="R5" s="3389"/>
      <c r="S5" s="3390"/>
      <c r="T5" s="3389"/>
      <c r="U5" s="3390"/>
      <c r="V5" s="3407"/>
      <c r="W5" s="3407"/>
      <c r="X5" s="1568"/>
      <c r="Y5" s="3389"/>
      <c r="Z5" s="3390"/>
      <c r="AA5" s="3383"/>
      <c r="AB5" s="3383"/>
      <c r="AC5" s="3383"/>
    </row>
    <row r="6" spans="1:29" ht="15.75" thickBot="1">
      <c r="A6" s="517"/>
      <c r="B6" s="518"/>
      <c r="C6" s="3408" t="s">
        <v>2929</v>
      </c>
      <c r="D6" s="3409"/>
      <c r="E6" s="3427" t="s">
        <v>2929</v>
      </c>
      <c r="F6" s="3428"/>
      <c r="G6" s="3408" t="s">
        <v>2929</v>
      </c>
      <c r="H6" s="3409"/>
      <c r="I6" s="3408" t="s">
        <v>2929</v>
      </c>
      <c r="J6" s="3409"/>
      <c r="K6" s="514" t="s">
        <v>527</v>
      </c>
      <c r="L6" s="2135"/>
      <c r="M6" s="2136"/>
      <c r="N6" s="2136"/>
      <c r="O6" s="2136"/>
      <c r="P6" s="3405"/>
      <c r="Q6" s="3406"/>
      <c r="R6" s="3389"/>
      <c r="S6" s="3390"/>
      <c r="T6" s="3391"/>
      <c r="U6" s="3392"/>
      <c r="V6" s="3407"/>
      <c r="W6" s="3407"/>
      <c r="X6" s="1568"/>
      <c r="Y6" s="3391"/>
      <c r="Z6" s="3392"/>
      <c r="AA6" s="3384"/>
      <c r="AB6" s="3384"/>
      <c r="AC6" s="3384"/>
    </row>
    <row r="7" spans="1:29" s="1220" customFormat="1" ht="15.75" thickBot="1">
      <c r="A7" s="2914"/>
      <c r="B7" s="2921" t="s">
        <v>528</v>
      </c>
      <c r="C7" s="519">
        <f>'数据-取费表'!B2</f>
        <v>43446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85" t="s">
        <v>529</v>
      </c>
      <c r="Q7" s="3394"/>
      <c r="R7" s="1569" t="s">
        <v>8</v>
      </c>
      <c r="S7" s="1570">
        <f t="shared" ref="S7:S15" si="0">F7</f>
        <v>0</v>
      </c>
      <c r="T7" s="1569" t="s">
        <v>8</v>
      </c>
      <c r="U7" s="1570">
        <f t="shared" ref="U7:U15" si="1">H7</f>
        <v>0</v>
      </c>
      <c r="V7" s="1569" t="s">
        <v>8</v>
      </c>
      <c r="W7" s="1570">
        <f t="shared" ref="W7:W15" si="2">J7</f>
        <v>0</v>
      </c>
      <c r="X7" s="1571"/>
      <c r="Y7" s="3385" t="s">
        <v>529</v>
      </c>
      <c r="Z7" s="3386"/>
      <c r="AA7" s="1572" t="e">
        <f>D7/F7</f>
        <v>#DIV/0!</v>
      </c>
      <c r="AB7" s="1572" t="e">
        <f>D7/H7</f>
        <v>#DIV/0!</v>
      </c>
      <c r="AC7" s="1572" t="e">
        <f>D7/J7</f>
        <v>#DIV/0!</v>
      </c>
    </row>
    <row r="8" spans="1:29" s="1220" customFormat="1" ht="15.75" thickBot="1">
      <c r="A8" s="2915"/>
      <c r="B8" s="2922"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85" t="s">
        <v>532</v>
      </c>
      <c r="Q8" s="3386"/>
      <c r="R8" s="1569" t="s">
        <v>8</v>
      </c>
      <c r="S8" s="1570">
        <f t="shared" si="0"/>
        <v>0</v>
      </c>
      <c r="T8" s="1569" t="s">
        <v>8</v>
      </c>
      <c r="U8" s="1570">
        <f t="shared" si="1"/>
        <v>0</v>
      </c>
      <c r="V8" s="1569" t="s">
        <v>8</v>
      </c>
      <c r="W8" s="1570">
        <f t="shared" si="2"/>
        <v>0</v>
      </c>
      <c r="X8" s="1571"/>
      <c r="Y8" s="3385" t="s">
        <v>532</v>
      </c>
      <c r="Z8" s="3386"/>
      <c r="AA8" s="1572" t="e">
        <f t="shared" ref="AA8:AA40" si="3">D8/F8</f>
        <v>#DIV/0!</v>
      </c>
      <c r="AB8" s="1572" t="e">
        <f t="shared" ref="AB8:AB40" si="4">D8/H8</f>
        <v>#DIV/0!</v>
      </c>
      <c r="AC8" s="1572" t="e">
        <f t="shared" ref="AC8:AC40" si="5">D8/J8</f>
        <v>#DIV/0!</v>
      </c>
    </row>
    <row r="9" spans="1:29" s="1220" customFormat="1" ht="15">
      <c r="A9" s="2916"/>
      <c r="B9" s="2923" t="s">
        <v>2754</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93" t="s">
        <v>534</v>
      </c>
      <c r="Q9" s="1151" t="str">
        <f t="shared" ref="Q9:Q15" si="6">B9</f>
        <v>用途</v>
      </c>
      <c r="R9" s="1569" t="s">
        <v>8</v>
      </c>
      <c r="S9" s="1570">
        <f t="shared" si="0"/>
        <v>100</v>
      </c>
      <c r="T9" s="1569" t="s">
        <v>8</v>
      </c>
      <c r="U9" s="1570">
        <f t="shared" si="1"/>
        <v>100</v>
      </c>
      <c r="V9" s="1569" t="s">
        <v>8</v>
      </c>
      <c r="W9" s="1570">
        <f t="shared" si="2"/>
        <v>100</v>
      </c>
      <c r="X9" s="1571"/>
      <c r="Y9" s="3350" t="s">
        <v>535</v>
      </c>
      <c r="Z9" s="1150" t="str">
        <f t="shared" ref="Z9:Z15" si="7">Q9</f>
        <v>用途</v>
      </c>
      <c r="AA9" s="1572">
        <f t="shared" si="3"/>
        <v>1</v>
      </c>
      <c r="AB9" s="1572">
        <f t="shared" si="4"/>
        <v>1</v>
      </c>
      <c r="AC9" s="1572">
        <f t="shared" si="5"/>
        <v>1</v>
      </c>
    </row>
    <row r="10" spans="1:29" s="1338" customFormat="1" ht="27">
      <c r="A10" s="2917"/>
      <c r="B10" s="2922" t="s">
        <v>2755</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8"/>
      <c r="B11" s="2922" t="s">
        <v>2756</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93"/>
      <c r="Q11" s="1151" t="str">
        <f t="shared" si="6"/>
        <v>容积率</v>
      </c>
      <c r="R11" s="1569" t="s">
        <v>8</v>
      </c>
      <c r="S11" s="1570" t="e">
        <f t="shared" si="0"/>
        <v>#N/A</v>
      </c>
      <c r="T11" s="1569" t="s">
        <v>8</v>
      </c>
      <c r="U11" s="1570" t="e">
        <f t="shared" si="1"/>
        <v>#N/A</v>
      </c>
      <c r="V11" s="1569" t="s">
        <v>8</v>
      </c>
      <c r="W11" s="1570" t="e">
        <f t="shared" si="2"/>
        <v>#N/A</v>
      </c>
      <c r="X11" s="1571"/>
      <c r="Y11" s="3350"/>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93"/>
      <c r="Q14" s="1151">
        <f t="shared" si="6"/>
        <v>111</v>
      </c>
      <c r="R14" s="1569" t="s">
        <v>8</v>
      </c>
      <c r="S14" s="1570">
        <f t="shared" si="0"/>
        <v>100</v>
      </c>
      <c r="T14" s="1569" t="s">
        <v>8</v>
      </c>
      <c r="U14" s="1570">
        <f t="shared" si="1"/>
        <v>100</v>
      </c>
      <c r="V14" s="1569" t="s">
        <v>8</v>
      </c>
      <c r="W14" s="1570">
        <f t="shared" si="2"/>
        <v>100</v>
      </c>
      <c r="X14" s="1571"/>
      <c r="Y14" s="3350"/>
      <c r="Z14" s="1150">
        <f t="shared" si="7"/>
        <v>111</v>
      </c>
      <c r="AA14" s="1572">
        <f t="shared" si="3"/>
        <v>1</v>
      </c>
      <c r="AB14" s="1572">
        <f t="shared" si="4"/>
        <v>1</v>
      </c>
      <c r="AC14" s="1572">
        <f t="shared" si="5"/>
        <v>1</v>
      </c>
    </row>
    <row r="15" spans="1:29" ht="57">
      <c r="A15" s="2912" t="s">
        <v>2752</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395" t="s">
        <v>539</v>
      </c>
      <c r="Q15" s="1573" t="str">
        <f t="shared" si="6"/>
        <v>产业集聚程度</v>
      </c>
      <c r="R15" s="1574" t="s">
        <v>8</v>
      </c>
      <c r="S15" s="1575">
        <f t="shared" si="0"/>
        <v>100</v>
      </c>
      <c r="T15" s="1574" t="s">
        <v>8</v>
      </c>
      <c r="U15" s="1575">
        <f t="shared" si="1"/>
        <v>100</v>
      </c>
      <c r="V15" s="1574" t="s">
        <v>8</v>
      </c>
      <c r="W15" s="1575">
        <f t="shared" si="2"/>
        <v>100</v>
      </c>
      <c r="X15" s="1568"/>
      <c r="Y15" s="3395"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396"/>
      <c r="Q16" s="1573"/>
      <c r="R16" s="1574"/>
      <c r="S16" s="1575"/>
      <c r="T16" s="1574"/>
      <c r="U16" s="1575"/>
      <c r="V16" s="1574"/>
      <c r="W16" s="1575"/>
      <c r="X16" s="1568"/>
      <c r="Y16" s="3396"/>
      <c r="Z16" s="1576"/>
      <c r="AA16" s="1577">
        <v>1</v>
      </c>
      <c r="AB16" s="1577">
        <v>1</v>
      </c>
      <c r="AC16" s="1577">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396"/>
      <c r="Q17" s="1573" t="str">
        <f>B17</f>
        <v>交通便捷度</v>
      </c>
      <c r="R17" s="1574" t="s">
        <v>8</v>
      </c>
      <c r="S17" s="1575">
        <f>F17</f>
        <v>100</v>
      </c>
      <c r="T17" s="1574" t="s">
        <v>8</v>
      </c>
      <c r="U17" s="1575">
        <f>H17</f>
        <v>100</v>
      </c>
      <c r="V17" s="1574" t="s">
        <v>8</v>
      </c>
      <c r="W17" s="1575">
        <f>J17</f>
        <v>100</v>
      </c>
      <c r="X17" s="1568"/>
      <c r="Y17" s="3396"/>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396"/>
      <c r="Q18" s="1573"/>
      <c r="R18" s="1574"/>
      <c r="S18" s="1575"/>
      <c r="T18" s="1574"/>
      <c r="U18" s="1575"/>
      <c r="V18" s="1574"/>
      <c r="W18" s="1575"/>
      <c r="X18" s="1568"/>
      <c r="Y18" s="3396"/>
      <c r="Z18" s="1576"/>
      <c r="AA18" s="1577">
        <v>1</v>
      </c>
      <c r="AB18" s="1577">
        <v>1</v>
      </c>
      <c r="AC18" s="1577">
        <v>1</v>
      </c>
    </row>
    <row r="19" spans="1:29" ht="42.75">
      <c r="A19" s="532"/>
      <c r="B19" s="2605" t="s">
        <v>2544</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396"/>
      <c r="Q19" s="1573" t="str">
        <f>B19</f>
        <v>公共配套设施</v>
      </c>
      <c r="R19" s="1574" t="s">
        <v>8</v>
      </c>
      <c r="S19" s="1575">
        <f>F19</f>
        <v>100</v>
      </c>
      <c r="T19" s="1574" t="s">
        <v>8</v>
      </c>
      <c r="U19" s="1575">
        <f>H19</f>
        <v>100</v>
      </c>
      <c r="V19" s="1574" t="s">
        <v>8</v>
      </c>
      <c r="W19" s="1575">
        <f>J19</f>
        <v>100</v>
      </c>
      <c r="X19" s="1568"/>
      <c r="Y19" s="3396"/>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396"/>
      <c r="Q20" s="1573"/>
      <c r="R20" s="1574"/>
      <c r="S20" s="1575"/>
      <c r="T20" s="1574"/>
      <c r="U20" s="1575"/>
      <c r="V20" s="1574"/>
      <c r="W20" s="1575"/>
      <c r="X20" s="1568"/>
      <c r="Y20" s="3396"/>
      <c r="Z20" s="1576"/>
      <c r="AA20" s="1577">
        <v>1</v>
      </c>
      <c r="AB20" s="1577">
        <v>1</v>
      </c>
      <c r="AC20" s="1577">
        <v>1</v>
      </c>
    </row>
    <row r="21" spans="1:29" ht="28.5">
      <c r="A21" s="532"/>
      <c r="B21" s="2593" t="s">
        <v>2556</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396"/>
      <c r="Q21" s="2581" t="str">
        <f>B21</f>
        <v>基础设施水平</v>
      </c>
      <c r="R21" s="1574" t="s">
        <v>8</v>
      </c>
      <c r="S21" s="1575">
        <f>F21</f>
        <v>100</v>
      </c>
      <c r="T21" s="1574" t="s">
        <v>8</v>
      </c>
      <c r="U21" s="1575">
        <f>H21</f>
        <v>100</v>
      </c>
      <c r="V21" s="1574" t="s">
        <v>8</v>
      </c>
      <c r="W21" s="1575">
        <f>J21</f>
        <v>100</v>
      </c>
      <c r="X21" s="2583"/>
      <c r="Y21" s="3396"/>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396"/>
      <c r="Q22" s="2581"/>
      <c r="R22" s="1574"/>
      <c r="S22" s="1575"/>
      <c r="T22" s="1574"/>
      <c r="U22" s="1575"/>
      <c r="V22" s="1574"/>
      <c r="W22" s="1575"/>
      <c r="X22" s="2583"/>
      <c r="Y22" s="3396"/>
      <c r="Z22" s="2582"/>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396"/>
      <c r="Q23" s="1573" t="str">
        <f>B23</f>
        <v>环境质量</v>
      </c>
      <c r="R23" s="1574" t="s">
        <v>8</v>
      </c>
      <c r="S23" s="1575">
        <f>F23</f>
        <v>100</v>
      </c>
      <c r="T23" s="1574" t="s">
        <v>8</v>
      </c>
      <c r="U23" s="1575">
        <f>H23</f>
        <v>100</v>
      </c>
      <c r="V23" s="1574" t="s">
        <v>8</v>
      </c>
      <c r="W23" s="1575">
        <f>J23</f>
        <v>100</v>
      </c>
      <c r="X23" s="1568"/>
      <c r="Y23" s="3396"/>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396"/>
      <c r="Q24" s="1573"/>
      <c r="R24" s="1574"/>
      <c r="S24" s="1575"/>
      <c r="T24" s="1574"/>
      <c r="U24" s="1575"/>
      <c r="V24" s="1574"/>
      <c r="W24" s="1575"/>
      <c r="X24" s="1568"/>
      <c r="Y24" s="3396"/>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396"/>
      <c r="Q25" s="1573">
        <f>B25</f>
        <v>111</v>
      </c>
      <c r="R25" s="1574" t="s">
        <v>8</v>
      </c>
      <c r="S25" s="1575">
        <f>F25</f>
        <v>100</v>
      </c>
      <c r="T25" s="1574" t="s">
        <v>8</v>
      </c>
      <c r="U25" s="1575">
        <f>H25</f>
        <v>100</v>
      </c>
      <c r="V25" s="1574" t="s">
        <v>8</v>
      </c>
      <c r="W25" s="1575">
        <f>J25</f>
        <v>100</v>
      </c>
      <c r="X25" s="1568"/>
      <c r="Y25" s="3396"/>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396"/>
      <c r="Q26" s="1573">
        <f t="shared" ref="Q26:Q40" si="11">B26</f>
        <v>111</v>
      </c>
      <c r="R26" s="1574" t="s">
        <v>8</v>
      </c>
      <c r="S26" s="1575">
        <f>F26</f>
        <v>100</v>
      </c>
      <c r="T26" s="1574" t="s">
        <v>8</v>
      </c>
      <c r="U26" s="1575">
        <f>H26</f>
        <v>100</v>
      </c>
      <c r="V26" s="1574" t="s">
        <v>8</v>
      </c>
      <c r="W26" s="1575">
        <f>J26</f>
        <v>100</v>
      </c>
      <c r="X26" s="1568"/>
      <c r="Y26" s="3396"/>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396"/>
      <c r="Q27" s="1151">
        <f t="shared" si="11"/>
        <v>111</v>
      </c>
      <c r="R27" s="1569" t="s">
        <v>8</v>
      </c>
      <c r="S27" s="1570">
        <f>F27</f>
        <v>100</v>
      </c>
      <c r="T27" s="1569" t="s">
        <v>8</v>
      </c>
      <c r="U27" s="1570">
        <f>H27</f>
        <v>100</v>
      </c>
      <c r="V27" s="1569" t="s">
        <v>8</v>
      </c>
      <c r="W27" s="1570">
        <f>J27</f>
        <v>100</v>
      </c>
      <c r="X27" s="1571"/>
      <c r="Y27" s="3396"/>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396"/>
      <c r="Q28" s="1573">
        <f t="shared" si="11"/>
        <v>111</v>
      </c>
      <c r="R28" s="1574" t="s">
        <v>8</v>
      </c>
      <c r="S28" s="1575">
        <f t="shared" ref="S28:S40" si="12">F28</f>
        <v>100</v>
      </c>
      <c r="T28" s="1574" t="s">
        <v>8</v>
      </c>
      <c r="U28" s="1575">
        <f t="shared" ref="U28:U40" si="13">H28</f>
        <v>100</v>
      </c>
      <c r="V28" s="1574" t="s">
        <v>8</v>
      </c>
      <c r="W28" s="1575">
        <f t="shared" ref="W28:W40" si="14">J28</f>
        <v>100</v>
      </c>
      <c r="X28" s="1568"/>
      <c r="Y28" s="3396"/>
      <c r="Z28" s="1576">
        <f t="shared" ref="Z28:Z40" si="15">Q28</f>
        <v>111</v>
      </c>
      <c r="AA28" s="1577">
        <f t="shared" si="3"/>
        <v>1</v>
      </c>
      <c r="AB28" s="1577">
        <f t="shared" si="4"/>
        <v>1</v>
      </c>
      <c r="AC28" s="1577">
        <f t="shared" si="5"/>
        <v>1</v>
      </c>
    </row>
    <row r="29" spans="1:29" ht="15">
      <c r="A29" s="2909" t="s">
        <v>2753</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397" t="s">
        <v>549</v>
      </c>
      <c r="Q29" s="1573" t="str">
        <f t="shared" si="11"/>
        <v>建筑类型</v>
      </c>
      <c r="R29" s="1574" t="s">
        <v>8</v>
      </c>
      <c r="S29" s="1575">
        <f t="shared" si="12"/>
        <v>100</v>
      </c>
      <c r="T29" s="1574" t="s">
        <v>8</v>
      </c>
      <c r="U29" s="1575">
        <f t="shared" si="13"/>
        <v>100</v>
      </c>
      <c r="V29" s="1574" t="s">
        <v>8</v>
      </c>
      <c r="W29" s="1575">
        <f t="shared" si="14"/>
        <v>100</v>
      </c>
      <c r="X29" s="1568"/>
      <c r="Y29" s="3398"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398"/>
      <c r="Q30" s="1606" t="str">
        <f t="shared" si="11"/>
        <v>项目建筑规模</v>
      </c>
      <c r="R30" s="1578" t="s">
        <v>8</v>
      </c>
      <c r="S30" s="1579" t="e">
        <f t="shared" si="12"/>
        <v>#N/A</v>
      </c>
      <c r="T30" s="1578" t="s">
        <v>8</v>
      </c>
      <c r="U30" s="1579" t="e">
        <f t="shared" si="13"/>
        <v>#N/A</v>
      </c>
      <c r="V30" s="1578" t="s">
        <v>8</v>
      </c>
      <c r="W30" s="1579" t="e">
        <f t="shared" si="14"/>
        <v>#N/A</v>
      </c>
      <c r="X30" s="1580"/>
      <c r="Y30" s="3398"/>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398"/>
      <c r="Q31" s="1573" t="str">
        <f t="shared" si="11"/>
        <v>建筑结构</v>
      </c>
      <c r="R31" s="1574" t="s">
        <v>8</v>
      </c>
      <c r="S31" s="1575">
        <f t="shared" si="12"/>
        <v>100</v>
      </c>
      <c r="T31" s="1574" t="s">
        <v>8</v>
      </c>
      <c r="U31" s="1575">
        <f t="shared" si="13"/>
        <v>100</v>
      </c>
      <c r="V31" s="1574" t="s">
        <v>8</v>
      </c>
      <c r="W31" s="1575">
        <f t="shared" si="14"/>
        <v>100</v>
      </c>
      <c r="X31" s="1568"/>
      <c r="Y31" s="3398"/>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398"/>
      <c r="Q32" s="1573" t="str">
        <f t="shared" si="11"/>
        <v>公共部分装修</v>
      </c>
      <c r="R32" s="1574" t="s">
        <v>8</v>
      </c>
      <c r="S32" s="1575">
        <f t="shared" si="12"/>
        <v>100</v>
      </c>
      <c r="T32" s="1574" t="s">
        <v>8</v>
      </c>
      <c r="U32" s="1575">
        <f t="shared" si="13"/>
        <v>100</v>
      </c>
      <c r="V32" s="1574" t="s">
        <v>8</v>
      </c>
      <c r="W32" s="1575">
        <f t="shared" si="14"/>
        <v>100</v>
      </c>
      <c r="X32" s="1568"/>
      <c r="Y32" s="3398"/>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398"/>
      <c r="Q33" s="1573" t="str">
        <f t="shared" si="11"/>
        <v>成新度</v>
      </c>
      <c r="R33" s="1574" t="s">
        <v>8</v>
      </c>
      <c r="S33" s="1575" t="e">
        <f t="shared" si="12"/>
        <v>#N/A</v>
      </c>
      <c r="T33" s="1574" t="s">
        <v>8</v>
      </c>
      <c r="U33" s="1575" t="e">
        <f t="shared" si="13"/>
        <v>#N/A</v>
      </c>
      <c r="V33" s="1574" t="s">
        <v>8</v>
      </c>
      <c r="W33" s="1575" t="e">
        <f t="shared" si="14"/>
        <v>#N/A</v>
      </c>
      <c r="X33" s="1568"/>
      <c r="Y33" s="3398"/>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398"/>
      <c r="Q34" s="1151" t="str">
        <f t="shared" si="11"/>
        <v>物业管理</v>
      </c>
      <c r="R34" s="1569" t="s">
        <v>8</v>
      </c>
      <c r="S34" s="1570">
        <f t="shared" si="12"/>
        <v>100</v>
      </c>
      <c r="T34" s="1569" t="s">
        <v>8</v>
      </c>
      <c r="U34" s="1570">
        <f t="shared" si="13"/>
        <v>100</v>
      </c>
      <c r="V34" s="1569" t="s">
        <v>8</v>
      </c>
      <c r="W34" s="1570">
        <f t="shared" si="14"/>
        <v>100</v>
      </c>
      <c r="X34" s="1571"/>
      <c r="Y34" s="3398"/>
      <c r="Z34" s="1150" t="str">
        <f t="shared" si="15"/>
        <v>物业管理</v>
      </c>
      <c r="AA34" s="1572">
        <f t="shared" si="3"/>
        <v>1</v>
      </c>
      <c r="AB34" s="1572">
        <f t="shared" si="4"/>
        <v>1</v>
      </c>
      <c r="AC34" s="1572">
        <f t="shared" si="5"/>
        <v>1</v>
      </c>
    </row>
    <row r="35" spans="1:29" ht="15">
      <c r="A35" s="594"/>
      <c r="B35" s="1897"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398" t="s">
        <v>549</v>
      </c>
      <c r="Q35" s="1573" t="str">
        <f t="shared" si="11"/>
        <v>市政基础设施</v>
      </c>
      <c r="R35" s="1574" t="s">
        <v>8</v>
      </c>
      <c r="S35" s="1575">
        <f t="shared" si="12"/>
        <v>100</v>
      </c>
      <c r="T35" s="1574" t="s">
        <v>8</v>
      </c>
      <c r="U35" s="1575">
        <f t="shared" si="13"/>
        <v>100</v>
      </c>
      <c r="V35" s="1574" t="s">
        <v>8</v>
      </c>
      <c r="W35" s="1575">
        <f t="shared" si="14"/>
        <v>100</v>
      </c>
      <c r="X35" s="1568"/>
      <c r="Y35" s="3398"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398"/>
      <c r="Q36" s="1573" t="str">
        <f t="shared" si="11"/>
        <v>内部装修</v>
      </c>
      <c r="R36" s="1574" t="s">
        <v>8</v>
      </c>
      <c r="S36" s="1575">
        <f t="shared" si="12"/>
        <v>100</v>
      </c>
      <c r="T36" s="1574" t="s">
        <v>8</v>
      </c>
      <c r="U36" s="1575">
        <f t="shared" si="13"/>
        <v>100</v>
      </c>
      <c r="V36" s="1574" t="s">
        <v>8</v>
      </c>
      <c r="W36" s="1575">
        <f t="shared" si="14"/>
        <v>100</v>
      </c>
      <c r="X36" s="1568"/>
      <c r="Y36" s="3398"/>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398"/>
      <c r="Q37" s="1573" t="str">
        <f t="shared" si="11"/>
        <v>内部装修状况</v>
      </c>
      <c r="R37" s="1574" t="s">
        <v>8</v>
      </c>
      <c r="S37" s="1575">
        <f t="shared" si="12"/>
        <v>100</v>
      </c>
      <c r="T37" s="1574" t="s">
        <v>8</v>
      </c>
      <c r="U37" s="1575">
        <f t="shared" si="13"/>
        <v>100</v>
      </c>
      <c r="V37" s="1574" t="s">
        <v>8</v>
      </c>
      <c r="W37" s="1575">
        <f t="shared" si="14"/>
        <v>100</v>
      </c>
      <c r="X37" s="1568"/>
      <c r="Y37" s="3398"/>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398"/>
      <c r="Q38" s="1606">
        <f t="shared" si="11"/>
        <v>111</v>
      </c>
      <c r="R38" s="1578" t="s">
        <v>8</v>
      </c>
      <c r="S38" s="1579">
        <f t="shared" si="12"/>
        <v>100</v>
      </c>
      <c r="T38" s="1578" t="s">
        <v>8</v>
      </c>
      <c r="U38" s="1579">
        <f t="shared" si="13"/>
        <v>100</v>
      </c>
      <c r="V38" s="1578" t="s">
        <v>8</v>
      </c>
      <c r="W38" s="1579">
        <f t="shared" si="14"/>
        <v>100</v>
      </c>
      <c r="X38" s="1580"/>
      <c r="Y38" s="3398"/>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398"/>
      <c r="Q39" s="1573">
        <f t="shared" si="11"/>
        <v>111</v>
      </c>
      <c r="R39" s="1574" t="s">
        <v>8</v>
      </c>
      <c r="S39" s="1575">
        <f t="shared" si="12"/>
        <v>100</v>
      </c>
      <c r="T39" s="1574" t="s">
        <v>8</v>
      </c>
      <c r="U39" s="1575">
        <f t="shared" si="13"/>
        <v>100</v>
      </c>
      <c r="V39" s="1574" t="s">
        <v>8</v>
      </c>
      <c r="W39" s="1575">
        <f t="shared" si="14"/>
        <v>100</v>
      </c>
      <c r="X39" s="1568"/>
      <c r="Y39" s="3398"/>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75"/>
      <c r="Q40" s="1573">
        <f t="shared" si="11"/>
        <v>111</v>
      </c>
      <c r="R40" s="1574" t="s">
        <v>8</v>
      </c>
      <c r="S40" s="1575">
        <f t="shared" si="12"/>
        <v>100</v>
      </c>
      <c r="T40" s="1574" t="s">
        <v>8</v>
      </c>
      <c r="U40" s="1575">
        <f t="shared" si="13"/>
        <v>100</v>
      </c>
      <c r="V40" s="1574" t="s">
        <v>8</v>
      </c>
      <c r="W40" s="1575">
        <f t="shared" si="14"/>
        <v>100</v>
      </c>
      <c r="X40" s="1568"/>
      <c r="Y40" s="3475"/>
      <c r="Z40" s="1576">
        <f t="shared" si="15"/>
        <v>111</v>
      </c>
      <c r="AA40" s="1577">
        <f t="shared" si="3"/>
        <v>1</v>
      </c>
      <c r="AB40" s="1577">
        <f t="shared" si="4"/>
        <v>1</v>
      </c>
      <c r="AC40" s="1577">
        <f t="shared" si="5"/>
        <v>1</v>
      </c>
    </row>
    <row r="41" spans="1:29" ht="15">
      <c r="A41" s="607" t="s">
        <v>735</v>
      </c>
      <c r="B41" s="887"/>
      <c r="C41" s="2629" t="s">
        <v>1</v>
      </c>
      <c r="D41" s="2630"/>
      <c r="E41" s="2631"/>
      <c r="F41" s="2632"/>
      <c r="G41" s="2633"/>
      <c r="H41" s="2634"/>
      <c r="I41" s="2631"/>
      <c r="J41" s="2634"/>
      <c r="K41" s="1612"/>
      <c r="L41" s="2146"/>
      <c r="M41" s="2147"/>
      <c r="N41" s="2136"/>
      <c r="O41" s="2147"/>
      <c r="P41" s="3393" t="str">
        <f>A41</f>
        <v>成交单价（元/平方米）</v>
      </c>
      <c r="Q41" s="3393"/>
      <c r="R41" s="3474">
        <f>E41</f>
        <v>0</v>
      </c>
      <c r="S41" s="3474"/>
      <c r="T41" s="3474">
        <f>G41</f>
        <v>0</v>
      </c>
      <c r="U41" s="3474"/>
      <c r="V41" s="3474">
        <f>I41</f>
        <v>0</v>
      </c>
      <c r="W41" s="3474"/>
      <c r="X41" s="1560"/>
      <c r="Y41" s="1582"/>
      <c r="Z41" s="1560"/>
      <c r="AA41" s="1560"/>
      <c r="AB41" s="1560"/>
      <c r="AC41" s="1560"/>
    </row>
    <row r="42" spans="1:29" ht="15.75" thickBot="1">
      <c r="A42" s="615" t="s">
        <v>2758</v>
      </c>
      <c r="B42" s="888"/>
      <c r="C42" s="2635" t="e">
        <f>R43</f>
        <v>#DIV/0!</v>
      </c>
      <c r="D42" s="2636"/>
      <c r="E42" s="2637" t="e">
        <f>R42</f>
        <v>#DIV/0!</v>
      </c>
      <c r="F42" s="2637"/>
      <c r="G42" s="2635" t="e">
        <f>T42</f>
        <v>#DIV/0!</v>
      </c>
      <c r="H42" s="2636"/>
      <c r="I42" s="2637" t="e">
        <f>V42</f>
        <v>#DIV/0!</v>
      </c>
      <c r="J42" s="2636"/>
      <c r="K42" s="1613"/>
      <c r="L42" s="2146"/>
      <c r="M42" s="2147"/>
      <c r="N42" s="2136"/>
      <c r="O42" s="2147"/>
      <c r="P42" s="3393" t="str">
        <f>A42</f>
        <v>比较价格（元/平方米）</v>
      </c>
      <c r="Q42" s="339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560"/>
      <c r="Y42" s="1560"/>
      <c r="Z42" s="1560"/>
      <c r="AA42" s="1560"/>
      <c r="AB42" s="1560"/>
      <c r="AC42" s="1560"/>
    </row>
    <row r="43" spans="1:29" ht="15.75" thickBot="1">
      <c r="A43" s="621" t="s">
        <v>2931</v>
      </c>
      <c r="B43" s="622"/>
      <c r="C43" s="2638" t="e">
        <f>R43</f>
        <v>#DIV/0!</v>
      </c>
      <c r="D43" s="2638"/>
      <c r="E43" s="2638"/>
      <c r="F43" s="2638"/>
      <c r="G43" s="2638"/>
      <c r="H43" s="2638"/>
      <c r="I43" s="2638"/>
      <c r="J43" s="2638"/>
      <c r="K43" s="1614"/>
      <c r="L43" s="2146"/>
      <c r="M43" s="2147"/>
      <c r="N43" s="2147"/>
      <c r="O43" s="2147"/>
      <c r="P43" s="3414" t="str">
        <f>A43</f>
        <v>估价对象XX用房的比较价格（楼面单价，元/平方米）</v>
      </c>
      <c r="Q43" s="3415"/>
      <c r="R43" s="3473" t="e">
        <f>IF(F1="售价",ROUND(AVERAGE(R42:V42),0),ROUND(AVERAGE(R42:V42),1))</f>
        <v>#DIV/0!</v>
      </c>
      <c r="S43" s="3473"/>
      <c r="T43" s="3473"/>
      <c r="U43" s="3473"/>
      <c r="V43" s="3473"/>
      <c r="W43" s="3473"/>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4" t="str">
        <f>YEAR(C7)&amp;"-"&amp;MONTH(C7)</f>
        <v>2018-12</v>
      </c>
      <c r="D52" s="2806">
        <f>EDATE(C52,-1)</f>
        <v>43405</v>
      </c>
      <c r="E52" s="2806">
        <f t="shared" ref="E52:O52" si="16">EDATE(D52,-1)</f>
        <v>43374</v>
      </c>
      <c r="F52" s="2806">
        <f t="shared" si="16"/>
        <v>43344</v>
      </c>
      <c r="G52" s="2806">
        <f t="shared" si="16"/>
        <v>43313</v>
      </c>
      <c r="H52" s="2806">
        <f t="shared" si="16"/>
        <v>43282</v>
      </c>
      <c r="I52" s="2806">
        <f t="shared" si="16"/>
        <v>43252</v>
      </c>
      <c r="J52" s="2806">
        <f t="shared" si="16"/>
        <v>43221</v>
      </c>
      <c r="K52" s="2806">
        <f t="shared" si="16"/>
        <v>43191</v>
      </c>
      <c r="L52" s="2806">
        <f t="shared" si="16"/>
        <v>43160</v>
      </c>
      <c r="M52" s="2806">
        <f t="shared" si="16"/>
        <v>43132</v>
      </c>
      <c r="N52" s="2806">
        <f t="shared" si="16"/>
        <v>43101</v>
      </c>
      <c r="O52" s="2806">
        <f t="shared" si="16"/>
        <v>43070</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2555</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2556</v>
      </c>
      <c r="C76" s="2600" t="s">
        <v>2557</v>
      </c>
      <c r="D76" s="2600" t="s">
        <v>2558</v>
      </c>
      <c r="E76" s="2600" t="s">
        <v>2559</v>
      </c>
      <c r="F76" s="2600" t="s">
        <v>2560</v>
      </c>
      <c r="G76" s="2600" t="s">
        <v>2561</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2554</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2077</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9" t="s">
        <v>797</v>
      </c>
      <c r="D4" s="3400"/>
      <c r="E4" s="3399" t="s">
        <v>798</v>
      </c>
      <c r="F4" s="3400"/>
      <c r="G4" s="3399" t="s">
        <v>799</v>
      </c>
      <c r="H4" s="3400"/>
      <c r="I4" s="3399" t="s">
        <v>800</v>
      </c>
      <c r="J4" s="3400"/>
      <c r="K4" s="514" t="s">
        <v>801</v>
      </c>
      <c r="L4" s="2135"/>
      <c r="M4" s="2136"/>
      <c r="N4" s="2136"/>
      <c r="O4" s="2136"/>
      <c r="P4" s="3401" t="s">
        <v>802</v>
      </c>
      <c r="Q4" s="3402"/>
      <c r="R4" s="3387" t="s">
        <v>798</v>
      </c>
      <c r="S4" s="3388"/>
      <c r="T4" s="3387" t="s">
        <v>799</v>
      </c>
      <c r="U4" s="3388"/>
      <c r="V4" s="3407" t="s">
        <v>800</v>
      </c>
      <c r="W4" s="3407"/>
      <c r="X4" s="1568"/>
      <c r="Y4" s="3387" t="s">
        <v>802</v>
      </c>
      <c r="Z4" s="3388"/>
      <c r="AA4" s="3382" t="s">
        <v>798</v>
      </c>
      <c r="AB4" s="3383" t="s">
        <v>799</v>
      </c>
      <c r="AC4" s="3382" t="s">
        <v>800</v>
      </c>
    </row>
    <row r="5" spans="1:29" ht="15">
      <c r="A5" s="515"/>
      <c r="B5" s="516"/>
      <c r="C5" s="3410" t="s">
        <v>2925</v>
      </c>
      <c r="D5" s="3411"/>
      <c r="E5" s="3410" t="s">
        <v>2926</v>
      </c>
      <c r="F5" s="3411"/>
      <c r="G5" s="3410" t="s">
        <v>2927</v>
      </c>
      <c r="H5" s="3411"/>
      <c r="I5" s="3410" t="s">
        <v>2928</v>
      </c>
      <c r="J5" s="3411"/>
      <c r="K5" s="514"/>
      <c r="L5" s="2135"/>
      <c r="M5" s="2136"/>
      <c r="N5" s="2136"/>
      <c r="O5" s="2136"/>
      <c r="P5" s="3403"/>
      <c r="Q5" s="3404"/>
      <c r="R5" s="3389"/>
      <c r="S5" s="3390"/>
      <c r="T5" s="3389"/>
      <c r="U5" s="3390"/>
      <c r="V5" s="3407"/>
      <c r="W5" s="3407"/>
      <c r="X5" s="1568"/>
      <c r="Y5" s="3389"/>
      <c r="Z5" s="3390"/>
      <c r="AA5" s="3383"/>
      <c r="AB5" s="3383"/>
      <c r="AC5" s="3383"/>
    </row>
    <row r="6" spans="1:29" ht="15.75" thickBot="1">
      <c r="A6" s="517"/>
      <c r="B6" s="518"/>
      <c r="C6" s="3408" t="s">
        <v>2929</v>
      </c>
      <c r="D6" s="3409"/>
      <c r="E6" s="3412" t="s">
        <v>2929</v>
      </c>
      <c r="F6" s="3413"/>
      <c r="G6" s="3408" t="s">
        <v>2929</v>
      </c>
      <c r="H6" s="3409"/>
      <c r="I6" s="3408" t="s">
        <v>2929</v>
      </c>
      <c r="J6" s="3409"/>
      <c r="K6" s="514" t="s">
        <v>527</v>
      </c>
      <c r="L6" s="2135"/>
      <c r="M6" s="2136"/>
      <c r="N6" s="2136"/>
      <c r="O6" s="2136"/>
      <c r="P6" s="3405"/>
      <c r="Q6" s="3406"/>
      <c r="R6" s="3389"/>
      <c r="S6" s="3390"/>
      <c r="T6" s="3391"/>
      <c r="U6" s="3392"/>
      <c r="V6" s="3407"/>
      <c r="W6" s="3407"/>
      <c r="X6" s="1568"/>
      <c r="Y6" s="3391"/>
      <c r="Z6" s="3392"/>
      <c r="AA6" s="3384"/>
      <c r="AB6" s="3384"/>
      <c r="AC6" s="3384"/>
    </row>
    <row r="7" spans="1:29" s="1220" customFormat="1" ht="15.75" thickBot="1">
      <c r="A7" s="2914"/>
      <c r="B7" s="2921" t="s">
        <v>528</v>
      </c>
      <c r="C7" s="519">
        <f>'数据-取费表'!B2</f>
        <v>43446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85" t="s">
        <v>529</v>
      </c>
      <c r="Q7" s="3394"/>
      <c r="R7" s="1569" t="s">
        <v>8</v>
      </c>
      <c r="S7" s="1570">
        <f t="shared" ref="S7:S14" si="0">F7</f>
        <v>0</v>
      </c>
      <c r="T7" s="1569" t="s">
        <v>8</v>
      </c>
      <c r="U7" s="1570">
        <f t="shared" ref="U7:U14" si="1">H7</f>
        <v>0</v>
      </c>
      <c r="V7" s="1569" t="s">
        <v>8</v>
      </c>
      <c r="W7" s="1570">
        <f t="shared" ref="W7:W14" si="2">J7</f>
        <v>0</v>
      </c>
      <c r="X7" s="1571"/>
      <c r="Y7" s="3385" t="s">
        <v>529</v>
      </c>
      <c r="Z7" s="3386"/>
      <c r="AA7" s="1572" t="e">
        <f>D7/F7</f>
        <v>#DIV/0!</v>
      </c>
      <c r="AB7" s="1572" t="e">
        <f>D7/H7</f>
        <v>#DIV/0!</v>
      </c>
      <c r="AC7" s="1572" t="e">
        <f>D7/J7</f>
        <v>#DIV/0!</v>
      </c>
    </row>
    <row r="8" spans="1:29" s="1220" customFormat="1" ht="15.75" thickBot="1">
      <c r="A8" s="2915"/>
      <c r="B8" s="2922"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85" t="s">
        <v>532</v>
      </c>
      <c r="Q8" s="3386"/>
      <c r="R8" s="1569" t="s">
        <v>8</v>
      </c>
      <c r="S8" s="1570">
        <f t="shared" si="0"/>
        <v>0</v>
      </c>
      <c r="T8" s="1569" t="s">
        <v>8</v>
      </c>
      <c r="U8" s="1570">
        <f t="shared" si="1"/>
        <v>0</v>
      </c>
      <c r="V8" s="1569" t="s">
        <v>8</v>
      </c>
      <c r="W8" s="1570">
        <f t="shared" si="2"/>
        <v>0</v>
      </c>
      <c r="X8" s="1571"/>
      <c r="Y8" s="3385" t="s">
        <v>532</v>
      </c>
      <c r="Z8" s="3386"/>
      <c r="AA8" s="1572" t="e">
        <f t="shared" ref="AA8:AA36" si="3">D8/F8</f>
        <v>#DIV/0!</v>
      </c>
      <c r="AB8" s="1572" t="e">
        <f t="shared" ref="AB8:AB36" si="4">D8/H8</f>
        <v>#DIV/0!</v>
      </c>
      <c r="AC8" s="1572" t="e">
        <f t="shared" ref="AC8:AC36" si="5">D8/J8</f>
        <v>#DIV/0!</v>
      </c>
    </row>
    <row r="9" spans="1:29" s="1220" customFormat="1" ht="15">
      <c r="A9" s="2916"/>
      <c r="B9" s="2923" t="s">
        <v>2754</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93" t="s">
        <v>534</v>
      </c>
      <c r="Q9" s="1151" t="str">
        <f t="shared" ref="Q9:Q14" si="6">B9</f>
        <v>用途</v>
      </c>
      <c r="R9" s="1569" t="s">
        <v>8</v>
      </c>
      <c r="S9" s="1570">
        <f t="shared" si="0"/>
        <v>100</v>
      </c>
      <c r="T9" s="1569" t="s">
        <v>8</v>
      </c>
      <c r="U9" s="1570">
        <f t="shared" si="1"/>
        <v>100</v>
      </c>
      <c r="V9" s="1569" t="s">
        <v>8</v>
      </c>
      <c r="W9" s="1570">
        <f t="shared" si="2"/>
        <v>100</v>
      </c>
      <c r="X9" s="1571"/>
      <c r="Y9" s="3350" t="s">
        <v>535</v>
      </c>
      <c r="Z9" s="1150" t="str">
        <f t="shared" ref="Z9:Z14" si="7">Q9</f>
        <v>用途</v>
      </c>
      <c r="AA9" s="1572">
        <f t="shared" si="3"/>
        <v>1</v>
      </c>
      <c r="AB9" s="1572">
        <f t="shared" si="4"/>
        <v>1</v>
      </c>
      <c r="AC9" s="1572">
        <f t="shared" si="5"/>
        <v>1</v>
      </c>
    </row>
    <row r="10" spans="1:29" s="1338" customFormat="1" ht="27">
      <c r="A10" s="2917"/>
      <c r="B10" s="2922" t="s">
        <v>2755</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93"/>
      <c r="Q11" s="1151">
        <f t="shared" si="6"/>
        <v>111</v>
      </c>
      <c r="R11" s="1569" t="s">
        <v>8</v>
      </c>
      <c r="S11" s="1570">
        <f t="shared" si="0"/>
        <v>100</v>
      </c>
      <c r="T11" s="1569" t="s">
        <v>8</v>
      </c>
      <c r="U11" s="1570">
        <f t="shared" si="1"/>
        <v>100</v>
      </c>
      <c r="V11" s="1569" t="s">
        <v>8</v>
      </c>
      <c r="W11" s="1570">
        <f t="shared" si="2"/>
        <v>100</v>
      </c>
      <c r="X11" s="1571"/>
      <c r="Y11" s="3350"/>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99.75">
      <c r="A14" s="2912" t="s">
        <v>2752</v>
      </c>
      <c r="B14" s="547" t="s">
        <v>542</v>
      </c>
      <c r="C14" s="921" t="str">
        <f>IF(B1="工业",估价对象房地状况!G4,估价对象房地状况!C6)</f>
        <v>估价对象周边道路通达状况较好、公共交通通达情况一般、停车较便捷，综合评价交通便捷度一般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395" t="s">
        <v>539</v>
      </c>
      <c r="Q14" s="1573" t="str">
        <f t="shared" si="6"/>
        <v>交通便捷度</v>
      </c>
      <c r="R14" s="1574" t="s">
        <v>8</v>
      </c>
      <c r="S14" s="1575">
        <f t="shared" si="0"/>
        <v>100</v>
      </c>
      <c r="T14" s="1574" t="s">
        <v>8</v>
      </c>
      <c r="U14" s="1575">
        <f t="shared" si="1"/>
        <v>100</v>
      </c>
      <c r="V14" s="1574" t="s">
        <v>8</v>
      </c>
      <c r="W14" s="1575">
        <f t="shared" si="2"/>
        <v>100</v>
      </c>
      <c r="X14" s="1568"/>
      <c r="Y14" s="3395"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396"/>
      <c r="Q15" s="1573"/>
      <c r="R15" s="1574"/>
      <c r="S15" s="1575"/>
      <c r="T15" s="1574"/>
      <c r="U15" s="1575"/>
      <c r="V15" s="1574"/>
      <c r="W15" s="1575"/>
      <c r="X15" s="1568"/>
      <c r="Y15" s="3396"/>
      <c r="Z15" s="1576"/>
      <c r="AA15" s="1577">
        <v>1</v>
      </c>
      <c r="AB15" s="1577">
        <v>1</v>
      </c>
      <c r="AC15" s="1577">
        <v>1</v>
      </c>
    </row>
    <row r="16" spans="1:29" ht="42.75">
      <c r="A16" s="515"/>
      <c r="B16" s="2605" t="s">
        <v>2544</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396"/>
      <c r="Q17" s="1573"/>
      <c r="R17" s="1574"/>
      <c r="S17" s="1575"/>
      <c r="T17" s="1574"/>
      <c r="U17" s="1575"/>
      <c r="V17" s="1574"/>
      <c r="W17" s="1575"/>
      <c r="X17" s="1568"/>
      <c r="Y17" s="3396"/>
      <c r="Z17" s="1576"/>
      <c r="AA17" s="1577">
        <v>1</v>
      </c>
      <c r="AB17" s="1577">
        <v>1</v>
      </c>
      <c r="AC17" s="1577">
        <v>1</v>
      </c>
    </row>
    <row r="18" spans="1:29" ht="42.75">
      <c r="A18" s="515"/>
      <c r="B18" s="2593" t="s">
        <v>2556</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396"/>
      <c r="Q18" s="2581" t="str">
        <f>B18</f>
        <v>基础设施水平</v>
      </c>
      <c r="R18" s="1574" t="s">
        <v>8</v>
      </c>
      <c r="S18" s="1575">
        <f>F18</f>
        <v>100</v>
      </c>
      <c r="T18" s="1574" t="s">
        <v>8</v>
      </c>
      <c r="U18" s="1575">
        <f>H18</f>
        <v>100</v>
      </c>
      <c r="V18" s="1574" t="s">
        <v>8</v>
      </c>
      <c r="W18" s="1575">
        <f>J18</f>
        <v>100</v>
      </c>
      <c r="X18" s="2583"/>
      <c r="Y18" s="3396"/>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396"/>
      <c r="Q19" s="2581"/>
      <c r="R19" s="1574"/>
      <c r="S19" s="1575"/>
      <c r="T19" s="1574"/>
      <c r="U19" s="1575"/>
      <c r="V19" s="1574"/>
      <c r="W19" s="1575"/>
      <c r="X19" s="2583"/>
      <c r="Y19" s="3396"/>
      <c r="Z19" s="2582"/>
      <c r="AA19" s="1577">
        <v>1</v>
      </c>
      <c r="AB19" s="1577">
        <v>1</v>
      </c>
      <c r="AC19" s="1577">
        <v>1</v>
      </c>
    </row>
    <row r="20" spans="1:29" ht="57">
      <c r="A20" s="515"/>
      <c r="B20" s="560" t="s">
        <v>803</v>
      </c>
      <c r="C20" s="872" t="str">
        <f>IF(B1="工业",估价对象房地状况!G7,估价对象房地状况!C9)</f>
        <v>区域自然环境较好；人文环境一般；综合评价环境状况一般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396"/>
      <c r="Q21" s="1573"/>
      <c r="R21" s="1574"/>
      <c r="S21" s="1575"/>
      <c r="T21" s="1574"/>
      <c r="U21" s="1575"/>
      <c r="V21" s="1574"/>
      <c r="W21" s="1575"/>
      <c r="X21" s="1568"/>
      <c r="Y21" s="3396"/>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396"/>
      <c r="Q24" s="1573">
        <f t="shared" ref="Q24:Q36"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909" t="s">
        <v>2753</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397"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8"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398"/>
      <c r="Q27" s="1606" t="str">
        <f t="shared" si="11"/>
        <v>项目停车位配比</v>
      </c>
      <c r="R27" s="1578" t="s">
        <v>8</v>
      </c>
      <c r="S27" s="1579">
        <f t="shared" si="12"/>
        <v>100</v>
      </c>
      <c r="T27" s="1578" t="s">
        <v>8</v>
      </c>
      <c r="U27" s="1579">
        <f t="shared" si="13"/>
        <v>100</v>
      </c>
      <c r="V27" s="1578" t="s">
        <v>8</v>
      </c>
      <c r="W27" s="1579">
        <f t="shared" si="14"/>
        <v>100</v>
      </c>
      <c r="X27" s="1580"/>
      <c r="Y27" s="3398"/>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398"/>
      <c r="Q28" s="1573" t="str">
        <f t="shared" si="11"/>
        <v>公共部分装修</v>
      </c>
      <c r="R28" s="1574" t="s">
        <v>8</v>
      </c>
      <c r="S28" s="1575">
        <f t="shared" si="12"/>
        <v>100</v>
      </c>
      <c r="T28" s="1574" t="s">
        <v>8</v>
      </c>
      <c r="U28" s="1575">
        <f t="shared" si="13"/>
        <v>100</v>
      </c>
      <c r="V28" s="1574" t="s">
        <v>8</v>
      </c>
      <c r="W28" s="1575">
        <f t="shared" si="14"/>
        <v>100</v>
      </c>
      <c r="X28" s="1568"/>
      <c r="Y28" s="3398"/>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398"/>
      <c r="Q29" s="1573" t="str">
        <f t="shared" si="11"/>
        <v>成新率</v>
      </c>
      <c r="R29" s="1574" t="s">
        <v>8</v>
      </c>
      <c r="S29" s="1575" t="e">
        <f t="shared" si="12"/>
        <v>#N/A</v>
      </c>
      <c r="T29" s="1574" t="s">
        <v>8</v>
      </c>
      <c r="U29" s="1575" t="e">
        <f t="shared" si="13"/>
        <v>#N/A</v>
      </c>
      <c r="V29" s="1574" t="s">
        <v>8</v>
      </c>
      <c r="W29" s="1575" t="e">
        <f t="shared" si="14"/>
        <v>#N/A</v>
      </c>
      <c r="X29" s="1568"/>
      <c r="Y29" s="3398"/>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398"/>
      <c r="Q30" s="1573" t="str">
        <f t="shared" si="11"/>
        <v>物业等级</v>
      </c>
      <c r="R30" s="1574" t="s">
        <v>8</v>
      </c>
      <c r="S30" s="1575">
        <f t="shared" si="12"/>
        <v>100</v>
      </c>
      <c r="T30" s="1574" t="s">
        <v>8</v>
      </c>
      <c r="U30" s="1575">
        <f t="shared" si="13"/>
        <v>100</v>
      </c>
      <c r="V30" s="1574" t="s">
        <v>8</v>
      </c>
      <c r="W30" s="1575">
        <f t="shared" si="14"/>
        <v>100</v>
      </c>
      <c r="X30" s="1568"/>
      <c r="Y30" s="3398"/>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398"/>
      <c r="Q31" s="1151" t="str">
        <f t="shared" si="11"/>
        <v>停车位面积</v>
      </c>
      <c r="R31" s="1569" t="s">
        <v>8</v>
      </c>
      <c r="S31" s="1570" t="e">
        <f t="shared" si="12"/>
        <v>#N/A</v>
      </c>
      <c r="T31" s="1569" t="s">
        <v>8</v>
      </c>
      <c r="U31" s="1570" t="e">
        <f t="shared" si="13"/>
        <v>#N/A</v>
      </c>
      <c r="V31" s="1569" t="s">
        <v>8</v>
      </c>
      <c r="W31" s="1570" t="e">
        <f t="shared" si="14"/>
        <v>#N/A</v>
      </c>
      <c r="X31" s="1571"/>
      <c r="Y31" s="3398"/>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398" t="s">
        <v>549</v>
      </c>
      <c r="Q32" s="1573" t="str">
        <f t="shared" si="11"/>
        <v>车位类型</v>
      </c>
      <c r="R32" s="1574" t="s">
        <v>8</v>
      </c>
      <c r="S32" s="1575">
        <f t="shared" si="12"/>
        <v>100</v>
      </c>
      <c r="T32" s="1574" t="s">
        <v>8</v>
      </c>
      <c r="U32" s="1575">
        <f t="shared" si="13"/>
        <v>100</v>
      </c>
      <c r="V32" s="1574" t="s">
        <v>8</v>
      </c>
      <c r="W32" s="1575">
        <f t="shared" si="14"/>
        <v>100</v>
      </c>
      <c r="X32" s="1568"/>
      <c r="Y32" s="3398"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398"/>
      <c r="Q33" s="1573" t="str">
        <f t="shared" si="11"/>
        <v>是否直接入户</v>
      </c>
      <c r="R33" s="1574" t="s">
        <v>8</v>
      </c>
      <c r="S33" s="1575">
        <f t="shared" si="12"/>
        <v>100</v>
      </c>
      <c r="T33" s="1574" t="s">
        <v>8</v>
      </c>
      <c r="U33" s="1575">
        <f t="shared" si="13"/>
        <v>100</v>
      </c>
      <c r="V33" s="1574" t="s">
        <v>8</v>
      </c>
      <c r="W33" s="1575">
        <f t="shared" si="14"/>
        <v>100</v>
      </c>
      <c r="X33" s="1568"/>
      <c r="Y33" s="3398"/>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398"/>
      <c r="Q35" s="1606">
        <f t="shared" si="11"/>
        <v>111</v>
      </c>
      <c r="R35" s="1578" t="s">
        <v>8</v>
      </c>
      <c r="S35" s="1579">
        <f t="shared" si="12"/>
        <v>100</v>
      </c>
      <c r="T35" s="1578" t="s">
        <v>8</v>
      </c>
      <c r="U35" s="1579">
        <f t="shared" si="13"/>
        <v>100</v>
      </c>
      <c r="V35" s="1578" t="s">
        <v>8</v>
      </c>
      <c r="W35" s="1579">
        <f t="shared" si="14"/>
        <v>100</v>
      </c>
      <c r="X35" s="1580"/>
      <c r="Y35" s="3398"/>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398"/>
      <c r="Q36" s="1573">
        <f t="shared" si="11"/>
        <v>111</v>
      </c>
      <c r="R36" s="1574" t="s">
        <v>8</v>
      </c>
      <c r="S36" s="1575">
        <f t="shared" si="12"/>
        <v>100</v>
      </c>
      <c r="T36" s="1574" t="s">
        <v>8</v>
      </c>
      <c r="U36" s="1575">
        <f t="shared" si="13"/>
        <v>100</v>
      </c>
      <c r="V36" s="1574" t="s">
        <v>8</v>
      </c>
      <c r="W36" s="1575">
        <f t="shared" si="14"/>
        <v>100</v>
      </c>
      <c r="X36" s="1568"/>
      <c r="Y36" s="3398"/>
      <c r="Z36" s="1576">
        <f t="shared" si="15"/>
        <v>111</v>
      </c>
      <c r="AA36" s="1577">
        <f t="shared" si="3"/>
        <v>1</v>
      </c>
      <c r="AB36" s="1577">
        <f t="shared" si="4"/>
        <v>1</v>
      </c>
      <c r="AC36" s="1577">
        <f t="shared" si="5"/>
        <v>1</v>
      </c>
    </row>
    <row r="37" spans="1:29" ht="15">
      <c r="A37" s="1848" t="s">
        <v>2078</v>
      </c>
      <c r="B37" s="1849" t="s">
        <v>2079</v>
      </c>
      <c r="C37" s="2629" t="s">
        <v>1</v>
      </c>
      <c r="D37" s="2630"/>
      <c r="E37" s="2631"/>
      <c r="F37" s="2632"/>
      <c r="G37" s="2633"/>
      <c r="H37" s="2634"/>
      <c r="I37" s="2631"/>
      <c r="J37" s="2634"/>
      <c r="K37" s="1612"/>
      <c r="L37" s="2146"/>
      <c r="M37" s="2147"/>
      <c r="N37" s="2136"/>
      <c r="O37" s="2147"/>
      <c r="P37" s="3393" t="str">
        <f>A37</f>
        <v>成交单价</v>
      </c>
      <c r="Q37" s="3393"/>
      <c r="R37" s="3474">
        <f>E37</f>
        <v>0</v>
      </c>
      <c r="S37" s="3474"/>
      <c r="T37" s="3474">
        <f>G37</f>
        <v>0</v>
      </c>
      <c r="U37" s="3474"/>
      <c r="V37" s="3474">
        <f>I37</f>
        <v>0</v>
      </c>
      <c r="W37" s="3474"/>
      <c r="X37" s="1560"/>
      <c r="Y37" s="1582"/>
      <c r="Z37" s="1560"/>
      <c r="AA37" s="1560"/>
      <c r="AB37" s="1560"/>
      <c r="AC37" s="1560"/>
    </row>
    <row r="38" spans="1:29" ht="15.75" thickBot="1">
      <c r="A38" s="615" t="s">
        <v>2758</v>
      </c>
      <c r="B38" s="888"/>
      <c r="C38" s="2635" t="e">
        <f>R39</f>
        <v>#DIV/0!</v>
      </c>
      <c r="D38" s="2636"/>
      <c r="E38" s="2637" t="e">
        <f>R38</f>
        <v>#DIV/0!</v>
      </c>
      <c r="F38" s="2637"/>
      <c r="G38" s="2635" t="e">
        <f>T38</f>
        <v>#DIV/0!</v>
      </c>
      <c r="H38" s="2636"/>
      <c r="I38" s="2637" t="e">
        <f>V38</f>
        <v>#DIV/0!</v>
      </c>
      <c r="J38" s="2636"/>
      <c r="K38" s="1613"/>
      <c r="L38" s="2146"/>
      <c r="M38" s="2147"/>
      <c r="N38" s="2147"/>
      <c r="O38" s="2147"/>
      <c r="P38" s="3393" t="str">
        <f>A38</f>
        <v>比较价格（元/平方米）</v>
      </c>
      <c r="Q38" s="339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560"/>
      <c r="Y38" s="1560"/>
      <c r="Z38" s="1560"/>
      <c r="AA38" s="1560"/>
      <c r="AB38" s="1560"/>
      <c r="AC38" s="1560"/>
    </row>
    <row r="39" spans="1:29" ht="15.75" thickBot="1">
      <c r="A39" s="621" t="s">
        <v>2931</v>
      </c>
      <c r="B39" s="622"/>
      <c r="C39" s="2638" t="e">
        <f>R39</f>
        <v>#DIV/0!</v>
      </c>
      <c r="D39" s="2638"/>
      <c r="E39" s="2638"/>
      <c r="F39" s="2638"/>
      <c r="G39" s="2638"/>
      <c r="H39" s="2638"/>
      <c r="I39" s="2638"/>
      <c r="J39" s="2638"/>
      <c r="K39" s="1614"/>
      <c r="L39" s="2146"/>
      <c r="M39" s="2147"/>
      <c r="N39" s="2147"/>
      <c r="O39" s="2147"/>
      <c r="P39" s="3414" t="str">
        <f>A39</f>
        <v>估价对象XX用房的比较价格（楼面单价，元/平方米）</v>
      </c>
      <c r="Q39" s="3415"/>
      <c r="R39" s="3473" t="e">
        <f>IF(F1="售价",ROUND(AVERAGE(R38:V38),0),ROUND(AVERAGE(R38:V38),1))</f>
        <v>#DIV/0!</v>
      </c>
      <c r="S39" s="3473"/>
      <c r="T39" s="3473"/>
      <c r="U39" s="3473"/>
      <c r="V39" s="3473"/>
      <c r="W39" s="3473"/>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4" t="str">
        <f>YEAR(C7)&amp;"-"&amp;MONTH(C7)</f>
        <v>2018-12</v>
      </c>
      <c r="D48" s="2806">
        <f>EDATE(C48,-1)</f>
        <v>43405</v>
      </c>
      <c r="E48" s="2806">
        <f t="shared" ref="E48:O48" si="16">EDATE(D48,-1)</f>
        <v>43374</v>
      </c>
      <c r="F48" s="2806">
        <f t="shared" si="16"/>
        <v>43344</v>
      </c>
      <c r="G48" s="2806">
        <f t="shared" si="16"/>
        <v>43313</v>
      </c>
      <c r="H48" s="2806">
        <f t="shared" si="16"/>
        <v>43282</v>
      </c>
      <c r="I48" s="2806">
        <f t="shared" si="16"/>
        <v>43252</v>
      </c>
      <c r="J48" s="2806">
        <f t="shared" si="16"/>
        <v>43221</v>
      </c>
      <c r="K48" s="2806">
        <f t="shared" si="16"/>
        <v>43191</v>
      </c>
      <c r="L48" s="2806">
        <f t="shared" si="16"/>
        <v>43160</v>
      </c>
      <c r="M48" s="2806">
        <f t="shared" si="16"/>
        <v>43132</v>
      </c>
      <c r="N48" s="2806">
        <f t="shared" si="16"/>
        <v>43101</v>
      </c>
      <c r="O48" s="2806">
        <f t="shared" si="16"/>
        <v>43070</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2555</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2556</v>
      </c>
      <c r="C67" s="2600" t="s">
        <v>2557</v>
      </c>
      <c r="D67" s="2600" t="s">
        <v>2558</v>
      </c>
      <c r="E67" s="2600" t="s">
        <v>2559</v>
      </c>
      <c r="F67" s="2600" t="s">
        <v>2560</v>
      </c>
      <c r="G67" s="2600" t="s">
        <v>2561</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80" customWidth="1"/>
    <col min="2" max="2" width="9" style="1780"/>
    <col min="3" max="4" width="9.625" style="1780" customWidth="1"/>
    <col min="5" max="16384" width="9" style="1780"/>
  </cols>
  <sheetData>
    <row r="1" spans="1:4" ht="22.5">
      <c r="A1" s="1779" t="s">
        <v>1903</v>
      </c>
    </row>
    <row r="2" spans="1:4">
      <c r="A2" s="1781"/>
    </row>
    <row r="3" spans="1:4" ht="18.75">
      <c r="A3" s="1799" t="str">
        <f>项目基本情况!B5&amp;"："</f>
        <v>：</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1904</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40290平方米。根据《建设工程规划许可证》[]、《出让合同》[]，估价对象规划建筑面积为100725平方米。</v>
      </c>
    </row>
    <row r="7" spans="1:4" ht="93.75">
      <c r="A7" s="2875" t="s">
        <v>2746</v>
      </c>
    </row>
    <row r="8" spans="1:4" ht="18.75">
      <c r="A8" s="1796" t="s">
        <v>1905</v>
      </c>
    </row>
    <row r="9" spans="1:4" ht="75">
      <c r="A9" s="179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9" t="s">
        <v>2027</v>
      </c>
    </row>
    <row r="11" spans="1:4" ht="18.75">
      <c r="A11" s="1782" t="str">
        <f>TEXT(项目基本情况!D3,"yyyy年m月d日;;")&amp;IF(项目基本情况!B3=项目基本情况!D3,"（评估专业人员勘察现场之日）","")</f>
        <v>2018年12月12日（评估专业人员勘察现场之日）</v>
      </c>
    </row>
    <row r="12" spans="1:4" ht="18.75">
      <c r="A12" s="1799" t="s">
        <v>2026</v>
      </c>
    </row>
    <row r="13" spans="1:4" ht="18.75">
      <c r="A13" s="1793" t="s">
        <v>2072</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2074</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根据《国有土地使用证》[]，估价对象（分摊）出让国有建设用地使用权面积为40290平方米。根据《建设工程规划许可证》[]、《出让合同》[]，估价对象规划建筑面积为100725平方米。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2075</v>
      </c>
    </row>
    <row r="23" spans="1:1" ht="18.75">
      <c r="A23" s="2877" t="s">
        <v>2747</v>
      </c>
    </row>
    <row r="24" spans="1:1" ht="18.75">
      <c r="A24" s="1793" t="s">
        <v>2076</v>
      </c>
    </row>
    <row r="25" spans="1:1" ht="93.75">
      <c r="A25" s="1793" t="str">
        <f>定义!C53</f>
        <v>本次估价的“出让国有建设用地使用权价格”是指在估价对象土地所有权为国家所有，使用权性质为出让，在公开市场条件下、于估价期日2018年12月12日，在规划利用条件下、设定土地开发程度为红线外“七通”、宗地内场地平整，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2028</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9" t="s">
        <v>797</v>
      </c>
      <c r="D4" s="3400"/>
      <c r="E4" s="3423" t="s">
        <v>798</v>
      </c>
      <c r="F4" s="3424"/>
      <c r="G4" s="3399" t="s">
        <v>799</v>
      </c>
      <c r="H4" s="3400"/>
      <c r="I4" s="3399" t="s">
        <v>800</v>
      </c>
      <c r="J4" s="3400"/>
      <c r="K4" s="514" t="s">
        <v>801</v>
      </c>
      <c r="L4" s="2135"/>
      <c r="M4" s="2136"/>
      <c r="N4" s="2136"/>
      <c r="O4" s="2136"/>
      <c r="P4" s="3401" t="s">
        <v>802</v>
      </c>
      <c r="Q4" s="3402"/>
      <c r="R4" s="3387" t="s">
        <v>798</v>
      </c>
      <c r="S4" s="3388"/>
      <c r="T4" s="3387" t="s">
        <v>799</v>
      </c>
      <c r="U4" s="3388"/>
      <c r="V4" s="3407" t="s">
        <v>800</v>
      </c>
      <c r="W4" s="3407"/>
      <c r="X4" s="1568"/>
      <c r="Y4" s="3387" t="s">
        <v>802</v>
      </c>
      <c r="Z4" s="3388"/>
      <c r="AA4" s="3382" t="s">
        <v>798</v>
      </c>
      <c r="AB4" s="3383" t="s">
        <v>799</v>
      </c>
      <c r="AC4" s="3382" t="s">
        <v>800</v>
      </c>
    </row>
    <row r="5" spans="1:29" ht="15">
      <c r="A5" s="515"/>
      <c r="B5" s="516"/>
      <c r="C5" s="3410" t="s">
        <v>2925</v>
      </c>
      <c r="D5" s="3411"/>
      <c r="E5" s="3425" t="s">
        <v>2926</v>
      </c>
      <c r="F5" s="3426"/>
      <c r="G5" s="3410" t="s">
        <v>2927</v>
      </c>
      <c r="H5" s="3411"/>
      <c r="I5" s="3410" t="s">
        <v>2928</v>
      </c>
      <c r="J5" s="3411"/>
      <c r="K5" s="514"/>
      <c r="L5" s="2135"/>
      <c r="M5" s="2136"/>
      <c r="N5" s="2136"/>
      <c r="O5" s="2136"/>
      <c r="P5" s="3403"/>
      <c r="Q5" s="3404"/>
      <c r="R5" s="3389"/>
      <c r="S5" s="3390"/>
      <c r="T5" s="3389"/>
      <c r="U5" s="3390"/>
      <c r="V5" s="3407"/>
      <c r="W5" s="3407"/>
      <c r="X5" s="1568"/>
      <c r="Y5" s="3389"/>
      <c r="Z5" s="3390"/>
      <c r="AA5" s="3383"/>
      <c r="AB5" s="3383"/>
      <c r="AC5" s="3383"/>
    </row>
    <row r="6" spans="1:29" ht="15.75" thickBot="1">
      <c r="A6" s="517"/>
      <c r="B6" s="518"/>
      <c r="C6" s="3408" t="s">
        <v>2929</v>
      </c>
      <c r="D6" s="3409"/>
      <c r="E6" s="3427" t="s">
        <v>2929</v>
      </c>
      <c r="F6" s="3428"/>
      <c r="G6" s="3408" t="s">
        <v>2929</v>
      </c>
      <c r="H6" s="3409"/>
      <c r="I6" s="3408" t="s">
        <v>2929</v>
      </c>
      <c r="J6" s="3409"/>
      <c r="K6" s="514" t="s">
        <v>527</v>
      </c>
      <c r="L6" s="2135"/>
      <c r="M6" s="2136"/>
      <c r="N6" s="2136"/>
      <c r="O6" s="2136"/>
      <c r="P6" s="3405"/>
      <c r="Q6" s="3406"/>
      <c r="R6" s="3389"/>
      <c r="S6" s="3390"/>
      <c r="T6" s="3391"/>
      <c r="U6" s="3392"/>
      <c r="V6" s="3407"/>
      <c r="W6" s="3407"/>
      <c r="X6" s="1568"/>
      <c r="Y6" s="3391"/>
      <c r="Z6" s="3392"/>
      <c r="AA6" s="3384"/>
      <c r="AB6" s="3384"/>
      <c r="AC6" s="3384"/>
    </row>
    <row r="7" spans="1:29" s="1220" customFormat="1" ht="15.75" thickBot="1">
      <c r="A7" s="2914"/>
      <c r="B7" s="2921" t="s">
        <v>528</v>
      </c>
      <c r="C7" s="519">
        <f>'数据-取费表'!B2</f>
        <v>43446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85" t="s">
        <v>529</v>
      </c>
      <c r="Q7" s="3394"/>
      <c r="R7" s="1569" t="s">
        <v>8</v>
      </c>
      <c r="S7" s="1570">
        <f t="shared" ref="S7:S14" si="0">F7</f>
        <v>0</v>
      </c>
      <c r="T7" s="1569" t="s">
        <v>8</v>
      </c>
      <c r="U7" s="1570">
        <f t="shared" ref="U7:U14" si="1">H7</f>
        <v>0</v>
      </c>
      <c r="V7" s="1569" t="s">
        <v>8</v>
      </c>
      <c r="W7" s="1570">
        <f t="shared" ref="W7:W14" si="2">J7</f>
        <v>0</v>
      </c>
      <c r="X7" s="1571"/>
      <c r="Y7" s="3385" t="s">
        <v>529</v>
      </c>
      <c r="Z7" s="3386"/>
      <c r="AA7" s="1572" t="e">
        <f>D7/F7</f>
        <v>#DIV/0!</v>
      </c>
      <c r="AB7" s="1572" t="e">
        <f>D7/H7</f>
        <v>#DIV/0!</v>
      </c>
      <c r="AC7" s="1572" t="e">
        <f>D7/J7</f>
        <v>#DIV/0!</v>
      </c>
    </row>
    <row r="8" spans="1:29" s="1220" customFormat="1" ht="15.75" thickBot="1">
      <c r="A8" s="2915"/>
      <c r="B8" s="2922"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85" t="s">
        <v>532</v>
      </c>
      <c r="Q8" s="3386"/>
      <c r="R8" s="1569" t="s">
        <v>8</v>
      </c>
      <c r="S8" s="1570">
        <f t="shared" si="0"/>
        <v>0</v>
      </c>
      <c r="T8" s="1569" t="s">
        <v>8</v>
      </c>
      <c r="U8" s="1570">
        <f t="shared" si="1"/>
        <v>0</v>
      </c>
      <c r="V8" s="1569" t="s">
        <v>8</v>
      </c>
      <c r="W8" s="1570">
        <f t="shared" si="2"/>
        <v>0</v>
      </c>
      <c r="X8" s="1571"/>
      <c r="Y8" s="3385" t="s">
        <v>532</v>
      </c>
      <c r="Z8" s="3386"/>
      <c r="AA8" s="1572" t="e">
        <f t="shared" ref="AA8:AA34" si="3">D8/F8</f>
        <v>#DIV/0!</v>
      </c>
      <c r="AB8" s="1572" t="e">
        <f t="shared" ref="AB8:AB34" si="4">D8/H8</f>
        <v>#DIV/0!</v>
      </c>
      <c r="AC8" s="1572" t="e">
        <f t="shared" ref="AC8:AC34" si="5">D8/J8</f>
        <v>#DIV/0!</v>
      </c>
    </row>
    <row r="9" spans="1:29" s="1220" customFormat="1" ht="15">
      <c r="A9" s="2916"/>
      <c r="B9" s="2923" t="s">
        <v>2754</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93" t="s">
        <v>534</v>
      </c>
      <c r="Q9" s="1151" t="str">
        <f t="shared" ref="Q9:Q14" si="6">B9</f>
        <v>用途</v>
      </c>
      <c r="R9" s="1569" t="s">
        <v>8</v>
      </c>
      <c r="S9" s="1570">
        <f t="shared" si="0"/>
        <v>100</v>
      </c>
      <c r="T9" s="1569" t="s">
        <v>8</v>
      </c>
      <c r="U9" s="1570">
        <f t="shared" si="1"/>
        <v>100</v>
      </c>
      <c r="V9" s="1569" t="s">
        <v>8</v>
      </c>
      <c r="W9" s="1570">
        <f t="shared" si="2"/>
        <v>100</v>
      </c>
      <c r="X9" s="1571"/>
      <c r="Y9" s="3350" t="s">
        <v>535</v>
      </c>
      <c r="Z9" s="1150" t="str">
        <f t="shared" ref="Z9:Z14" si="7">Q9</f>
        <v>用途</v>
      </c>
      <c r="AA9" s="1572">
        <f t="shared" si="3"/>
        <v>1</v>
      </c>
      <c r="AB9" s="1572">
        <f t="shared" si="4"/>
        <v>1</v>
      </c>
      <c r="AC9" s="1572">
        <f t="shared" si="5"/>
        <v>1</v>
      </c>
    </row>
    <row r="10" spans="1:29" s="1338" customFormat="1" ht="27">
      <c r="A10" s="2917"/>
      <c r="B10" s="2922" t="s">
        <v>2755</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93"/>
      <c r="Q10" s="1151" t="str">
        <f t="shared" si="6"/>
        <v>土地使用年限（年）</v>
      </c>
      <c r="R10" s="1569" t="s">
        <v>8</v>
      </c>
      <c r="S10" s="1570">
        <f t="shared" si="0"/>
        <v>100</v>
      </c>
      <c r="T10" s="1569" t="s">
        <v>8</v>
      </c>
      <c r="U10" s="1570">
        <f t="shared" si="1"/>
        <v>100</v>
      </c>
      <c r="V10" s="1569" t="s">
        <v>8</v>
      </c>
      <c r="W10" s="1570">
        <f t="shared" si="2"/>
        <v>100</v>
      </c>
      <c r="X10" s="1571"/>
      <c r="Y10" s="3350"/>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93"/>
      <c r="Q11" s="1151">
        <f t="shared" si="6"/>
        <v>111</v>
      </c>
      <c r="R11" s="1569" t="s">
        <v>8</v>
      </c>
      <c r="S11" s="1570">
        <f t="shared" si="0"/>
        <v>100</v>
      </c>
      <c r="T11" s="1569" t="s">
        <v>8</v>
      </c>
      <c r="U11" s="1570">
        <f t="shared" si="1"/>
        <v>100</v>
      </c>
      <c r="V11" s="1569" t="s">
        <v>8</v>
      </c>
      <c r="W11" s="1570">
        <f t="shared" si="2"/>
        <v>100</v>
      </c>
      <c r="X11" s="1571"/>
      <c r="Y11" s="3350"/>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93"/>
      <c r="Q12" s="1151">
        <f t="shared" si="6"/>
        <v>111</v>
      </c>
      <c r="R12" s="1569" t="s">
        <v>8</v>
      </c>
      <c r="S12" s="1570">
        <f t="shared" si="0"/>
        <v>100</v>
      </c>
      <c r="T12" s="1569" t="s">
        <v>8</v>
      </c>
      <c r="U12" s="1570">
        <f t="shared" si="1"/>
        <v>100</v>
      </c>
      <c r="V12" s="1569" t="s">
        <v>8</v>
      </c>
      <c r="W12" s="1570">
        <f t="shared" si="2"/>
        <v>100</v>
      </c>
      <c r="X12" s="1571"/>
      <c r="Y12" s="3350"/>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93"/>
      <c r="Q13" s="1151">
        <f t="shared" si="6"/>
        <v>111</v>
      </c>
      <c r="R13" s="1569" t="s">
        <v>8</v>
      </c>
      <c r="S13" s="1570">
        <f t="shared" si="0"/>
        <v>100</v>
      </c>
      <c r="T13" s="1569" t="s">
        <v>8</v>
      </c>
      <c r="U13" s="1570">
        <f t="shared" si="1"/>
        <v>100</v>
      </c>
      <c r="V13" s="1569" t="s">
        <v>8</v>
      </c>
      <c r="W13" s="1570">
        <f t="shared" si="2"/>
        <v>100</v>
      </c>
      <c r="X13" s="1571"/>
      <c r="Y13" s="3350"/>
      <c r="Z13" s="1150">
        <f t="shared" si="7"/>
        <v>111</v>
      </c>
      <c r="AA13" s="1572">
        <f t="shared" si="3"/>
        <v>1</v>
      </c>
      <c r="AB13" s="1572">
        <f t="shared" si="4"/>
        <v>1</v>
      </c>
      <c r="AC13" s="1572">
        <f t="shared" si="5"/>
        <v>1</v>
      </c>
    </row>
    <row r="14" spans="1:29" ht="99.75">
      <c r="A14" s="2912" t="s">
        <v>2752</v>
      </c>
      <c r="B14" s="166" t="s">
        <v>542</v>
      </c>
      <c r="C14" s="921" t="str">
        <f>IF(B1="工业",估价对象房地状况!G4,估价对象房地状况!C6)</f>
        <v>估价对象周边道路通达状况较好、公共交通通达情况一般、停车较便捷，综合评价交通便捷度一般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395" t="s">
        <v>539</v>
      </c>
      <c r="Q14" s="1573" t="str">
        <f t="shared" si="6"/>
        <v>交通便捷度</v>
      </c>
      <c r="R14" s="1574" t="s">
        <v>8</v>
      </c>
      <c r="S14" s="1575">
        <f t="shared" si="0"/>
        <v>100</v>
      </c>
      <c r="T14" s="1574" t="s">
        <v>8</v>
      </c>
      <c r="U14" s="1575">
        <f t="shared" si="1"/>
        <v>100</v>
      </c>
      <c r="V14" s="1574" t="s">
        <v>8</v>
      </c>
      <c r="W14" s="1575">
        <f t="shared" si="2"/>
        <v>100</v>
      </c>
      <c r="X14" s="1568"/>
      <c r="Y14" s="3395"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396"/>
      <c r="Q15" s="1573"/>
      <c r="R15" s="1574"/>
      <c r="S15" s="1575"/>
      <c r="T15" s="1574"/>
      <c r="U15" s="1575"/>
      <c r="V15" s="1574"/>
      <c r="W15" s="1575"/>
      <c r="X15" s="1568"/>
      <c r="Y15" s="3396"/>
      <c r="Z15" s="1576"/>
      <c r="AA15" s="1577">
        <v>1</v>
      </c>
      <c r="AB15" s="1577">
        <v>1</v>
      </c>
      <c r="AC15" s="1577">
        <v>1</v>
      </c>
    </row>
    <row r="16" spans="1:29" ht="42.75">
      <c r="A16" s="532"/>
      <c r="B16" s="2605" t="s">
        <v>2544</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396"/>
      <c r="Q16" s="1573" t="str">
        <f>B16</f>
        <v>公共配套设施</v>
      </c>
      <c r="R16" s="1574" t="s">
        <v>8</v>
      </c>
      <c r="S16" s="1575">
        <f>F16</f>
        <v>100</v>
      </c>
      <c r="T16" s="1574" t="s">
        <v>8</v>
      </c>
      <c r="U16" s="1575">
        <f>H16</f>
        <v>100</v>
      </c>
      <c r="V16" s="1574" t="s">
        <v>8</v>
      </c>
      <c r="W16" s="1575">
        <f>J16</f>
        <v>100</v>
      </c>
      <c r="X16" s="1568"/>
      <c r="Y16" s="3396"/>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396"/>
      <c r="Q17" s="1573"/>
      <c r="R17" s="1574"/>
      <c r="S17" s="1575"/>
      <c r="T17" s="1574"/>
      <c r="U17" s="1575"/>
      <c r="V17" s="1574"/>
      <c r="W17" s="1575"/>
      <c r="X17" s="1568"/>
      <c r="Y17" s="3396"/>
      <c r="Z17" s="1576"/>
      <c r="AA17" s="1577">
        <v>1</v>
      </c>
      <c r="AB17" s="1577">
        <v>1</v>
      </c>
      <c r="AC17" s="1577">
        <v>1</v>
      </c>
    </row>
    <row r="18" spans="1:29" ht="42.75">
      <c r="A18" s="532"/>
      <c r="B18" s="2593" t="s">
        <v>2556</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396"/>
      <c r="Q18" s="2581" t="str">
        <f>B18</f>
        <v>基础设施水平</v>
      </c>
      <c r="R18" s="1574" t="s">
        <v>8</v>
      </c>
      <c r="S18" s="1575">
        <f>F18</f>
        <v>100</v>
      </c>
      <c r="T18" s="1574" t="s">
        <v>8</v>
      </c>
      <c r="U18" s="1575">
        <f>H18</f>
        <v>100</v>
      </c>
      <c r="V18" s="1574" t="s">
        <v>8</v>
      </c>
      <c r="W18" s="1575">
        <f>J18</f>
        <v>100</v>
      </c>
      <c r="X18" s="2583"/>
      <c r="Y18" s="3396"/>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396"/>
      <c r="Q19" s="2581"/>
      <c r="R19" s="1574"/>
      <c r="S19" s="1575"/>
      <c r="T19" s="1574"/>
      <c r="U19" s="1575"/>
      <c r="V19" s="1574"/>
      <c r="W19" s="1575"/>
      <c r="X19" s="2583"/>
      <c r="Y19" s="3396"/>
      <c r="Z19" s="2582"/>
      <c r="AA19" s="1577">
        <v>1</v>
      </c>
      <c r="AB19" s="1577">
        <v>1</v>
      </c>
      <c r="AC19" s="1577">
        <v>1</v>
      </c>
    </row>
    <row r="20" spans="1:29" ht="57">
      <c r="A20" s="532"/>
      <c r="B20" s="871" t="s">
        <v>803</v>
      </c>
      <c r="C20" s="872" t="str">
        <f>IF(B1="工业",估价对象房地状况!G7,估价对象房地状况!C9)</f>
        <v>区域自然环境较好；人文环境一般；综合评价环境状况一般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396"/>
      <c r="Q20" s="1573" t="str">
        <f>B20</f>
        <v>自然及人文环境</v>
      </c>
      <c r="R20" s="1574" t="s">
        <v>8</v>
      </c>
      <c r="S20" s="1575">
        <f>F20</f>
        <v>100</v>
      </c>
      <c r="T20" s="1574" t="s">
        <v>8</v>
      </c>
      <c r="U20" s="1575">
        <f>H20</f>
        <v>100</v>
      </c>
      <c r="V20" s="1574" t="s">
        <v>8</v>
      </c>
      <c r="W20" s="1575">
        <f>J20</f>
        <v>100</v>
      </c>
      <c r="X20" s="1568"/>
      <c r="Y20" s="3396"/>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396"/>
      <c r="Q21" s="1573"/>
      <c r="R21" s="1574"/>
      <c r="S21" s="1575"/>
      <c r="T21" s="1574"/>
      <c r="U21" s="1575"/>
      <c r="V21" s="1574"/>
      <c r="W21" s="1575"/>
      <c r="X21" s="1568"/>
      <c r="Y21" s="3396"/>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396"/>
      <c r="Q22" s="1573" t="str">
        <f>B22</f>
        <v>楼层</v>
      </c>
      <c r="R22" s="1574" t="s">
        <v>8</v>
      </c>
      <c r="S22" s="1575">
        <f>F22</f>
        <v>100</v>
      </c>
      <c r="T22" s="1574" t="s">
        <v>8</v>
      </c>
      <c r="U22" s="1575">
        <f>H22</f>
        <v>100</v>
      </c>
      <c r="V22" s="1574" t="s">
        <v>8</v>
      </c>
      <c r="W22" s="1575">
        <f>J22</f>
        <v>100</v>
      </c>
      <c r="X22" s="1568"/>
      <c r="Y22" s="3396"/>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396"/>
      <c r="Q23" s="1573">
        <f>B23</f>
        <v>111</v>
      </c>
      <c r="R23" s="1574" t="s">
        <v>8</v>
      </c>
      <c r="S23" s="1575">
        <f>F23</f>
        <v>100</v>
      </c>
      <c r="T23" s="1574" t="s">
        <v>8</v>
      </c>
      <c r="U23" s="1575">
        <f>H23</f>
        <v>100</v>
      </c>
      <c r="V23" s="1574" t="s">
        <v>8</v>
      </c>
      <c r="W23" s="1575">
        <f>J23</f>
        <v>100</v>
      </c>
      <c r="X23" s="1568"/>
      <c r="Y23" s="3396"/>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396"/>
      <c r="Q24" s="1573">
        <f t="shared" ref="Q24:Q34" si="11">B24</f>
        <v>111</v>
      </c>
      <c r="R24" s="1574" t="s">
        <v>8</v>
      </c>
      <c r="S24" s="1575">
        <f>F24</f>
        <v>100</v>
      </c>
      <c r="T24" s="1574" t="s">
        <v>8</v>
      </c>
      <c r="U24" s="1575">
        <f>H24</f>
        <v>100</v>
      </c>
      <c r="V24" s="1574" t="s">
        <v>8</v>
      </c>
      <c r="W24" s="1575">
        <f>J24</f>
        <v>100</v>
      </c>
      <c r="X24" s="1568"/>
      <c r="Y24" s="3396"/>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396"/>
      <c r="Q25" s="1151">
        <f t="shared" si="11"/>
        <v>111</v>
      </c>
      <c r="R25" s="1569" t="s">
        <v>8</v>
      </c>
      <c r="S25" s="1570">
        <f>F25</f>
        <v>100</v>
      </c>
      <c r="T25" s="1569" t="s">
        <v>8</v>
      </c>
      <c r="U25" s="1570">
        <f>H25</f>
        <v>100</v>
      </c>
      <c r="V25" s="1569" t="s">
        <v>8</v>
      </c>
      <c r="W25" s="1570">
        <f>J25</f>
        <v>100</v>
      </c>
      <c r="X25" s="1571"/>
      <c r="Y25" s="3396"/>
      <c r="Z25" s="1150">
        <f>Q25</f>
        <v>111</v>
      </c>
      <c r="AA25" s="1577">
        <f>D25/F25</f>
        <v>1</v>
      </c>
      <c r="AB25" s="1577">
        <f>D25/H25</f>
        <v>1</v>
      </c>
      <c r="AC25" s="1577">
        <f>D25/J25</f>
        <v>1</v>
      </c>
    </row>
    <row r="26" spans="1:29" ht="15">
      <c r="A26" s="2909" t="s">
        <v>2753</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397"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8"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398"/>
      <c r="Q27" s="1606" t="str">
        <f t="shared" si="11"/>
        <v>成新率</v>
      </c>
      <c r="R27" s="1578" t="s">
        <v>8</v>
      </c>
      <c r="S27" s="1579" t="e">
        <f t="shared" si="12"/>
        <v>#N/A</v>
      </c>
      <c r="T27" s="1578" t="s">
        <v>8</v>
      </c>
      <c r="U27" s="1579" t="e">
        <f t="shared" si="13"/>
        <v>#N/A</v>
      </c>
      <c r="V27" s="1578" t="s">
        <v>8</v>
      </c>
      <c r="W27" s="1579" t="e">
        <f t="shared" si="14"/>
        <v>#N/A</v>
      </c>
      <c r="X27" s="1580"/>
      <c r="Y27" s="3398"/>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398"/>
      <c r="Q28" s="1573" t="str">
        <f t="shared" si="11"/>
        <v>物业等级</v>
      </c>
      <c r="R28" s="1574" t="s">
        <v>8</v>
      </c>
      <c r="S28" s="1575">
        <f t="shared" si="12"/>
        <v>100</v>
      </c>
      <c r="T28" s="1574" t="s">
        <v>8</v>
      </c>
      <c r="U28" s="1575">
        <f t="shared" si="13"/>
        <v>100</v>
      </c>
      <c r="V28" s="1574" t="s">
        <v>8</v>
      </c>
      <c r="W28" s="1575">
        <f t="shared" si="14"/>
        <v>100</v>
      </c>
      <c r="X28" s="1568"/>
      <c r="Y28" s="3398"/>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398"/>
      <c r="Q29" s="1573" t="str">
        <f t="shared" si="11"/>
        <v>有无电梯</v>
      </c>
      <c r="R29" s="1574" t="s">
        <v>8</v>
      </c>
      <c r="S29" s="1575">
        <f t="shared" si="12"/>
        <v>100</v>
      </c>
      <c r="T29" s="1574" t="s">
        <v>8</v>
      </c>
      <c r="U29" s="1575">
        <f t="shared" si="13"/>
        <v>100</v>
      </c>
      <c r="V29" s="1574" t="s">
        <v>8</v>
      </c>
      <c r="W29" s="1575">
        <f t="shared" si="14"/>
        <v>100</v>
      </c>
      <c r="X29" s="1568"/>
      <c r="Y29" s="3398"/>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398"/>
      <c r="Q30" s="1573" t="str">
        <f t="shared" si="11"/>
        <v>建筑面积</v>
      </c>
      <c r="R30" s="1574" t="s">
        <v>8</v>
      </c>
      <c r="S30" s="1575" t="e">
        <f t="shared" si="12"/>
        <v>#N/A</v>
      </c>
      <c r="T30" s="1574" t="s">
        <v>8</v>
      </c>
      <c r="U30" s="1575" t="e">
        <f t="shared" si="13"/>
        <v>#N/A</v>
      </c>
      <c r="V30" s="1574" t="s">
        <v>8</v>
      </c>
      <c r="W30" s="1575" t="e">
        <f t="shared" si="14"/>
        <v>#N/A</v>
      </c>
      <c r="X30" s="1568"/>
      <c r="Y30" s="3398"/>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398"/>
      <c r="Q31" s="1151" t="str">
        <f t="shared" si="11"/>
        <v>是否封闭</v>
      </c>
      <c r="R31" s="1569" t="s">
        <v>8</v>
      </c>
      <c r="S31" s="1570">
        <f t="shared" si="12"/>
        <v>100</v>
      </c>
      <c r="T31" s="1569" t="s">
        <v>8</v>
      </c>
      <c r="U31" s="1570">
        <f t="shared" si="13"/>
        <v>100</v>
      </c>
      <c r="V31" s="1569" t="s">
        <v>8</v>
      </c>
      <c r="W31" s="1570">
        <f t="shared" si="14"/>
        <v>100</v>
      </c>
      <c r="X31" s="1571"/>
      <c r="Y31" s="3398"/>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398" t="s">
        <v>549</v>
      </c>
      <c r="Q32" s="1573">
        <f t="shared" si="11"/>
        <v>111</v>
      </c>
      <c r="R32" s="1574" t="s">
        <v>8</v>
      </c>
      <c r="S32" s="1575">
        <f t="shared" si="12"/>
        <v>100</v>
      </c>
      <c r="T32" s="1574" t="s">
        <v>8</v>
      </c>
      <c r="U32" s="1575">
        <f t="shared" si="13"/>
        <v>100</v>
      </c>
      <c r="V32" s="1574" t="s">
        <v>8</v>
      </c>
      <c r="W32" s="1575">
        <f t="shared" si="14"/>
        <v>100</v>
      </c>
      <c r="X32" s="1568"/>
      <c r="Y32" s="3398"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398"/>
      <c r="Q33" s="1573">
        <f t="shared" si="11"/>
        <v>111</v>
      </c>
      <c r="R33" s="1574" t="s">
        <v>8</v>
      </c>
      <c r="S33" s="1575">
        <f t="shared" si="12"/>
        <v>100</v>
      </c>
      <c r="T33" s="1574" t="s">
        <v>8</v>
      </c>
      <c r="U33" s="1575">
        <f t="shared" si="13"/>
        <v>100</v>
      </c>
      <c r="V33" s="1574" t="s">
        <v>8</v>
      </c>
      <c r="W33" s="1575">
        <f t="shared" si="14"/>
        <v>100</v>
      </c>
      <c r="X33" s="1568"/>
      <c r="Y33" s="3398"/>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398"/>
      <c r="Q34" s="1573">
        <f t="shared" si="11"/>
        <v>111</v>
      </c>
      <c r="R34" s="1574" t="s">
        <v>8</v>
      </c>
      <c r="S34" s="1575">
        <f t="shared" si="12"/>
        <v>100</v>
      </c>
      <c r="T34" s="1574" t="s">
        <v>8</v>
      </c>
      <c r="U34" s="1575">
        <f t="shared" si="13"/>
        <v>100</v>
      </c>
      <c r="V34" s="1574" t="s">
        <v>8</v>
      </c>
      <c r="W34" s="1575">
        <f t="shared" si="14"/>
        <v>100</v>
      </c>
      <c r="X34" s="1568"/>
      <c r="Y34" s="3398"/>
      <c r="Z34" s="1576">
        <f t="shared" si="15"/>
        <v>111</v>
      </c>
      <c r="AA34" s="1577">
        <f t="shared" si="3"/>
        <v>1</v>
      </c>
      <c r="AB34" s="1577">
        <f t="shared" si="4"/>
        <v>1</v>
      </c>
      <c r="AC34" s="1577">
        <f t="shared" si="5"/>
        <v>1</v>
      </c>
    </row>
    <row r="35" spans="1:29" ht="15">
      <c r="A35" s="607" t="s">
        <v>735</v>
      </c>
      <c r="B35" s="887"/>
      <c r="C35" s="2629" t="s">
        <v>1</v>
      </c>
      <c r="D35" s="2630"/>
      <c r="E35" s="2631"/>
      <c r="F35" s="2632"/>
      <c r="G35" s="2633"/>
      <c r="H35" s="2634"/>
      <c r="I35" s="2631"/>
      <c r="J35" s="2634"/>
      <c r="K35" s="1612"/>
      <c r="L35" s="2146"/>
      <c r="M35" s="2147"/>
      <c r="N35" s="2136"/>
      <c r="O35" s="2147"/>
      <c r="P35" s="3393" t="str">
        <f>A35</f>
        <v>成交单价（元/平方米）</v>
      </c>
      <c r="Q35" s="3393"/>
      <c r="R35" s="3474">
        <f>E35</f>
        <v>0</v>
      </c>
      <c r="S35" s="3474"/>
      <c r="T35" s="3474">
        <f>G35</f>
        <v>0</v>
      </c>
      <c r="U35" s="3474"/>
      <c r="V35" s="3474">
        <f>I35</f>
        <v>0</v>
      </c>
      <c r="W35" s="3474"/>
      <c r="X35" s="1560"/>
      <c r="Y35" s="1582"/>
      <c r="Z35" s="1560"/>
      <c r="AA35" s="1560"/>
      <c r="AB35" s="1560"/>
      <c r="AC35" s="1560"/>
    </row>
    <row r="36" spans="1:29" ht="15.75" thickBot="1">
      <c r="A36" s="615" t="s">
        <v>2758</v>
      </c>
      <c r="B36" s="888"/>
      <c r="C36" s="2635" t="e">
        <f>R37</f>
        <v>#DIV/0!</v>
      </c>
      <c r="D36" s="2636"/>
      <c r="E36" s="2637" t="e">
        <f>R36</f>
        <v>#DIV/0!</v>
      </c>
      <c r="F36" s="2637"/>
      <c r="G36" s="2635" t="e">
        <f>T36</f>
        <v>#DIV/0!</v>
      </c>
      <c r="H36" s="2636"/>
      <c r="I36" s="2637" t="e">
        <f>V36</f>
        <v>#DIV/0!</v>
      </c>
      <c r="J36" s="2636"/>
      <c r="K36" s="1613"/>
      <c r="L36" s="2146"/>
      <c r="M36" s="2147"/>
      <c r="N36" s="2136"/>
      <c r="O36" s="2147"/>
      <c r="P36" s="3393" t="str">
        <f>A36</f>
        <v>比较价格（元/平方米）</v>
      </c>
      <c r="Q36" s="339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560"/>
      <c r="Y36" s="1560"/>
      <c r="Z36" s="1560"/>
      <c r="AA36" s="1560"/>
      <c r="AB36" s="1560"/>
      <c r="AC36" s="1560"/>
    </row>
    <row r="37" spans="1:29" ht="15.75" thickBot="1">
      <c r="A37" s="621" t="s">
        <v>2931</v>
      </c>
      <c r="B37" s="622"/>
      <c r="C37" s="2638" t="e">
        <f>R37</f>
        <v>#DIV/0!</v>
      </c>
      <c r="D37" s="2638"/>
      <c r="E37" s="2638"/>
      <c r="F37" s="2638"/>
      <c r="G37" s="2638"/>
      <c r="H37" s="2638"/>
      <c r="I37" s="2638"/>
      <c r="J37" s="2638"/>
      <c r="K37" s="1614"/>
      <c r="L37" s="2146"/>
      <c r="M37" s="2147"/>
      <c r="N37" s="2147"/>
      <c r="O37" s="2147"/>
      <c r="P37" s="3414" t="str">
        <f>A37</f>
        <v>估价对象XX用房的比较价格（楼面单价，元/平方米）</v>
      </c>
      <c r="Q37" s="3415"/>
      <c r="R37" s="3473" t="e">
        <f>IF(F1="售价",ROUND(AVERAGE(R36:V36),0),ROUND(AVERAGE(R36:V36),1))</f>
        <v>#DIV/0!</v>
      </c>
      <c r="S37" s="3473"/>
      <c r="T37" s="3473"/>
      <c r="U37" s="3473"/>
      <c r="V37" s="3473"/>
      <c r="W37" s="3473"/>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4" t="str">
        <f>YEAR(C7)&amp;"-"&amp;MONTH(C7)</f>
        <v>2018-12</v>
      </c>
      <c r="D46" s="2806">
        <f>EDATE(C46,-1)</f>
        <v>43405</v>
      </c>
      <c r="E46" s="2806">
        <f t="shared" ref="E46:O46" si="16">EDATE(D46,-1)</f>
        <v>43374</v>
      </c>
      <c r="F46" s="2806">
        <f t="shared" si="16"/>
        <v>43344</v>
      </c>
      <c r="G46" s="2806">
        <f t="shared" si="16"/>
        <v>43313</v>
      </c>
      <c r="H46" s="2806">
        <f t="shared" si="16"/>
        <v>43282</v>
      </c>
      <c r="I46" s="2806">
        <f t="shared" si="16"/>
        <v>43252</v>
      </c>
      <c r="J46" s="2806">
        <f t="shared" si="16"/>
        <v>43221</v>
      </c>
      <c r="K46" s="2806">
        <f t="shared" si="16"/>
        <v>43191</v>
      </c>
      <c r="L46" s="2806">
        <f t="shared" si="16"/>
        <v>43160</v>
      </c>
      <c r="M46" s="2806">
        <f t="shared" si="16"/>
        <v>43132</v>
      </c>
      <c r="N46" s="2806">
        <f t="shared" si="16"/>
        <v>43101</v>
      </c>
      <c r="O46" s="2806">
        <f t="shared" si="16"/>
        <v>43070</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2555</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2556</v>
      </c>
      <c r="C65" s="2600" t="s">
        <v>2557</v>
      </c>
      <c r="D65" s="2600" t="s">
        <v>2558</v>
      </c>
      <c r="E65" s="2600" t="s">
        <v>2559</v>
      </c>
      <c r="F65" s="2600" t="s">
        <v>2560</v>
      </c>
      <c r="G65" s="2600" t="s">
        <v>2561</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2303</v>
      </c>
      <c r="C1" s="3506" t="s">
        <v>2304</v>
      </c>
      <c r="D1" s="3507"/>
      <c r="E1" s="3507"/>
      <c r="F1" s="3507"/>
      <c r="G1" s="3507"/>
      <c r="H1" s="3507"/>
      <c r="I1" s="3507"/>
      <c r="J1" s="3507"/>
      <c r="K1" s="3507"/>
      <c r="L1" s="3507"/>
      <c r="M1" s="3507"/>
      <c r="N1" s="3507"/>
      <c r="O1" s="3507"/>
      <c r="P1" s="3507"/>
      <c r="Q1" s="3507"/>
      <c r="R1" s="3507"/>
      <c r="S1" s="3508"/>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2924</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2923</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2922</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2937</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2921</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2920</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503" t="s">
        <v>20</v>
      </c>
      <c r="D22" s="3504"/>
      <c r="E22" s="3504"/>
      <c r="F22" s="3504"/>
      <c r="G22" s="3504"/>
      <c r="H22" s="3504"/>
      <c r="I22" s="3504"/>
      <c r="J22" s="3504"/>
      <c r="K22" s="3504"/>
      <c r="L22" s="3504"/>
      <c r="M22" s="3504"/>
      <c r="N22" s="3504"/>
      <c r="O22" s="3504"/>
      <c r="P22" s="3504"/>
      <c r="Q22" s="3505"/>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2786</v>
      </c>
      <c r="C1" s="3006">
        <f>项目基本情况!D3</f>
        <v>43446</v>
      </c>
      <c r="H1" s="2940">
        <f>IF(C1&gt;C13,0,MATCH(C1,C$13:C$100,-1))+IF(SUMIF(C13:C100,C1,D13:D100)=0,13,12)</f>
        <v>13</v>
      </c>
      <c r="I1" s="2940">
        <f>MATCH(C2,H3:H7,1)+IF(SUMIF(H3:H7,C2,I3:I7)=0,2,1)</f>
        <v>5</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2817</v>
      </c>
      <c r="C2" s="3007">
        <f>'数据-取费表'!B22</f>
        <v>2</v>
      </c>
      <c r="D2" s="3002" t="s">
        <v>2787</v>
      </c>
      <c r="E2" s="3005">
        <f ca="1">INDIRECT("I"&amp;$I$1)/100</f>
        <v>4.7500000000000001E-2</v>
      </c>
      <c r="G2" s="2942"/>
      <c r="H2" s="2942"/>
      <c r="I2" s="2942" t="s">
        <v>2788</v>
      </c>
      <c r="K2" s="2942"/>
      <c r="L2" s="2942"/>
      <c r="M2" s="2942"/>
      <c r="N2" s="2942" t="s">
        <v>2789</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2819</v>
      </c>
      <c r="C3" s="3004">
        <f>'数据-取费表'!B19</f>
        <v>0</v>
      </c>
      <c r="D3" s="3002" t="s">
        <v>2787</v>
      </c>
      <c r="E3" s="3005">
        <f ca="1">INDIRECT("J"&amp;$J$1)/100</f>
        <v>0</v>
      </c>
      <c r="G3" s="2944" t="s">
        <v>2790</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2818</v>
      </c>
      <c r="C4" s="3005">
        <f ca="1">N4/100</f>
        <v>1.4999999999999999E-2</v>
      </c>
      <c r="G4" s="2950" t="s">
        <v>2791</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2792</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2793</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2794</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2795</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2796</v>
      </c>
      <c r="C10" s="2969"/>
      <c r="D10" s="2969"/>
      <c r="E10" s="2969"/>
      <c r="F10" s="2969"/>
      <c r="G10" s="2969"/>
      <c r="H10" s="2969"/>
      <c r="I10" s="2943"/>
      <c r="J10" s="2943"/>
      <c r="K10" s="2969"/>
      <c r="L10" s="2970" t="s">
        <v>2797</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2798</v>
      </c>
      <c r="C11" s="2974" t="s">
        <v>2799</v>
      </c>
      <c r="D11" s="2975" t="s">
        <v>2800</v>
      </c>
      <c r="E11" s="2976"/>
      <c r="F11" s="2975" t="s">
        <v>2801</v>
      </c>
      <c r="G11" s="2977"/>
      <c r="H11" s="2976"/>
      <c r="I11" s="2975" t="s">
        <v>2802</v>
      </c>
      <c r="J11" s="2976"/>
      <c r="K11" s="2972"/>
      <c r="L11" s="2973" t="s">
        <v>2798</v>
      </c>
      <c r="M11" s="2974" t="s">
        <v>2799</v>
      </c>
      <c r="N11" s="2973" t="s">
        <v>2803</v>
      </c>
      <c r="O11" s="2975" t="s">
        <v>2804</v>
      </c>
      <c r="P11" s="2977"/>
      <c r="Q11" s="2977"/>
      <c r="R11" s="2977"/>
      <c r="S11" s="2977"/>
      <c r="T11" s="2976"/>
      <c r="U11" s="2975" t="s">
        <v>2805</v>
      </c>
      <c r="V11" s="2977"/>
      <c r="W11" s="2976"/>
      <c r="X11" s="2973" t="s">
        <v>2806</v>
      </c>
      <c r="Y11" s="2973" t="s">
        <v>2807</v>
      </c>
      <c r="Z11" s="2973" t="s">
        <v>2808</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2809</v>
      </c>
      <c r="E12" s="2982" t="s">
        <v>2810</v>
      </c>
      <c r="F12" s="2982" t="s">
        <v>2811</v>
      </c>
      <c r="G12" s="2982" t="s">
        <v>2812</v>
      </c>
      <c r="H12" s="2982" t="s">
        <v>2794</v>
      </c>
      <c r="I12" s="2983" t="s">
        <v>2813</v>
      </c>
      <c r="J12" s="2983" t="s">
        <v>2813</v>
      </c>
      <c r="K12" s="2979"/>
      <c r="L12" s="2980"/>
      <c r="M12" s="2981"/>
      <c r="N12" s="2980"/>
      <c r="O12" s="2983" t="s">
        <v>2814</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2815</v>
      </c>
      <c r="C13" s="2987">
        <v>42301</v>
      </c>
      <c r="D13" s="2988">
        <v>4.3499999999999996</v>
      </c>
      <c r="E13" s="2988">
        <v>4.3499999999999996</v>
      </c>
      <c r="F13" s="2988">
        <v>4.75</v>
      </c>
      <c r="G13" s="2988">
        <v>4.75</v>
      </c>
      <c r="H13" s="2988">
        <v>4.9000000000000004</v>
      </c>
      <c r="I13" s="2988">
        <v>2.75</v>
      </c>
      <c r="J13" s="2988">
        <v>3.25</v>
      </c>
      <c r="K13" s="2985"/>
      <c r="L13" s="2986" t="s">
        <v>2815</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2816</v>
      </c>
      <c r="Y42" s="2992" t="s">
        <v>2816</v>
      </c>
      <c r="Z42" s="2992" t="s">
        <v>2816</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2816</v>
      </c>
      <c r="Y43" s="2992" t="s">
        <v>2816</v>
      </c>
      <c r="Z43" s="2992" t="s">
        <v>2816</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2816</v>
      </c>
      <c r="Y44" s="2992" t="s">
        <v>2816</v>
      </c>
      <c r="Z44" s="2992" t="s">
        <v>2816</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2816</v>
      </c>
      <c r="Y45" s="2992" t="s">
        <v>2816</v>
      </c>
      <c r="Z45" s="2992" t="s">
        <v>2816</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2816</v>
      </c>
      <c r="Y46" s="2992" t="s">
        <v>2816</v>
      </c>
      <c r="Z46" s="2992" t="s">
        <v>2816</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2816</v>
      </c>
      <c r="Y47" s="2992" t="s">
        <v>2816</v>
      </c>
      <c r="Z47" s="2992" t="s">
        <v>2816</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2816</v>
      </c>
      <c r="Y48" s="2992" t="s">
        <v>2816</v>
      </c>
      <c r="Z48" s="2992" t="s">
        <v>2816</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2816</v>
      </c>
      <c r="Y49" s="2992" t="s">
        <v>2816</v>
      </c>
      <c r="Z49" s="2992" t="s">
        <v>2816</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2816</v>
      </c>
      <c r="Y50" s="2992" t="s">
        <v>2816</v>
      </c>
      <c r="Z50" s="2992" t="s">
        <v>2816</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2816</v>
      </c>
      <c r="V51" s="2992" t="s">
        <v>2816</v>
      </c>
      <c r="W51" s="2992" t="s">
        <v>2816</v>
      </c>
      <c r="X51" s="2992" t="s">
        <v>2816</v>
      </c>
      <c r="Y51" s="2992" t="s">
        <v>2816</v>
      </c>
      <c r="Z51" s="2992" t="s">
        <v>2816</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2816</v>
      </c>
      <c r="J55" s="2992" t="s">
        <v>2816</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2039</v>
      </c>
      <c r="B1" s="3216"/>
      <c r="C1" s="3216"/>
      <c r="D1" s="3216"/>
      <c r="E1" s="3216"/>
      <c r="F1" s="3216"/>
      <c r="G1" s="3216"/>
      <c r="H1" s="3216"/>
      <c r="I1" s="3216"/>
      <c r="J1" s="3216"/>
      <c r="K1" s="3216"/>
      <c r="L1" s="3216"/>
      <c r="M1" s="3216"/>
      <c r="N1" s="3216"/>
      <c r="O1" s="3216"/>
      <c r="P1" s="3216"/>
      <c r="Q1" s="3216"/>
      <c r="R1" s="3216"/>
    </row>
    <row r="2" spans="1:18">
      <c r="A2" s="1809" t="s">
        <v>2041</v>
      </c>
      <c r="B2" s="1809"/>
      <c r="C2" s="1809"/>
      <c r="D2" s="1809"/>
      <c r="E2" s="1809"/>
      <c r="F2" s="1809"/>
      <c r="G2" s="1809"/>
      <c r="H2" s="1809"/>
      <c r="I2" s="1810"/>
      <c r="J2" s="1810"/>
      <c r="K2" s="1811" t="str">
        <f>"估价期日："&amp;TEXT(项目基本情况!D3,"yyyy年m月d日;;")</f>
        <v>估价期日：2018年12月12日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7" t="s">
        <v>2030</v>
      </c>
      <c r="B3" s="3217" t="s">
        <v>2729</v>
      </c>
      <c r="C3" s="3218" t="s">
        <v>2031</v>
      </c>
      <c r="D3" s="3217" t="s">
        <v>2733</v>
      </c>
      <c r="E3" s="3220" t="s">
        <v>2032</v>
      </c>
      <c r="F3" s="3220"/>
      <c r="G3" s="3220"/>
      <c r="H3" s="3220" t="s">
        <v>2033</v>
      </c>
      <c r="I3" s="3220"/>
      <c r="J3" s="3220"/>
      <c r="K3" s="3218" t="s">
        <v>2034</v>
      </c>
      <c r="L3" s="3218" t="s">
        <v>2035</v>
      </c>
      <c r="M3" s="3217" t="s">
        <v>2730</v>
      </c>
      <c r="N3" s="3219" t="str">
        <f>"（分摊）"&amp;项目基本情况!B16&amp;"国有建设用地使用权面积/㎡"</f>
        <v>（分摊）出让国有建设用地使用权面积/㎡</v>
      </c>
      <c r="O3" s="3217" t="s">
        <v>2064</v>
      </c>
      <c r="P3" s="3218" t="s">
        <v>2044</v>
      </c>
      <c r="Q3" s="3218" t="s">
        <v>2065</v>
      </c>
      <c r="R3" s="3218" t="s">
        <v>2036</v>
      </c>
    </row>
    <row r="4" spans="1:18" ht="36.75" customHeight="1">
      <c r="A4" s="3217"/>
      <c r="B4" s="3217"/>
      <c r="C4" s="3218"/>
      <c r="D4" s="3217"/>
      <c r="E4" s="2651" t="s">
        <v>2043</v>
      </c>
      <c r="F4" s="2651" t="s">
        <v>2742</v>
      </c>
      <c r="G4" s="2651" t="s">
        <v>2037</v>
      </c>
      <c r="H4" s="2651" t="s">
        <v>2038</v>
      </c>
      <c r="I4" s="2651" t="s">
        <v>2743</v>
      </c>
      <c r="J4" s="2651" t="s">
        <v>2037</v>
      </c>
      <c r="K4" s="3218"/>
      <c r="L4" s="3218"/>
      <c r="M4" s="3217"/>
      <c r="N4" s="3219"/>
      <c r="O4" s="3217"/>
      <c r="P4" s="3218"/>
      <c r="Q4" s="3218"/>
      <c r="R4" s="3218"/>
    </row>
    <row r="5" spans="1:18" ht="135" customHeight="1">
      <c r="A5" s="1945" t="s">
        <v>2653</v>
      </c>
      <c r="B5" s="2869" t="s">
        <v>2651</v>
      </c>
      <c r="C5" s="2650">
        <v>22</v>
      </c>
      <c r="D5" s="2649" t="s">
        <v>2652</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40290</v>
      </c>
      <c r="O5" s="1812">
        <f>项目基本情况!C21</f>
        <v>100725</v>
      </c>
      <c r="P5" s="1812">
        <f ca="1">结果表!E42</f>
        <v>5096</v>
      </c>
      <c r="Q5" s="1812">
        <f ca="1">结果表!D42</f>
        <v>2038</v>
      </c>
      <c r="R5" s="1813">
        <f ca="1">结果表!C42</f>
        <v>20532</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4">
        <f ca="1">结果表!O39</f>
        <v>20532</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4"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814" t="str">
        <f>结果表!O41</f>
        <v>——</v>
      </c>
    </row>
    <row r="9" spans="1:18">
      <c r="A9" s="1815" t="s">
        <v>2042</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2029</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75" style="1804" customWidth="1"/>
    <col min="2" max="3" width="21.375" style="1804" customWidth="1"/>
    <col min="4" max="4" width="19.875" style="1804" customWidth="1"/>
    <col min="5" max="16384" width="9" style="1804"/>
  </cols>
  <sheetData>
    <row r="1" spans="1:4">
      <c r="A1" s="3221" t="s">
        <v>2066</v>
      </c>
      <c r="B1" s="3221"/>
      <c r="C1" s="3221"/>
      <c r="D1" s="3221"/>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4" t="s">
        <v>2067</v>
      </c>
      <c r="B5" s="3224"/>
      <c r="C5" s="3224"/>
      <c r="D5" s="3224"/>
    </row>
    <row r="6" spans="1:4">
      <c r="A6" s="3221" t="s">
        <v>2045</v>
      </c>
      <c r="B6" s="3221"/>
      <c r="C6" s="3221"/>
      <c r="D6" s="3221"/>
    </row>
    <row r="7" spans="1:4" ht="33" customHeight="1">
      <c r="A7" s="3221" t="s">
        <v>2573</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4" t="s">
        <v>2069</v>
      </c>
      <c r="B12" s="3224"/>
      <c r="C12" s="3224"/>
      <c r="D12" s="3224"/>
    </row>
    <row r="13" spans="1:4">
      <c r="A13" s="3222" t="s">
        <v>2744</v>
      </c>
      <c r="B13" s="3222"/>
      <c r="C13" s="3222"/>
      <c r="D13" s="3222"/>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2700</v>
      </c>
      <c r="B17" s="3221"/>
      <c r="C17" s="3221"/>
      <c r="D17" s="3221"/>
    </row>
    <row r="18" spans="1:4">
      <c r="A18" s="3221" t="s">
        <v>2692</v>
      </c>
      <c r="B18" s="3221"/>
      <c r="C18" s="3221"/>
      <c r="D18" s="3221"/>
    </row>
    <row r="19" spans="1:4">
      <c r="A19" s="2870" t="s">
        <v>2693</v>
      </c>
      <c r="B19" s="2870" t="s">
        <v>2694</v>
      </c>
      <c r="C19" s="2870" t="s">
        <v>2695</v>
      </c>
      <c r="D19" s="2870" t="s">
        <v>2696</v>
      </c>
    </row>
    <row r="20" spans="1:4">
      <c r="A20" s="2870" t="str">
        <f>项目基本情况!B4</f>
        <v>土地估价师</v>
      </c>
      <c r="B20" s="2870">
        <f>项目基本情况!C4</f>
        <v>0</v>
      </c>
      <c r="C20" s="2872"/>
      <c r="D20" s="1802" t="s">
        <v>2701</v>
      </c>
    </row>
    <row r="21" spans="1:4">
      <c r="A21" s="2870" t="str">
        <f>项目基本情况!D4</f>
        <v>土地估价师</v>
      </c>
      <c r="B21" s="2870">
        <f>项目基本情况!E4</f>
        <v>0</v>
      </c>
      <c r="C21" s="2872"/>
      <c r="D21" s="1802" t="s">
        <v>2702</v>
      </c>
    </row>
    <row r="23" spans="1:4">
      <c r="A23" s="3221" t="s">
        <v>2697</v>
      </c>
      <c r="B23" s="3221"/>
      <c r="C23" s="3221"/>
      <c r="D23" s="3221"/>
    </row>
    <row r="24" spans="1:4">
      <c r="A24" s="2870" t="s">
        <v>2693</v>
      </c>
      <c r="B24" s="2870" t="s">
        <v>2698</v>
      </c>
      <c r="C24" s="2870" t="s">
        <v>2695</v>
      </c>
      <c r="D24" s="2870" t="s">
        <v>2696</v>
      </c>
    </row>
    <row r="25" spans="1:4">
      <c r="A25" s="2873" t="s">
        <v>2699</v>
      </c>
      <c r="B25" s="2870" t="s">
        <v>951</v>
      </c>
      <c r="C25" s="2872"/>
      <c r="D25" s="1802" t="s">
        <v>2702</v>
      </c>
    </row>
    <row r="29" spans="1:4">
      <c r="D29" s="2871" t="s">
        <v>2040</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33" t="s">
        <v>53</v>
      </c>
      <c r="B15" s="3234" t="s">
        <v>845</v>
      </c>
      <c r="C15" s="3230"/>
    </row>
    <row r="16" spans="1:7" ht="14.25">
      <c r="A16" s="3233"/>
      <c r="B16" s="3231" t="s">
        <v>54</v>
      </c>
      <c r="C16" s="1172" t="s">
        <v>53</v>
      </c>
    </row>
    <row r="17" spans="1:3" ht="14.25">
      <c r="A17" s="3233"/>
      <c r="B17" s="3231"/>
      <c r="C17" s="1172" t="s">
        <v>55</v>
      </c>
    </row>
    <row r="18" spans="1:3" ht="14.25">
      <c r="A18" s="3233"/>
      <c r="B18" s="3231"/>
      <c r="C18" s="1172" t="s">
        <v>56</v>
      </c>
    </row>
    <row r="19" spans="1:3" ht="14.25">
      <c r="A19" s="3233"/>
      <c r="B19" s="3229" t="s">
        <v>57</v>
      </c>
      <c r="C19" s="3230"/>
    </row>
    <row r="20" spans="1:3" ht="14.25">
      <c r="A20" s="1173" t="s">
        <v>58</v>
      </c>
      <c r="B20" s="1174"/>
      <c r="C20" s="1175"/>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6" t="s">
        <v>836</v>
      </c>
    </row>
    <row r="25" spans="1:3" ht="14.25">
      <c r="A25" s="3232"/>
      <c r="B25" s="3236"/>
      <c r="C25" s="1176" t="s">
        <v>837</v>
      </c>
    </row>
    <row r="26" spans="1:3" ht="14.25">
      <c r="A26" s="3232"/>
      <c r="B26" s="3236"/>
      <c r="C26" s="1176" t="s">
        <v>838</v>
      </c>
    </row>
    <row r="27" spans="1:3" ht="14.25">
      <c r="A27" s="3232"/>
      <c r="B27" s="3236"/>
      <c r="C27" s="1176" t="s">
        <v>839</v>
      </c>
    </row>
    <row r="28" spans="1:3" ht="14.25">
      <c r="A28" s="3232"/>
      <c r="B28" s="3236"/>
      <c r="C28" s="1176" t="s">
        <v>840</v>
      </c>
    </row>
    <row r="29" spans="1:3" ht="14.25">
      <c r="A29" s="3232"/>
      <c r="B29" s="3236"/>
      <c r="C29" s="1176" t="s">
        <v>841</v>
      </c>
    </row>
    <row r="30" spans="1:3" ht="14.25">
      <c r="A30" s="3232"/>
      <c r="B30" s="3236"/>
      <c r="C30" s="1176" t="s">
        <v>842</v>
      </c>
    </row>
    <row r="31" spans="1:3" ht="14.25">
      <c r="A31" s="3232"/>
      <c r="B31" s="3236"/>
      <c r="C31" s="1176" t="s">
        <v>843</v>
      </c>
    </row>
    <row r="32" spans="1:3" ht="14.25">
      <c r="A32" s="3232"/>
      <c r="B32" s="3236"/>
      <c r="C32" s="1176" t="s">
        <v>1646</v>
      </c>
    </row>
    <row r="33" spans="1:3" ht="14.25">
      <c r="A33" s="3232"/>
      <c r="B33" s="3226" t="s">
        <v>1652</v>
      </c>
      <c r="C33" s="1176" t="s">
        <v>1647</v>
      </c>
    </row>
    <row r="34" spans="1:3" ht="14.25">
      <c r="A34" s="3232"/>
      <c r="B34" s="3227"/>
      <c r="C34" s="1181" t="s">
        <v>1648</v>
      </c>
    </row>
    <row r="35" spans="1:3" ht="14.25">
      <c r="A35" s="3232"/>
      <c r="B35" s="3227"/>
      <c r="C35" s="1182" t="s">
        <v>1649</v>
      </c>
    </row>
    <row r="36" spans="1:3" ht="14.25">
      <c r="A36" s="3232"/>
      <c r="B36" s="3227"/>
      <c r="C36" s="1182" t="s">
        <v>1650</v>
      </c>
    </row>
    <row r="37" spans="1:3" ht="14.25">
      <c r="A37" s="3232"/>
      <c r="B37" s="3228"/>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37" sqref="B37:I37"/>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1906</v>
      </c>
      <c r="B2" s="1658">
        <f ca="1">TODAY()</f>
        <v>43448</v>
      </c>
      <c r="C2" s="2341" t="s">
        <v>1907</v>
      </c>
      <c r="D2" s="2342"/>
    </row>
    <row r="3" spans="1:6" ht="20.25" customHeight="1">
      <c r="A3" s="2344" t="s">
        <v>1908</v>
      </c>
      <c r="B3" s="2345" t="s">
        <v>1909</v>
      </c>
      <c r="C3" s="2345" t="s">
        <v>1910</v>
      </c>
      <c r="D3" s="2346" t="s">
        <v>1911</v>
      </c>
      <c r="E3" s="2345" t="s">
        <v>1912</v>
      </c>
      <c r="F3" s="2345" t="s">
        <v>1910</v>
      </c>
    </row>
    <row r="4" spans="1:6" ht="20.25" customHeight="1">
      <c r="A4" s="2345" t="s">
        <v>1913</v>
      </c>
      <c r="B4" s="2345">
        <f ca="1">IF(C4&lt;B2,"已过期",1119970066)</f>
        <v>1119970066</v>
      </c>
      <c r="C4" s="3008">
        <v>43849</v>
      </c>
      <c r="D4" s="2345" t="s">
        <v>1913</v>
      </c>
      <c r="E4" s="2345">
        <f ca="1">IF(F4&lt;B2,"已过期",96010014)</f>
        <v>96010014</v>
      </c>
      <c r="F4" s="3009">
        <v>47118</v>
      </c>
    </row>
    <row r="5" spans="1:6" ht="20.25" customHeight="1">
      <c r="A5" s="2345" t="s">
        <v>1914</v>
      </c>
      <c r="B5" s="2345">
        <f ca="1">IF(C5&lt;B2,"已过期",1119970074)</f>
        <v>1119970074</v>
      </c>
      <c r="C5" s="3008">
        <v>43849</v>
      </c>
      <c r="D5" s="2345" t="s">
        <v>1914</v>
      </c>
      <c r="E5" s="2345">
        <f ca="1">IF(F5&lt;B2,"已过期",2002110027)</f>
        <v>2002110027</v>
      </c>
      <c r="F5" s="3009">
        <v>46752</v>
      </c>
    </row>
    <row r="6" spans="1:6" ht="20.25" customHeight="1">
      <c r="A6" s="2345" t="s">
        <v>1915</v>
      </c>
      <c r="B6" s="2345">
        <f ca="1">IF(C6&lt;B2,"已过期",1119970111)</f>
        <v>1119970111</v>
      </c>
      <c r="C6" s="3008">
        <v>43849</v>
      </c>
      <c r="D6" s="2345" t="s">
        <v>1915</v>
      </c>
      <c r="E6" s="2345">
        <f ca="1">IF(F6&lt;B2,"已过期",94010078)</f>
        <v>94010078</v>
      </c>
      <c r="F6" s="3009">
        <v>46387</v>
      </c>
    </row>
    <row r="7" spans="1:6" ht="20.25" customHeight="1">
      <c r="A7" s="2345" t="s">
        <v>1916</v>
      </c>
      <c r="B7" s="2345">
        <f ca="1">IF(C7&lt;B2,"已过期",1120050019)</f>
        <v>1120050019</v>
      </c>
      <c r="C7" s="3008">
        <v>44395</v>
      </c>
      <c r="D7" s="2345" t="s">
        <v>1916</v>
      </c>
      <c r="E7" s="2345">
        <f ca="1">IF(F7&lt;B2,"已过期",2002110030)</f>
        <v>2002110030</v>
      </c>
      <c r="F7" s="3009">
        <v>46387</v>
      </c>
    </row>
    <row r="8" spans="1:6" ht="20.25" customHeight="1">
      <c r="A8" s="2345" t="s">
        <v>1917</v>
      </c>
      <c r="B8" s="2345">
        <f ca="1">IF(C8&lt;B2,"已过期",1120000080)</f>
        <v>1120000080</v>
      </c>
      <c r="C8" s="3008">
        <v>43849</v>
      </c>
      <c r="D8" s="2345" t="s">
        <v>1917</v>
      </c>
      <c r="E8" s="2345">
        <f ca="1">IF(F8&lt;B2,"已过期",2000110082)</f>
        <v>2000110082</v>
      </c>
      <c r="F8" s="3009">
        <v>46387</v>
      </c>
    </row>
    <row r="9" spans="1:6" ht="20.25" customHeight="1">
      <c r="A9" s="2345" t="s">
        <v>1918</v>
      </c>
      <c r="B9" s="2345">
        <f ca="1">IF(C9&lt;B2,"已过期",1419970001)</f>
        <v>1419970001</v>
      </c>
      <c r="C9" s="3008">
        <v>43867</v>
      </c>
      <c r="D9" s="2345" t="s">
        <v>1918</v>
      </c>
      <c r="E9" s="2345">
        <f ca="1">IF(F9&lt;B2,"已过期",2002110125)</f>
        <v>2002110125</v>
      </c>
      <c r="F9" s="3009">
        <v>47118</v>
      </c>
    </row>
    <row r="10" spans="1:6" ht="20.25" customHeight="1">
      <c r="A10" s="2345" t="s">
        <v>1919</v>
      </c>
      <c r="B10" s="2345">
        <f ca="1">IF(C10&lt;B2,"已过期",1120060040)</f>
        <v>1120060040</v>
      </c>
      <c r="C10" s="3008">
        <v>43483</v>
      </c>
      <c r="D10" s="2345" t="s">
        <v>1919</v>
      </c>
      <c r="E10" s="2345">
        <f ca="1">IF(F10&lt;B2,"已过期",2004110096)</f>
        <v>2004110096</v>
      </c>
      <c r="F10" s="3009">
        <v>47118</v>
      </c>
    </row>
    <row r="11" spans="1:6" ht="20.25" customHeight="1">
      <c r="A11" s="2345" t="s">
        <v>1920</v>
      </c>
      <c r="B11" s="2345">
        <f ca="1">IF(C11&lt;B2,"已过期",1120100036)</f>
        <v>1120100036</v>
      </c>
      <c r="C11" s="3008">
        <v>43622</v>
      </c>
      <c r="D11" s="2345" t="s">
        <v>1920</v>
      </c>
      <c r="E11" s="2345">
        <f ca="1">IF(F11&lt;B2,"已过期",2010110070)</f>
        <v>2010110070</v>
      </c>
      <c r="F11" s="3009">
        <v>47907</v>
      </c>
    </row>
    <row r="12" spans="1:6" ht="20.25" customHeight="1">
      <c r="A12" s="2345" t="s">
        <v>2974</v>
      </c>
      <c r="B12" s="2345">
        <v>1120110054</v>
      </c>
      <c r="C12" s="3008">
        <v>43937</v>
      </c>
      <c r="D12" s="2345" t="s">
        <v>2974</v>
      </c>
      <c r="E12" s="2345">
        <v>2008110060</v>
      </c>
      <c r="F12" s="3009">
        <v>47177</v>
      </c>
    </row>
    <row r="13" spans="1:6" ht="20.25" customHeight="1">
      <c r="A13" s="2345" t="s">
        <v>1921</v>
      </c>
      <c r="B13" s="2345">
        <f ca="1">IF(C13&lt;B2,"已过期",1120070131)</f>
        <v>1120070131</v>
      </c>
      <c r="C13" s="3008">
        <v>43814</v>
      </c>
      <c r="D13" s="2345" t="s">
        <v>1921</v>
      </c>
      <c r="E13" s="2345">
        <v>2014110011</v>
      </c>
      <c r="F13" s="3009">
        <v>49302</v>
      </c>
    </row>
    <row r="14" spans="1:6" ht="20.25" customHeight="1">
      <c r="A14" s="2345" t="s">
        <v>1922</v>
      </c>
      <c r="B14" s="2345">
        <f ca="1">IF(C14&lt;B2,"已过期",1120130020)</f>
        <v>1120130020</v>
      </c>
      <c r="C14" s="3008">
        <v>43622</v>
      </c>
      <c r="D14" s="2345"/>
      <c r="E14" s="2345"/>
      <c r="F14" s="2345"/>
    </row>
    <row r="15" spans="1:6" ht="20.25" customHeight="1">
      <c r="A15" s="2345" t="s">
        <v>2572</v>
      </c>
      <c r="B15" s="2345">
        <v>1120070085</v>
      </c>
      <c r="C15" s="3008">
        <v>43814</v>
      </c>
      <c r="D15" s="2345" t="s">
        <v>2572</v>
      </c>
      <c r="E15" s="2345">
        <v>2004110128</v>
      </c>
      <c r="F15" s="3009">
        <v>47118</v>
      </c>
    </row>
    <row r="16" spans="1:6" ht="20.25" customHeight="1">
      <c r="A16" s="2345" t="s">
        <v>1923</v>
      </c>
      <c r="B16" s="2345">
        <f ca="1">IF(C16&lt;B2,"已过期",1120140022)</f>
        <v>1120140022</v>
      </c>
      <c r="C16" s="3008">
        <v>44029</v>
      </c>
      <c r="D16" s="2345" t="s">
        <v>1923</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1924</v>
      </c>
      <c r="E21" s="2345">
        <f ca="1">IF(F21&lt;B2,"已过期",2011110090)</f>
        <v>2011110090</v>
      </c>
      <c r="F21" s="3009">
        <v>48302</v>
      </c>
    </row>
    <row r="22" spans="1:7" ht="20.25" customHeight="1">
      <c r="A22" s="2345" t="s">
        <v>1925</v>
      </c>
      <c r="B22" s="2345">
        <f ca="1">IF(C22&lt;B2,"已过期",1120020033)</f>
        <v>1120020033</v>
      </c>
      <c r="C22" s="3008">
        <v>44339</v>
      </c>
      <c r="D22" s="2345" t="s">
        <v>1925</v>
      </c>
      <c r="E22" s="2345">
        <f ca="1">IF(F22&lt;B2,"已过期",2000110137)</f>
        <v>2000110137</v>
      </c>
      <c r="F22" s="3009">
        <v>46387</v>
      </c>
    </row>
    <row r="23" spans="1:7" ht="20.25" customHeight="1">
      <c r="A23" s="2345" t="s">
        <v>1926</v>
      </c>
      <c r="B23" s="2345">
        <f ca="1">IF(C23&lt;B2,"已过期",1120130048)</f>
        <v>1120130048</v>
      </c>
      <c r="C23" s="3008">
        <v>43686</v>
      </c>
      <c r="D23" s="2345"/>
      <c r="E23" s="2345"/>
      <c r="F23" s="2345"/>
    </row>
    <row r="24" spans="1:7" s="2349" customFormat="1" ht="20.25" customHeight="1">
      <c r="A24" s="2347" t="s">
        <v>2054</v>
      </c>
      <c r="B24" s="2347" t="s">
        <v>2054</v>
      </c>
      <c r="C24" s="3008"/>
      <c r="D24" s="3010" t="s">
        <v>2054</v>
      </c>
      <c r="E24" s="2347" t="s">
        <v>2054</v>
      </c>
      <c r="F24" s="2348"/>
    </row>
    <row r="25" spans="1:7" ht="20.25" customHeight="1">
      <c r="A25" s="3237" t="s">
        <v>1927</v>
      </c>
      <c r="B25" s="3237"/>
      <c r="C25" s="3237"/>
      <c r="D25" s="3237"/>
      <c r="E25" s="3237"/>
      <c r="F25" s="3237"/>
      <c r="G25" s="3237"/>
    </row>
    <row r="26" spans="1:7" ht="20.25" customHeight="1">
      <c r="A26" s="3238" t="s">
        <v>1928</v>
      </c>
      <c r="B26" s="3238"/>
      <c r="C26" s="3238"/>
      <c r="D26" s="3238" t="s">
        <v>1929</v>
      </c>
      <c r="E26" s="3238"/>
      <c r="F26" s="3238"/>
    </row>
    <row r="27" spans="1:7" s="2353" customFormat="1" ht="20.25" customHeight="1">
      <c r="A27" s="2350" t="s">
        <v>1930</v>
      </c>
      <c r="B27" s="2351" t="s">
        <v>1931</v>
      </c>
      <c r="C27" s="2351" t="s">
        <v>1932</v>
      </c>
      <c r="D27" s="2352" t="s">
        <v>1930</v>
      </c>
      <c r="E27" s="2351" t="s">
        <v>1931</v>
      </c>
      <c r="F27" s="2351" t="s">
        <v>1932</v>
      </c>
    </row>
    <row r="28" spans="1:7" s="2353" customFormat="1" ht="20.25" customHeight="1">
      <c r="A28" s="2354" t="s">
        <v>1933</v>
      </c>
      <c r="B28" s="2354" t="s">
        <v>1934</v>
      </c>
      <c r="C28" s="2355">
        <v>43725</v>
      </c>
      <c r="D28" s="2354" t="s">
        <v>1935</v>
      </c>
      <c r="E28" s="2354" t="s">
        <v>1936</v>
      </c>
      <c r="F28" s="2356">
        <v>44377</v>
      </c>
    </row>
    <row r="29" spans="1:7" s="2353" customFormat="1" ht="20.25" customHeight="1">
      <c r="A29" s="2354"/>
      <c r="B29" s="2354"/>
      <c r="C29" s="2357"/>
      <c r="D29" s="2354" t="s">
        <v>1937</v>
      </c>
      <c r="E29" s="2358" t="s">
        <v>2941</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0" priority="90">
      <formula>AND($C24-TODAY()&lt;30,TODAY()&lt;$C24)</formula>
    </cfRule>
  </conditionalFormatting>
  <conditionalFormatting sqref="C28">
    <cfRule type="expression" dxfId="199" priority="89">
      <formula>AND($C28-TODAY()&lt;30,TODAY()&lt;$C28)</formula>
    </cfRule>
  </conditionalFormatting>
  <conditionalFormatting sqref="C28 F4">
    <cfRule type="cellIs" dxfId="198" priority="91" stopIfTrue="1" operator="lessThan">
      <formula>$B$2</formula>
    </cfRule>
  </conditionalFormatting>
  <conditionalFormatting sqref="F5">
    <cfRule type="cellIs" dxfId="197" priority="87" stopIfTrue="1" operator="lessThan">
      <formula>$B$2</formula>
    </cfRule>
  </conditionalFormatting>
  <conditionalFormatting sqref="F6 F8 F10">
    <cfRule type="cellIs" dxfId="196" priority="85" stopIfTrue="1" operator="lessThan">
      <formula>$B$2</formula>
    </cfRule>
  </conditionalFormatting>
  <conditionalFormatting sqref="C24:D24">
    <cfRule type="expression" dxfId="195" priority="83">
      <formula>AND($C24-TODAY()&lt;30,TODAY()&lt;$C24)</formula>
    </cfRule>
  </conditionalFormatting>
  <conditionalFormatting sqref="F7 F9 F11 C24:D24">
    <cfRule type="cellIs" dxfId="194" priority="84" stopIfTrue="1" operator="lessThan">
      <formula>$B$2</formula>
    </cfRule>
  </conditionalFormatting>
  <conditionalFormatting sqref="F16">
    <cfRule type="cellIs" dxfId="193" priority="57" stopIfTrue="1" operator="lessThan">
      <formula>$B$2</formula>
    </cfRule>
  </conditionalFormatting>
  <conditionalFormatting sqref="F18">
    <cfRule type="cellIs" dxfId="192" priority="56" stopIfTrue="1" operator="lessThan">
      <formula>$B$2</formula>
    </cfRule>
  </conditionalFormatting>
  <conditionalFormatting sqref="F22">
    <cfRule type="cellIs" dxfId="191" priority="55" stopIfTrue="1" operator="lessThan">
      <formula>$B$2</formula>
    </cfRule>
  </conditionalFormatting>
  <conditionalFormatting sqref="F21">
    <cfRule type="cellIs" dxfId="190" priority="54" stopIfTrue="1" operator="lessThan">
      <formula>$B$2</formula>
    </cfRule>
  </conditionalFormatting>
  <conditionalFormatting sqref="F17">
    <cfRule type="cellIs" dxfId="189" priority="53" stopIfTrue="1" operator="lessThan">
      <formula>$B$2</formula>
    </cfRule>
  </conditionalFormatting>
  <conditionalFormatting sqref="B4:B11 E4:E11 E16:E23 B16:B23 B13:B14 E13:E14">
    <cfRule type="cellIs" dxfId="188" priority="52" stopIfTrue="1" operator="equal">
      <formula>"已过期"</formula>
    </cfRule>
  </conditionalFormatting>
  <conditionalFormatting sqref="F28">
    <cfRule type="cellIs" dxfId="187" priority="49" stopIfTrue="1" operator="lessThan">
      <formula>$B$2</formula>
    </cfRule>
  </conditionalFormatting>
  <conditionalFormatting sqref="F29">
    <cfRule type="cellIs" dxfId="186" priority="47" stopIfTrue="1" operator="lessThan">
      <formula>$B$2</formula>
    </cfRule>
  </conditionalFormatting>
  <conditionalFormatting sqref="F28">
    <cfRule type="expression" dxfId="185" priority="93">
      <formula>AND($E28-TODAY()&lt;30,TODAY()&lt;$E28)</formula>
    </cfRule>
  </conditionalFormatting>
  <conditionalFormatting sqref="F29">
    <cfRule type="expression" dxfId="184" priority="94" stopIfTrue="1">
      <formula>AND($E29-TODAY()&lt;30,TODAY()&lt;$E29)</formula>
    </cfRule>
  </conditionalFormatting>
  <conditionalFormatting sqref="C5">
    <cfRule type="expression" dxfId="183" priority="44">
      <formula>AND($C5-TODAY()&lt;30,TODAY()&lt;$C5)</formula>
    </cfRule>
  </conditionalFormatting>
  <conditionalFormatting sqref="C5">
    <cfRule type="cellIs" dxfId="182" priority="45" stopIfTrue="1" operator="lessThan">
      <formula>$B$2</formula>
    </cfRule>
  </conditionalFormatting>
  <conditionalFormatting sqref="C4:C6">
    <cfRule type="expression" dxfId="181" priority="42">
      <formula>AND($C4-TODAY()&lt;30,TODAY()&lt;$C4)</formula>
    </cfRule>
  </conditionalFormatting>
  <conditionalFormatting sqref="C4:C6">
    <cfRule type="cellIs" dxfId="180" priority="43" stopIfTrue="1" operator="lessThan">
      <formula>$B$2</formula>
    </cfRule>
  </conditionalFormatting>
  <conditionalFormatting sqref="C8:C9">
    <cfRule type="expression" dxfId="179" priority="40">
      <formula>AND($C8-TODAY()&lt;30,TODAY()&lt;$C8)</formula>
    </cfRule>
  </conditionalFormatting>
  <conditionalFormatting sqref="C8:C9">
    <cfRule type="cellIs" dxfId="178" priority="41" stopIfTrue="1" operator="lessThan">
      <formula>$B$2</formula>
    </cfRule>
  </conditionalFormatting>
  <conditionalFormatting sqref="B15 E15">
    <cfRule type="cellIs" dxfId="177" priority="28" stopIfTrue="1" operator="equal">
      <formula>"已过期"</formula>
    </cfRule>
  </conditionalFormatting>
  <conditionalFormatting sqref="F15">
    <cfRule type="cellIs" dxfId="176" priority="25" stopIfTrue="1" operator="lessThan">
      <formula>$B$2</formula>
    </cfRule>
  </conditionalFormatting>
  <conditionalFormatting sqref="C7">
    <cfRule type="expression" dxfId="175" priority="23">
      <formula>AND($C7-TODAY()&lt;30,TODAY()&lt;$C7)</formula>
    </cfRule>
  </conditionalFormatting>
  <conditionalFormatting sqref="C7">
    <cfRule type="cellIs" dxfId="174" priority="24" stopIfTrue="1" operator="lessThan">
      <formula>$B$2</formula>
    </cfRule>
  </conditionalFormatting>
  <conditionalFormatting sqref="C10:C11 C13:C21 C23">
    <cfRule type="expression" dxfId="173" priority="21">
      <formula>AND($C10-TODAY()&lt;30,TODAY()&lt;$C10)</formula>
    </cfRule>
  </conditionalFormatting>
  <conditionalFormatting sqref="C10:C11 C13:C21 C23">
    <cfRule type="cellIs" dxfId="172" priority="22" stopIfTrue="1" operator="lessThan">
      <formula>$B$2</formula>
    </cfRule>
  </conditionalFormatting>
  <conditionalFormatting sqref="F13">
    <cfRule type="cellIs" dxfId="171" priority="20" stopIfTrue="1" operator="lessThan">
      <formula>$B$2</formula>
    </cfRule>
  </conditionalFormatting>
  <conditionalFormatting sqref="F12">
    <cfRule type="cellIs" dxfId="170" priority="12" stopIfTrue="1" operator="lessThan">
      <formula>$B$2</formula>
    </cfRule>
  </conditionalFormatting>
  <conditionalFormatting sqref="B12 E12">
    <cfRule type="cellIs" dxfId="169" priority="11" stopIfTrue="1" operator="equal">
      <formula>"已过期"</formula>
    </cfRule>
  </conditionalFormatting>
  <conditionalFormatting sqref="C12">
    <cfRule type="expression" dxfId="168" priority="9">
      <formula>AND($C12-TODAY()&lt;30,TODAY()&lt;$C12)</formula>
    </cfRule>
  </conditionalFormatting>
  <conditionalFormatting sqref="C12">
    <cfRule type="cellIs" dxfId="167" priority="10" stopIfTrue="1" operator="lessThan">
      <formula>$B$2</formula>
    </cfRule>
  </conditionalFormatting>
  <conditionalFormatting sqref="C22">
    <cfRule type="expression" dxfId="166" priority="1">
      <formula>AND($C22-TODAY()&lt;30,TODAY()&lt;$C22)</formula>
    </cfRule>
  </conditionalFormatting>
  <conditionalFormatting sqref="C2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2" sqref="Y12"/>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1" t="s">
        <v>1707</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2543</v>
      </c>
      <c r="R1" s="2584" t="s">
        <v>2537</v>
      </c>
      <c r="S1" s="6" t="s">
        <v>145</v>
      </c>
      <c r="T1" s="7" t="s">
        <v>146</v>
      </c>
      <c r="U1" s="6" t="s">
        <v>147</v>
      </c>
      <c r="V1" s="6" t="s">
        <v>148</v>
      </c>
      <c r="W1" s="1004" t="s">
        <v>873</v>
      </c>
    </row>
    <row r="2" spans="1:23">
      <c r="A2" s="8" t="s">
        <v>73</v>
      </c>
      <c r="B2" s="8" t="s">
        <v>149</v>
      </c>
      <c r="C2" s="1552" t="s">
        <v>1708</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2538</v>
      </c>
      <c r="S2" s="9" t="s">
        <v>75</v>
      </c>
      <c r="T2" s="9" t="s">
        <v>76</v>
      </c>
      <c r="U2" s="9" t="s">
        <v>75</v>
      </c>
      <c r="V2" s="9" t="s">
        <v>77</v>
      </c>
      <c r="W2" s="9" t="s">
        <v>874</v>
      </c>
    </row>
    <row r="3" spans="1:23">
      <c r="A3" s="8" t="s">
        <v>78</v>
      </c>
      <c r="B3" s="10" t="s">
        <v>150</v>
      </c>
      <c r="C3" s="1553"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2539</v>
      </c>
      <c r="S3" s="9" t="s">
        <v>84</v>
      </c>
      <c r="T3" s="9" t="s">
        <v>85</v>
      </c>
      <c r="U3" s="9" t="s">
        <v>84</v>
      </c>
      <c r="V3" s="9" t="s">
        <v>86</v>
      </c>
      <c r="W3" s="9" t="s">
        <v>875</v>
      </c>
    </row>
    <row r="4" spans="1:23">
      <c r="A4" s="8" t="s">
        <v>87</v>
      </c>
      <c r="B4" s="8" t="s">
        <v>151</v>
      </c>
      <c r="C4" s="1552" t="s">
        <v>1710</v>
      </c>
      <c r="D4" s="9" t="s">
        <v>1995</v>
      </c>
      <c r="E4" s="9" t="s">
        <v>88</v>
      </c>
      <c r="F4" s="9" t="s">
        <v>89</v>
      </c>
      <c r="G4" s="9">
        <v>70</v>
      </c>
      <c r="H4" s="9" t="s">
        <v>90</v>
      </c>
      <c r="I4" s="9" t="s">
        <v>91</v>
      </c>
      <c r="K4" s="9" t="s">
        <v>92</v>
      </c>
      <c r="L4" s="9" t="s">
        <v>92</v>
      </c>
      <c r="M4" s="9" t="s">
        <v>92</v>
      </c>
      <c r="N4" s="9" t="s">
        <v>92</v>
      </c>
      <c r="O4" s="9" t="s">
        <v>92</v>
      </c>
      <c r="P4" s="1006" t="s">
        <v>759</v>
      </c>
      <c r="Q4" s="9" t="s">
        <v>92</v>
      </c>
      <c r="R4" s="1006" t="s">
        <v>2540</v>
      </c>
      <c r="S4" s="9" t="s">
        <v>92</v>
      </c>
      <c r="T4" s="9" t="s">
        <v>93</v>
      </c>
      <c r="U4" s="9" t="s">
        <v>92</v>
      </c>
      <c r="W4" s="9" t="s">
        <v>876</v>
      </c>
    </row>
    <row r="5" spans="1:23">
      <c r="A5" s="8" t="s">
        <v>94</v>
      </c>
      <c r="B5" s="8" t="s">
        <v>152</v>
      </c>
      <c r="C5" s="1552" t="s">
        <v>1711</v>
      </c>
      <c r="F5" s="9" t="s">
        <v>95</v>
      </c>
      <c r="H5" s="9" t="s">
        <v>70</v>
      </c>
      <c r="I5" s="9" t="s">
        <v>96</v>
      </c>
      <c r="K5" s="9" t="s">
        <v>97</v>
      </c>
      <c r="L5" s="9" t="s">
        <v>97</v>
      </c>
      <c r="M5" s="9" t="s">
        <v>97</v>
      </c>
      <c r="N5" s="9" t="s">
        <v>97</v>
      </c>
      <c r="O5" s="9" t="s">
        <v>97</v>
      </c>
      <c r="P5" s="1006" t="s">
        <v>545</v>
      </c>
      <c r="Q5" s="9" t="s">
        <v>97</v>
      </c>
      <c r="R5" s="1006" t="s">
        <v>2541</v>
      </c>
      <c r="S5" s="9" t="s">
        <v>97</v>
      </c>
      <c r="T5" s="9" t="s">
        <v>98</v>
      </c>
      <c r="U5" s="9" t="s">
        <v>97</v>
      </c>
      <c r="W5" s="9" t="s">
        <v>877</v>
      </c>
    </row>
    <row r="6" spans="1:23">
      <c r="A6" s="8" t="s">
        <v>99</v>
      </c>
      <c r="B6" s="1149" t="s">
        <v>1640</v>
      </c>
      <c r="C6" s="1554" t="s">
        <v>1712</v>
      </c>
      <c r="F6" s="9" t="s">
        <v>71</v>
      </c>
      <c r="H6" s="9" t="s">
        <v>72</v>
      </c>
      <c r="I6" s="9" t="s">
        <v>100</v>
      </c>
      <c r="K6" s="9" t="s">
        <v>101</v>
      </c>
      <c r="L6" s="9" t="s">
        <v>101</v>
      </c>
      <c r="M6" s="9" t="s">
        <v>101</v>
      </c>
      <c r="N6" s="9" t="s">
        <v>101</v>
      </c>
      <c r="O6" s="9" t="s">
        <v>101</v>
      </c>
      <c r="P6" s="1006" t="s">
        <v>880</v>
      </c>
      <c r="Q6" s="9" t="s">
        <v>101</v>
      </c>
      <c r="R6" s="1006" t="s">
        <v>2542</v>
      </c>
      <c r="S6" s="9" t="s">
        <v>101</v>
      </c>
      <c r="T6" s="9"/>
      <c r="U6" s="9" t="s">
        <v>101</v>
      </c>
      <c r="W6" s="9" t="s">
        <v>878</v>
      </c>
    </row>
    <row r="7" spans="1:23">
      <c r="A7" s="8" t="s">
        <v>102</v>
      </c>
      <c r="B7" s="8" t="s">
        <v>103</v>
      </c>
      <c r="C7" s="1552" t="s">
        <v>1713</v>
      </c>
      <c r="F7" s="9" t="s">
        <v>153</v>
      </c>
      <c r="H7" s="9" t="s">
        <v>104</v>
      </c>
      <c r="I7" s="9" t="s">
        <v>105</v>
      </c>
    </row>
    <row r="8" spans="1:23">
      <c r="A8" s="8" t="s">
        <v>106</v>
      </c>
      <c r="B8" s="1149" t="s">
        <v>3240</v>
      </c>
      <c r="C8" s="1552" t="s">
        <v>1714</v>
      </c>
      <c r="F8" s="9" t="s">
        <v>154</v>
      </c>
      <c r="H8" s="9"/>
      <c r="I8" s="9" t="s">
        <v>107</v>
      </c>
    </row>
    <row r="9" spans="1:23">
      <c r="A9" s="8" t="s">
        <v>108</v>
      </c>
      <c r="B9" s="8" t="s">
        <v>155</v>
      </c>
      <c r="C9" s="1552" t="s">
        <v>1715</v>
      </c>
      <c r="F9" s="9" t="s">
        <v>109</v>
      </c>
      <c r="H9" s="9"/>
    </row>
    <row r="10" spans="1:23">
      <c r="A10" s="8" t="s">
        <v>110</v>
      </c>
      <c r="B10" s="8" t="s">
        <v>156</v>
      </c>
      <c r="C10" s="1552" t="s">
        <v>1716</v>
      </c>
      <c r="F10" s="9" t="s">
        <v>6</v>
      </c>
    </row>
    <row r="11" spans="1:23">
      <c r="A11" s="8" t="s">
        <v>111</v>
      </c>
      <c r="B11" s="8" t="s">
        <v>157</v>
      </c>
      <c r="C11" s="1552" t="s">
        <v>1717</v>
      </c>
    </row>
    <row r="12" spans="1:23">
      <c r="A12" s="8" t="s">
        <v>112</v>
      </c>
      <c r="B12" s="8" t="s">
        <v>158</v>
      </c>
      <c r="C12" s="1552" t="s">
        <v>1718</v>
      </c>
    </row>
    <row r="13" spans="1:23">
      <c r="A13" s="8" t="s">
        <v>113</v>
      </c>
      <c r="B13" s="8" t="s">
        <v>159</v>
      </c>
      <c r="C13" s="1552" t="s">
        <v>1719</v>
      </c>
    </row>
    <row r="14" spans="1:23">
      <c r="A14" s="8" t="s">
        <v>114</v>
      </c>
      <c r="B14" s="8" t="s">
        <v>160</v>
      </c>
      <c r="C14" s="1555" t="s">
        <v>1895</v>
      </c>
    </row>
    <row r="15" spans="1:23">
      <c r="A15" s="8" t="s">
        <v>115</v>
      </c>
      <c r="B15" s="8" t="s">
        <v>1680</v>
      </c>
      <c r="C15" s="1555"/>
    </row>
    <row r="16" spans="1:23">
      <c r="A16" s="8" t="s">
        <v>116</v>
      </c>
      <c r="B16" s="8" t="s">
        <v>1681</v>
      </c>
      <c r="C16" s="1555"/>
    </row>
    <row r="17" spans="1:3">
      <c r="A17" s="8" t="s">
        <v>117</v>
      </c>
      <c r="B17" s="8" t="s">
        <v>1682</v>
      </c>
      <c r="C17" s="1555"/>
    </row>
    <row r="18" spans="1:3">
      <c r="A18" s="8" t="s">
        <v>118</v>
      </c>
      <c r="B18" s="3113" t="s">
        <v>2953</v>
      </c>
      <c r="C18" s="1555"/>
    </row>
    <row r="19" spans="1:3">
      <c r="A19" s="8" t="s">
        <v>119</v>
      </c>
      <c r="B19" s="3113" t="s">
        <v>3048</v>
      </c>
      <c r="C19" s="1555"/>
    </row>
    <row r="20" spans="1:3">
      <c r="A20" s="8" t="s">
        <v>120</v>
      </c>
      <c r="B20" s="3113" t="s">
        <v>3050</v>
      </c>
      <c r="C20" s="1555"/>
    </row>
    <row r="21" spans="1:3">
      <c r="A21" s="8" t="s">
        <v>121</v>
      </c>
      <c r="B21" s="8" t="s">
        <v>1641</v>
      </c>
      <c r="C21" s="1555"/>
    </row>
    <row r="22" spans="1:3">
      <c r="A22" s="8" t="s">
        <v>122</v>
      </c>
      <c r="B22" s="8" t="s">
        <v>1641</v>
      </c>
      <c r="C22" s="1555"/>
    </row>
    <row r="23" spans="1:3">
      <c r="A23" s="8" t="s">
        <v>123</v>
      </c>
      <c r="B23" s="8" t="s">
        <v>1641</v>
      </c>
      <c r="C23" s="1555"/>
    </row>
    <row r="24" spans="1:3">
      <c r="A24" s="8" t="s">
        <v>12</v>
      </c>
      <c r="B24" s="8" t="s">
        <v>1641</v>
      </c>
      <c r="C24" s="1555"/>
    </row>
    <row r="25" spans="1:3">
      <c r="A25" s="8" t="s">
        <v>124</v>
      </c>
      <c r="B25" s="8" t="s">
        <v>1641</v>
      </c>
      <c r="C25" s="1555"/>
    </row>
    <row r="26" spans="1:3">
      <c r="A26" s="8" t="s">
        <v>125</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1943</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39"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12日，在规划利用条件下、设定土地开发程度为红线外“七通”、宗地内场地平整，设定用途为，剩余土地使用年限为的出让国有建设用地使用权价格。</v>
      </c>
      <c r="D53" s="1769"/>
      <c r="E53" s="1769"/>
    </row>
    <row r="54" spans="1:5">
      <c r="A54" s="3239"/>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9"/>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9"/>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9"/>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2050</v>
      </c>
      <c r="B58" s="1768"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酒店收入计算</vt:lpstr>
      <vt:lpstr>成本逼近法</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2018-10-22T07:15:27Z</cp:lastPrinted>
  <dcterms:created xsi:type="dcterms:W3CDTF">2015-07-13T07:17:23Z</dcterms:created>
  <dcterms:modified xsi:type="dcterms:W3CDTF">2018-12-14T08:20:57Z</dcterms:modified>
</cp:coreProperties>
</file>