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55" yWindow="0" windowWidth="14730" windowHeight="1410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土地比较法-住宅、综合" sheetId="39" r:id="rId20"/>
    <sheet name="土地" sheetId="81"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7" i="1" l="1"/>
  <c r="F9" i="80"/>
  <c r="A3" i="3"/>
  <c r="C14" i="74" l="1"/>
  <c r="B14" i="74"/>
  <c r="N14" i="1"/>
  <c r="L14" i="1"/>
  <c r="F104" i="21"/>
  <c r="E104" i="21"/>
  <c r="D104" i="21"/>
  <c r="E57" i="39"/>
  <c r="G117" i="39"/>
  <c r="I46" i="39"/>
  <c r="G46" i="39"/>
  <c r="E46" i="39"/>
  <c r="I38" i="39"/>
  <c r="G38" i="39"/>
  <c r="I7" i="39"/>
  <c r="E7" i="39"/>
  <c r="I5" i="39"/>
  <c r="E5" i="39"/>
  <c r="E38" i="39"/>
  <c r="C38" i="39"/>
  <c r="C10" i="39"/>
  <c r="E117" i="39"/>
  <c r="F117" i="39" s="1"/>
  <c r="D117" i="39"/>
  <c r="E70" i="39"/>
  <c r="F70" i="39" s="1"/>
  <c r="G70" i="39" s="1"/>
  <c r="H70" i="39" s="1"/>
  <c r="I70" i="39" s="1"/>
  <c r="J70" i="39" s="1"/>
  <c r="K70" i="39" s="1"/>
  <c r="D70" i="39"/>
  <c r="K11" i="21"/>
  <c r="I7" i="6"/>
  <c r="C11" i="39" s="1"/>
  <c r="G7" i="39"/>
  <c r="G5" i="39"/>
  <c r="K18" i="36" l="1"/>
  <c r="K18" i="35"/>
  <c r="C31" i="35"/>
  <c r="D92" i="35"/>
  <c r="E92" i="35" s="1"/>
  <c r="C11" i="21"/>
  <c r="K23" i="21"/>
  <c r="K20" i="35" s="1"/>
  <c r="K20" i="36" s="1"/>
  <c r="K21" i="21"/>
  <c r="K19" i="21"/>
  <c r="K16" i="35" s="1"/>
  <c r="K16" i="36" s="1"/>
  <c r="K17" i="21"/>
  <c r="K15" i="21"/>
  <c r="K14" i="35" s="1"/>
  <c r="K14" i="36" s="1"/>
  <c r="N8" i="1"/>
  <c r="N9" i="1" s="1"/>
  <c r="N7" i="1"/>
  <c r="N6" i="1"/>
  <c r="F6" i="80"/>
  <c r="F7" i="80"/>
  <c r="F5" i="80"/>
  <c r="F4" i="80"/>
  <c r="F3" i="80"/>
  <c r="F2" i="80"/>
  <c r="C9" i="80"/>
  <c r="L8" i="1"/>
  <c r="L9" i="1" s="1"/>
  <c r="G22" i="6"/>
  <c r="G21" i="6"/>
  <c r="G20" i="6"/>
  <c r="F19" i="6"/>
  <c r="E10" i="1" l="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8" i="43"/>
  <c r="C22" i="20"/>
  <c r="B100" i="43" s="1"/>
  <c r="B57" i="43"/>
  <c r="C25" i="40"/>
  <c r="C29" i="39"/>
  <c r="S25" i="40"/>
  <c r="S21" i="34"/>
  <c r="F94" i="40"/>
  <c r="H25" i="40"/>
  <c r="G94" i="40"/>
  <c r="J25" i="40"/>
  <c r="H29" i="39"/>
  <c r="AB29" i="39" s="1"/>
  <c r="J29" i="39"/>
  <c r="AC29" i="39" s="1"/>
  <c r="J18" i="36"/>
  <c r="W18" i="36" s="1"/>
  <c r="F68" i="35"/>
  <c r="H18" i="35"/>
  <c r="G68" i="35"/>
  <c r="J18" i="35"/>
  <c r="W18" i="35" s="1"/>
  <c r="F77" i="37"/>
  <c r="H21" i="37"/>
  <c r="F21" i="37"/>
  <c r="F84" i="34"/>
  <c r="H21" i="34"/>
  <c r="F83" i="33"/>
  <c r="H21" i="33"/>
  <c r="F21" i="33"/>
  <c r="E83" i="21"/>
  <c r="H1" i="69"/>
  <c r="AC25" i="40"/>
  <c r="W25" i="40"/>
  <c r="AB25" i="40"/>
  <c r="U25" i="40"/>
  <c r="W29" i="39"/>
  <c r="AC18" i="36"/>
  <c r="AB21" i="37"/>
  <c r="U21" i="37"/>
  <c r="AA21" i="37"/>
  <c r="S21" i="37"/>
  <c r="AB21" i="34"/>
  <c r="U21" i="34"/>
  <c r="U21" i="33"/>
  <c r="AB21" i="33"/>
  <c r="AA21" i="33"/>
  <c r="S21" i="33"/>
  <c r="AB18" i="35"/>
  <c r="U18" i="35"/>
  <c r="AC18" i="35"/>
  <c r="G77" i="37"/>
  <c r="J21" i="37"/>
  <c r="G84" i="34"/>
  <c r="J21" i="34"/>
  <c r="G83" i="33"/>
  <c r="J21" i="33"/>
  <c r="F83" i="21"/>
  <c r="H21" i="21"/>
  <c r="AB21" i="21" s="1"/>
  <c r="F38" i="69"/>
  <c r="E37" i="69"/>
  <c r="F36" i="69"/>
  <c r="F35" i="69"/>
  <c r="F21" i="69"/>
  <c r="F40" i="69" s="1"/>
  <c r="F20" i="69"/>
  <c r="F39" i="69" s="1"/>
  <c r="E10" i="69"/>
  <c r="E9" i="69"/>
  <c r="AC21" i="37"/>
  <c r="W21" i="37"/>
  <c r="AC21" i="34"/>
  <c r="W21" i="34"/>
  <c r="AC21" i="33"/>
  <c r="W21" i="33"/>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s="1"/>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s="1"/>
  <c r="D64" i="36"/>
  <c r="E64" i="36" s="1"/>
  <c r="D62" i="36"/>
  <c r="E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s="1"/>
  <c r="P39" i="35"/>
  <c r="P38" i="35"/>
  <c r="V37" i="35"/>
  <c r="T37" i="35"/>
  <c r="R37" i="35"/>
  <c r="P37" i="35"/>
  <c r="Q36" i="35"/>
  <c r="Z36" i="35"/>
  <c r="J36" i="35"/>
  <c r="AC36" i="35"/>
  <c r="Q35" i="35"/>
  <c r="Z35" i="35"/>
  <c r="Q34" i="35"/>
  <c r="Z34" i="35"/>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J11" i="21" s="1"/>
  <c r="W11" i="21" s="1"/>
  <c r="D111" i="21"/>
  <c r="E111" i="21"/>
  <c r="F111" i="21"/>
  <c r="C111" i="21"/>
  <c r="D79" i="21"/>
  <c r="E79" i="21" s="1"/>
  <c r="F79" i="21" s="1"/>
  <c r="G79" i="21" s="1"/>
  <c r="D85" i="21"/>
  <c r="F19" i="21"/>
  <c r="AA19" i="21" s="1"/>
  <c r="E81" i="21"/>
  <c r="H19" i="21" s="1"/>
  <c r="F81" i="21"/>
  <c r="G81" i="21" s="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s="1"/>
  <c r="W28" i="36"/>
  <c r="U31" i="36"/>
  <c r="J33" i="36"/>
  <c r="AC33" i="36" s="1"/>
  <c r="H22" i="35"/>
  <c r="AB22" i="35"/>
  <c r="AC27" i="35"/>
  <c r="U31" i="35"/>
  <c r="W36" i="35"/>
  <c r="W22" i="35"/>
  <c r="S31"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J19" i="39"/>
  <c r="AC19" i="39" s="1"/>
  <c r="J17" i="39"/>
  <c r="U34" i="21"/>
  <c r="C25" i="39"/>
  <c r="C27" i="39"/>
  <c r="C21" i="39"/>
  <c r="H11" i="39"/>
  <c r="AB11" i="39" s="1"/>
  <c r="S40" i="39"/>
  <c r="C15" i="39"/>
  <c r="H32" i="33"/>
  <c r="AB32" i="33"/>
  <c r="H11" i="21"/>
  <c r="U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F33" i="36"/>
  <c r="AA33" i="36"/>
  <c r="W30" i="36"/>
  <c r="E85" i="36"/>
  <c r="F85" i="36"/>
  <c r="G85" i="36"/>
  <c r="H85" i="36"/>
  <c r="I85" i="36"/>
  <c r="J85" i="36"/>
  <c r="K85" i="36"/>
  <c r="L85" i="36"/>
  <c r="M85" i="36"/>
  <c r="J29" i="36"/>
  <c r="AC29" i="36" s="1"/>
  <c r="F12" i="36"/>
  <c r="F24" i="36"/>
  <c r="AA24" i="36"/>
  <c r="F34" i="36"/>
  <c r="S34" i="36"/>
  <c r="F23" i="35"/>
  <c r="AA23" i="35"/>
  <c r="J32" i="35"/>
  <c r="AC32" i="35" s="1"/>
  <c r="H14" i="35"/>
  <c r="AB14" i="35" s="1"/>
  <c r="H33" i="35"/>
  <c r="AB33"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AC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22" i="36"/>
  <c r="S22" i="36"/>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26" i="21"/>
  <c r="AC46" i="21"/>
  <c r="U12" i="21"/>
  <c r="AB38" i="21"/>
  <c r="F43" i="33"/>
  <c r="AA43" i="33"/>
  <c r="W15" i="34"/>
  <c r="AC15" i="34"/>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S21" i="39" s="1"/>
  <c r="H21" i="39"/>
  <c r="U21" i="39" s="1"/>
  <c r="W19" i="39"/>
  <c r="U19" i="39"/>
  <c r="S17" i="39"/>
  <c r="AA12" i="39"/>
  <c r="S9" i="39"/>
  <c r="U14" i="39"/>
  <c r="AC13" i="39"/>
  <c r="S23" i="36"/>
  <c r="U13" i="36"/>
  <c r="U26" i="36"/>
  <c r="S33" i="36"/>
  <c r="AA26" i="36"/>
  <c r="AA34" i="36"/>
  <c r="AC26" i="36"/>
  <c r="AA22" i="36"/>
  <c r="W14" i="36"/>
  <c r="U22" i="36"/>
  <c r="AA25" i="36"/>
  <c r="S24" i="36"/>
  <c r="U24" i="36"/>
  <c r="U23" i="36"/>
  <c r="AA25" i="35"/>
  <c r="S23" i="35"/>
  <c r="W24" i="35"/>
  <c r="AB13" i="35"/>
  <c r="U28" i="35"/>
  <c r="AB27" i="35"/>
  <c r="U36" i="35"/>
  <c r="AA33" i="35"/>
  <c r="S32" i="35"/>
  <c r="AA36" i="35"/>
  <c r="S28" i="35"/>
  <c r="U22" i="35"/>
  <c r="S22" i="35"/>
  <c r="U14" i="35"/>
  <c r="AA11" i="35"/>
  <c r="AC12" i="35"/>
  <c r="W13" i="35"/>
  <c r="F9" i="35"/>
  <c r="S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36" i="21"/>
  <c r="W41" i="21"/>
  <c r="AB39" i="21"/>
  <c r="AA43" i="21"/>
  <c r="AA38" i="21"/>
  <c r="AC40" i="21"/>
  <c r="J15" i="21"/>
  <c r="AC15" i="21" s="1"/>
  <c r="F77" i="21"/>
  <c r="G77" i="21" s="1"/>
  <c r="E85" i="21"/>
  <c r="F23" i="21" s="1"/>
  <c r="S23" i="21" s="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A13" i="39"/>
  <c r="S13" i="39"/>
  <c r="S14" i="39"/>
  <c r="AA14" i="39"/>
  <c r="U43" i="39"/>
  <c r="AB43" i="39"/>
  <c r="U11" i="39"/>
  <c r="W17" i="39"/>
  <c r="AC17" i="39"/>
  <c r="W31" i="39"/>
  <c r="AC31" i="39"/>
  <c r="S23" i="39"/>
  <c r="AA45" i="39"/>
  <c r="AB39" i="39"/>
  <c r="W34" i="39"/>
  <c r="S8" i="39"/>
  <c r="AC25" i="36"/>
  <c r="W29" i="36"/>
  <c r="U25" i="36"/>
  <c r="AB28" i="36"/>
  <c r="AA13"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AA33" i="21" s="1"/>
  <c r="J33" i="21"/>
  <c r="AC33" i="21" s="1"/>
  <c r="H33" i="21"/>
  <c r="AB33" i="21" s="1"/>
  <c r="AA26" i="21"/>
  <c r="AB14" i="21"/>
  <c r="AB46" i="21"/>
  <c r="U40" i="21"/>
  <c r="AB31" i="21"/>
  <c r="U31" i="21"/>
  <c r="U13" i="21"/>
  <c r="AB13" i="21"/>
  <c r="S35" i="21"/>
  <c r="H15" i="21"/>
  <c r="U15" i="21" s="1"/>
  <c r="J17" i="21"/>
  <c r="AC17" i="21" s="1"/>
  <c r="AC19" i="21"/>
  <c r="AC14" i="21"/>
  <c r="W30" i="21"/>
  <c r="S46" i="21"/>
  <c r="H45" i="21"/>
  <c r="U45" i="21"/>
  <c r="F29" i="21"/>
  <c r="S29" i="21"/>
  <c r="F13" i="21"/>
  <c r="AA13" i="21"/>
  <c r="AC38" i="21"/>
  <c r="H32" i="21"/>
  <c r="H9" i="21"/>
  <c r="U9" i="21" s="1"/>
  <c r="J9" i="21"/>
  <c r="W9" i="21" s="1"/>
  <c r="J32" i="21"/>
  <c r="W32" i="21" s="1"/>
  <c r="F32" i="21"/>
  <c r="AA31"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A32" i="21"/>
  <c r="S32"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D16" i="53"/>
  <c r="B34" i="72" s="1"/>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B8" i="76"/>
  <c r="E11" i="76"/>
  <c r="E12" i="76"/>
  <c r="B13" i="76"/>
  <c r="L47" i="15"/>
  <c r="B7" i="76"/>
  <c r="M29" i="67"/>
  <c r="F9" i="15"/>
  <c r="F13" i="67"/>
  <c r="M24" i="15"/>
  <c r="C76" i="15"/>
  <c r="J15" i="15"/>
  <c r="D4" i="73"/>
  <c r="F37" i="67"/>
  <c r="E9" i="76"/>
  <c r="M28" i="15"/>
  <c r="M9" i="15"/>
  <c r="F4" i="73"/>
  <c r="F13" i="15"/>
  <c r="F6" i="67"/>
  <c r="M6" i="15"/>
  <c r="E10" i="76"/>
  <c r="F38" i="15"/>
  <c r="F37" i="15"/>
  <c r="F7" i="67"/>
  <c r="M26" i="15"/>
  <c r="M24" i="67"/>
  <c r="AO13" i="1"/>
  <c r="E2" i="68"/>
  <c r="C76" i="67"/>
  <c r="F8" i="15"/>
  <c r="F16" i="67"/>
  <c r="M29" i="15"/>
  <c r="D7" i="73"/>
  <c r="M23" i="15"/>
  <c r="B11" i="76"/>
  <c r="M6" i="67"/>
  <c r="E13" i="76"/>
  <c r="D3" i="73"/>
  <c r="M26" i="67"/>
  <c r="F5" i="73"/>
  <c r="J15" i="67"/>
  <c r="D5" i="73"/>
  <c r="F8" i="67"/>
  <c r="F9" i="67"/>
  <c r="F40" i="15"/>
  <c r="F43" i="15"/>
  <c r="F36" i="15"/>
  <c r="F43" i="67"/>
  <c r="M28" i="67"/>
  <c r="F42" i="15"/>
  <c r="M23" i="67"/>
  <c r="M22" i="15"/>
  <c r="B10" i="76"/>
  <c r="B9" i="76"/>
  <c r="L48" i="67"/>
  <c r="F6" i="73"/>
  <c r="M22" i="67"/>
  <c r="F40" i="67"/>
  <c r="F42" i="67"/>
  <c r="E8" i="76"/>
  <c r="F16" i="15"/>
  <c r="L48" i="15"/>
  <c r="F7" i="73"/>
  <c r="E2" i="69"/>
  <c r="D6" i="73"/>
  <c r="M9" i="67"/>
  <c r="F20" i="31"/>
  <c r="E7" i="76"/>
  <c r="F6" i="15"/>
  <c r="F36" i="67"/>
  <c r="F7" i="15"/>
  <c r="F38" i="67"/>
  <c r="F3" i="73"/>
  <c r="M8" i="15"/>
  <c r="M8" i="67"/>
  <c r="F26" i="67"/>
  <c r="F26" i="15"/>
  <c r="B12" i="76"/>
  <c r="H27" i="39" l="1"/>
  <c r="U27" i="39" s="1"/>
  <c r="W25" i="39"/>
  <c r="H23" i="21"/>
  <c r="AB23" i="21" s="1"/>
  <c r="F85" i="21"/>
  <c r="G85" i="21" s="1"/>
  <c r="F27" i="39"/>
  <c r="G100" i="39"/>
  <c r="J27" i="39"/>
  <c r="AC27" i="39" s="1"/>
  <c r="U38" i="39"/>
  <c r="F64" i="35"/>
  <c r="G64" i="35" s="1"/>
  <c r="F14" i="35"/>
  <c r="AA14" i="35" s="1"/>
  <c r="J14" i="35"/>
  <c r="AB13" i="39"/>
  <c r="W40" i="39"/>
  <c r="S42" i="39"/>
  <c r="W27" i="39"/>
  <c r="AC11" i="39"/>
  <c r="AB27" i="39"/>
  <c r="AA21" i="39"/>
  <c r="S15" i="39"/>
  <c r="U41" i="39"/>
  <c r="AC41" i="39"/>
  <c r="AA41" i="39"/>
  <c r="S11" i="39"/>
  <c r="U12" i="39"/>
  <c r="F68" i="36"/>
  <c r="G68" i="36" s="1"/>
  <c r="H20" i="36"/>
  <c r="J20" i="36"/>
  <c r="W20" i="36" s="1"/>
  <c r="F20" i="36"/>
  <c r="U18" i="36"/>
  <c r="F64" i="36"/>
  <c r="G64" i="36" s="1"/>
  <c r="J16" i="36"/>
  <c r="F16" i="36"/>
  <c r="H16" i="36"/>
  <c r="F62" i="36"/>
  <c r="G62" i="36" s="1"/>
  <c r="F14" i="36"/>
  <c r="AA14" i="36" s="1"/>
  <c r="U32" i="36"/>
  <c r="S32" i="36"/>
  <c r="AA32" i="36"/>
  <c r="S18" i="36"/>
  <c r="AB14" i="36"/>
  <c r="AB9" i="36"/>
  <c r="U9" i="36"/>
  <c r="W9" i="36"/>
  <c r="S34" i="35"/>
  <c r="U34" i="35"/>
  <c r="W34" i="35"/>
  <c r="J29" i="35"/>
  <c r="H29" i="35"/>
  <c r="AB29" i="35" s="1"/>
  <c r="H87" i="35"/>
  <c r="I87" i="35" s="1"/>
  <c r="J87" i="35" s="1"/>
  <c r="K87" i="35" s="1"/>
  <c r="L87" i="35" s="1"/>
  <c r="M87" i="35" s="1"/>
  <c r="F29" i="35"/>
  <c r="S29" i="35" s="1"/>
  <c r="AA29" i="35"/>
  <c r="U29" i="35"/>
  <c r="W9" i="35"/>
  <c r="AC9" i="35"/>
  <c r="H9" i="35"/>
  <c r="U9" i="35" s="1"/>
  <c r="F70" i="35"/>
  <c r="G70" i="35" s="1"/>
  <c r="J20" i="35"/>
  <c r="W20" i="35" s="1"/>
  <c r="H20" i="35"/>
  <c r="U20" i="35" s="1"/>
  <c r="F20" i="35"/>
  <c r="F66" i="35"/>
  <c r="G66" i="35" s="1"/>
  <c r="H16" i="35"/>
  <c r="J16" i="35"/>
  <c r="AC16" i="35" s="1"/>
  <c r="F16" i="35"/>
  <c r="S16" i="35" s="1"/>
  <c r="AB20" i="35"/>
  <c r="S18" i="35"/>
  <c r="U32" i="35"/>
  <c r="AC30" i="35"/>
  <c r="W28" i="35"/>
  <c r="AC20" i="35"/>
  <c r="W16" i="35"/>
  <c r="S14" i="35"/>
  <c r="G123" i="21"/>
  <c r="H123" i="21" s="1"/>
  <c r="I123" i="21" s="1"/>
  <c r="J123" i="21" s="1"/>
  <c r="K123" i="21" s="1"/>
  <c r="L123" i="21" s="1"/>
  <c r="M123" i="21" s="1"/>
  <c r="H42" i="21"/>
  <c r="U42" i="21" s="1"/>
  <c r="S42" i="21"/>
  <c r="H113" i="21"/>
  <c r="H37" i="21"/>
  <c r="U37" i="21" s="1"/>
  <c r="F37" i="21"/>
  <c r="J37" i="21"/>
  <c r="W37" i="21" s="1"/>
  <c r="W44" i="21"/>
  <c r="F69" i="21"/>
  <c r="G69" i="21" s="1"/>
  <c r="H69" i="21" s="1"/>
  <c r="I69" i="21" s="1"/>
  <c r="J69" i="21" s="1"/>
  <c r="K69" i="21" s="1"/>
  <c r="L69" i="21" s="1"/>
  <c r="M69" i="21" s="1"/>
  <c r="F11" i="21"/>
  <c r="S11" i="21" s="1"/>
  <c r="AC23" i="21"/>
  <c r="AA23" i="21"/>
  <c r="AB19" i="21"/>
  <c r="U19" i="21"/>
  <c r="U29" i="39"/>
  <c r="W23" i="39"/>
  <c r="AB21" i="39"/>
  <c r="U21" i="21"/>
  <c r="U17" i="21"/>
  <c r="AB15" i="21"/>
  <c r="W42" i="21"/>
  <c r="W39" i="21"/>
  <c r="W43" i="21"/>
  <c r="AA36" i="21"/>
  <c r="S39" i="21"/>
  <c r="S34" i="21"/>
  <c r="S40" i="21"/>
  <c r="AB42" i="21"/>
  <c r="U23" i="21"/>
  <c r="S21" i="21"/>
  <c r="W17" i="21"/>
  <c r="W15" i="21"/>
  <c r="AB9" i="21"/>
  <c r="B73" i="43"/>
  <c r="B68" i="43"/>
  <c r="B77" i="43"/>
  <c r="B41" i="1"/>
  <c r="F53" i="9" s="1"/>
  <c r="D93" i="9"/>
  <c r="D22" i="15"/>
  <c r="G28" i="6"/>
  <c r="F29" i="6"/>
  <c r="H69" i="43"/>
  <c r="H50" i="43"/>
  <c r="H67" i="43"/>
  <c r="A15" i="62"/>
  <c r="B61" i="72"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G1" i="73"/>
  <c r="C16" i="67"/>
  <c r="C16" i="15"/>
  <c r="S27" i="39" l="1"/>
  <c r="AA27" i="39"/>
  <c r="S14" i="36"/>
  <c r="W14" i="35"/>
  <c r="AC14" i="35"/>
  <c r="AC20" i="36"/>
  <c r="AA20" i="36"/>
  <c r="S20" i="36"/>
  <c r="U20" i="36"/>
  <c r="AB20" i="36"/>
  <c r="AB16" i="36"/>
  <c r="U16" i="36"/>
  <c r="W16" i="36"/>
  <c r="AC16" i="36"/>
  <c r="AA16" i="36"/>
  <c r="S16" i="36"/>
  <c r="AC29" i="35"/>
  <c r="W29" i="35"/>
  <c r="AB9" i="35"/>
  <c r="AA20" i="35"/>
  <c r="S20" i="35"/>
  <c r="U16" i="35"/>
  <c r="AB16" i="35"/>
  <c r="AA16" i="35"/>
  <c r="AA37" i="21"/>
  <c r="S37" i="21"/>
  <c r="F48" i="9"/>
  <c r="O52" i="9" s="1"/>
  <c r="F30" i="68"/>
  <c r="F28" i="67"/>
  <c r="C28" i="67" s="1"/>
  <c r="F52" i="9"/>
  <c r="F32" i="67"/>
  <c r="F60" i="67" s="1"/>
  <c r="F32" i="15"/>
  <c r="F60" i="15" s="1"/>
  <c r="F28" i="15"/>
  <c r="C28" i="15" s="1"/>
  <c r="F54" i="9"/>
  <c r="F30" i="11"/>
  <c r="F31" i="12"/>
  <c r="M18" i="67"/>
  <c r="J18" i="67" s="1"/>
  <c r="F30" i="69"/>
  <c r="M18" i="15"/>
  <c r="J18" i="15" s="1"/>
  <c r="D68" i="9"/>
  <c r="E26" i="43"/>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U7" i="36"/>
  <c r="F7" i="33"/>
  <c r="E58" i="21"/>
  <c r="AC7" i="36"/>
  <c r="V36" i="36" s="1"/>
  <c r="I36" i="36" s="1"/>
  <c r="W7" i="36"/>
  <c r="F7" i="37"/>
  <c r="D14" i="71"/>
  <c r="C13" i="71"/>
  <c r="M17" i="67"/>
  <c r="M17" i="15"/>
  <c r="F59" i="15"/>
  <c r="P28" i="43"/>
  <c r="B66" i="40" s="1"/>
  <c r="P25" i="43"/>
  <c r="C49" i="67"/>
  <c r="P29" i="43"/>
  <c r="P27" i="43"/>
  <c r="B70" i="39" s="1"/>
  <c r="C49" i="15"/>
  <c r="Q60" i="67"/>
  <c r="Q73" i="67"/>
  <c r="M11" i="67"/>
  <c r="J10" i="67" s="1"/>
  <c r="J5" i="67" s="1"/>
  <c r="F11" i="15"/>
  <c r="M11" i="15"/>
  <c r="J10" i="15" s="1"/>
  <c r="J5" i="15" s="1"/>
  <c r="J24" i="15" s="1"/>
  <c r="F11" i="67"/>
  <c r="F1" i="15"/>
  <c r="Q52" i="15"/>
  <c r="C32" i="15"/>
  <c r="F1" i="67"/>
  <c r="Q52" i="67"/>
  <c r="Q60" i="15"/>
  <c r="Q73" i="15"/>
  <c r="Q61" i="67"/>
  <c r="Q74" i="67"/>
  <c r="AE11" i="1"/>
  <c r="AE6" i="1"/>
  <c r="AE9" i="1"/>
  <c r="F27" i="68"/>
  <c r="AE8" i="1"/>
  <c r="AE12" i="1"/>
  <c r="AE10" i="1"/>
  <c r="AE7" i="1"/>
  <c r="F41" i="67"/>
  <c r="T36" i="36" l="1"/>
  <c r="G36" i="36" s="1"/>
  <c r="G40" i="36" s="1"/>
  <c r="H40" i="36" s="1"/>
  <c r="C32" i="67"/>
  <c r="F48" i="69"/>
  <c r="C30" i="69"/>
  <c r="C48" i="69"/>
  <c r="F48" i="68"/>
  <c r="C48" i="68"/>
  <c r="C30" i="68"/>
  <c r="C48" i="11"/>
  <c r="C30" i="1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E36" i="36"/>
  <c r="F63" i="40"/>
  <c r="E65" i="40"/>
  <c r="W7" i="33"/>
  <c r="AC7" i="33"/>
  <c r="V48" i="33" s="1"/>
  <c r="I48" i="33" s="1"/>
  <c r="AA7" i="37"/>
  <c r="R42" i="37" s="1"/>
  <c r="S7" i="37"/>
  <c r="I40" i="36"/>
  <c r="J40" i="36" s="1"/>
  <c r="S7" i="33"/>
  <c r="AA7" i="33"/>
  <c r="R48" i="33" s="1"/>
  <c r="R50" i="34"/>
  <c r="E49" i="34"/>
  <c r="G53" i="34"/>
  <c r="H53" i="34" s="1"/>
  <c r="G54" i="34"/>
  <c r="H54" i="34"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G41" i="36" l="1"/>
  <c r="H41" i="36" s="1"/>
  <c r="R37" i="36"/>
  <c r="C37" i="36"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G58" i="21"/>
  <c r="D12" i="71"/>
  <c r="F41" i="68"/>
  <c r="C60" i="15"/>
  <c r="C26" i="69"/>
  <c r="D22" i="69" s="1"/>
  <c r="C44" i="69"/>
  <c r="D41" i="69" s="1"/>
  <c r="C44" i="11"/>
  <c r="D41" i="11" s="1"/>
  <c r="C24" i="11"/>
  <c r="C66" i="67"/>
  <c r="C60" i="67"/>
  <c r="D10" i="69"/>
  <c r="C34" i="69"/>
  <c r="D10" i="68"/>
  <c r="C14" i="67"/>
  <c r="C17" i="15"/>
  <c r="C17" i="67"/>
  <c r="C36" i="36" l="1"/>
  <c r="B24" i="1"/>
  <c r="B23" i="1"/>
  <c r="C29" i="11"/>
  <c r="D27" i="11" s="1"/>
  <c r="C29" i="68"/>
  <c r="D27" i="68" s="1"/>
  <c r="C28" i="11"/>
  <c r="C27" i="11" s="1"/>
  <c r="C44" i="68"/>
  <c r="D41" i="68"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C18" i="12" l="1"/>
  <c r="C26" i="68"/>
  <c r="D22" i="68" s="1"/>
  <c r="C26" i="11"/>
  <c r="D22" i="11" s="1"/>
  <c r="C23" i="11"/>
  <c r="C25" i="11"/>
  <c r="F34" i="68"/>
  <c r="M59" i="15"/>
  <c r="L59" i="15" s="1"/>
  <c r="M59" i="67"/>
  <c r="C29" i="12"/>
  <c r="D28" i="12" s="1"/>
  <c r="C26" i="12"/>
  <c r="D25" i="12" s="1"/>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Q61" i="15" l="1"/>
  <c r="Q74" i="15"/>
  <c r="C21" i="12"/>
  <c r="C22" i="12" s="1"/>
  <c r="C37" i="68"/>
  <c r="C22" i="11"/>
  <c r="C31" i="11" s="1"/>
  <c r="C36" i="68"/>
  <c r="C34" i="68"/>
  <c r="J7" i="21"/>
  <c r="W7"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I52" i="21" s="1"/>
  <c r="J52" i="21" s="1"/>
  <c r="C38" i="68"/>
  <c r="C35" i="68"/>
  <c r="J7" i="35"/>
  <c r="AC7" i="35" s="1"/>
  <c r="V38" i="35" s="1"/>
  <c r="I38" i="35"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U7" i="35"/>
  <c r="AB7" i="35"/>
  <c r="T38" i="35" s="1"/>
  <c r="G38" i="35" s="1"/>
  <c r="E48" i="21"/>
  <c r="G52" i="21"/>
  <c r="H52" i="21" s="1"/>
  <c r="F7" i="35"/>
  <c r="M21" i="67"/>
  <c r="F35" i="15"/>
  <c r="F35" i="67"/>
  <c r="M21" i="15"/>
  <c r="R49" i="21" l="1"/>
  <c r="C49" i="21" s="1"/>
  <c r="W7" i="35"/>
  <c r="G53" i="21"/>
  <c r="H53" i="21" s="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6" i="68" l="1"/>
  <c r="C45" i="68" s="1"/>
  <c r="C41" i="68"/>
  <c r="L57" i="67"/>
  <c r="L60" i="67" s="1"/>
  <c r="L46" i="67" s="1"/>
  <c r="Q67" i="67"/>
  <c r="C80" i="67"/>
  <c r="C79" i="67" s="1"/>
  <c r="C40" i="67"/>
  <c r="C45" i="67" s="1"/>
  <c r="C56" i="11"/>
  <c r="C57" i="11" s="1"/>
  <c r="B2" i="21"/>
  <c r="B3" i="21" s="1"/>
  <c r="C6" i="12" s="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C51"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2" i="34"/>
  <c r="D2" i="35"/>
  <c r="D2" i="36"/>
  <c r="Q75" i="67" l="1"/>
  <c r="Q62" i="67"/>
  <c r="B3" i="67"/>
  <c r="L57" i="15"/>
  <c r="L60" i="15" s="1"/>
  <c r="Q57" i="15" s="1"/>
  <c r="Q67" i="15"/>
  <c r="B2" i="36"/>
  <c r="B3" i="36" s="1"/>
  <c r="F6" i="12" s="1"/>
  <c r="F8" i="12" s="1"/>
  <c r="B2" i="35"/>
  <c r="B3" i="35" s="1"/>
  <c r="E6" i="12" s="1"/>
  <c r="E8" i="12" s="1"/>
  <c r="M3" i="35"/>
  <c r="B2" i="37"/>
  <c r="B3" i="37" s="1"/>
  <c r="B2" i="34"/>
  <c r="B3" i="34" s="1"/>
  <c r="L46" i="15"/>
  <c r="B2" i="15" s="1"/>
  <c r="D6" i="12" s="1"/>
  <c r="Q47" i="15"/>
  <c r="Q53" i="15" s="1"/>
  <c r="C43" i="15"/>
  <c r="Q65" i="15"/>
  <c r="C83" i="15"/>
  <c r="C82" i="15" s="1"/>
  <c r="Q56" i="15"/>
  <c r="W7" i="39"/>
  <c r="AC7" i="39"/>
  <c r="V47" i="39" s="1"/>
  <c r="I47" i="39" s="1"/>
  <c r="E47" i="39"/>
  <c r="U7" i="39"/>
  <c r="AB7" i="39"/>
  <c r="T47" i="39" s="1"/>
  <c r="G47" i="39" s="1"/>
  <c r="J7" i="40"/>
  <c r="F7" i="40"/>
  <c r="H7" i="40"/>
  <c r="AO8" i="1"/>
  <c r="AO9" i="1"/>
  <c r="AO12" i="1"/>
  <c r="AO10" i="1"/>
  <c r="AO7" i="1"/>
  <c r="AO6" i="1"/>
  <c r="AO11" i="1"/>
  <c r="R48" i="39" l="1"/>
  <c r="C48" i="39" s="1"/>
  <c r="Q66" i="15"/>
  <c r="Q75" i="15" s="1"/>
  <c r="Q62" i="15"/>
  <c r="B9" i="70"/>
  <c r="B11" i="70"/>
  <c r="B7" i="70"/>
  <c r="B10" i="70"/>
  <c r="B12" i="70"/>
  <c r="B6" i="70"/>
  <c r="B8" i="70"/>
  <c r="B3" i="15"/>
  <c r="D8" i="12" s="1"/>
  <c r="C4" i="12"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31" i="12"/>
  <c r="C23" i="12"/>
  <c r="C27" i="12" s="1"/>
  <c r="C25" i="12"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30" i="12"/>
  <c r="C28" i="12" s="1"/>
  <c r="C32" i="12" s="1"/>
  <c r="B2" i="12" s="1"/>
  <c r="C42" i="40"/>
  <c r="C43" i="40"/>
  <c r="E47" i="40"/>
  <c r="F47" i="40" s="1"/>
  <c r="E46" i="40"/>
  <c r="F46" i="40" s="1"/>
  <c r="I47" i="40"/>
  <c r="J47" i="40" s="1"/>
  <c r="D19" i="9"/>
  <c r="B2" i="39" l="1"/>
  <c r="B3" i="39" s="1"/>
  <c r="C6" i="68"/>
  <c r="C7" i="68" s="1"/>
  <c r="C5" i="68" s="1"/>
  <c r="D102" i="9"/>
  <c r="D21" i="9"/>
  <c r="B3" i="12"/>
  <c r="B58" i="40"/>
  <c r="F58" i="40" s="1"/>
  <c r="B54" i="40"/>
  <c r="F54" i="40" s="1"/>
  <c r="B53" i="40"/>
  <c r="F53" i="40" s="1"/>
  <c r="B59" i="40"/>
  <c r="F59" i="40" s="1"/>
  <c r="B52" i="40"/>
  <c r="F52" i="40" s="1"/>
  <c r="B56" i="40"/>
  <c r="F56" i="40" s="1"/>
  <c r="B60" i="40"/>
  <c r="F60" i="40" s="1"/>
  <c r="B57" i="40"/>
  <c r="F57" i="40" s="1"/>
  <c r="B51" i="40"/>
  <c r="F51" i="40" s="1"/>
  <c r="F61" i="40"/>
  <c r="B2" i="40" s="1"/>
  <c r="B3" i="40" s="1"/>
  <c r="D20" i="9"/>
  <c r="C23" i="68" l="1"/>
  <c r="C20" i="68"/>
  <c r="D103" i="9"/>
  <c r="C28" i="68" l="1"/>
  <c r="C27" i="68" s="1"/>
  <c r="C25" i="68"/>
  <c r="C22" i="68" s="1"/>
  <c r="C31" i="68" l="1"/>
  <c r="C52" i="68" s="1"/>
  <c r="B2" i="68" l="1"/>
  <c r="C57" i="68"/>
  <c r="C56" i="68" s="1"/>
  <c r="C19" i="9"/>
  <c r="C102" i="9" l="1"/>
  <c r="C21" i="9"/>
  <c r="G19" i="9"/>
  <c r="D22" i="9"/>
  <c r="B3" i="68"/>
  <c r="D35" i="9"/>
  <c r="C20" i="9"/>
  <c r="D34" i="9"/>
  <c r="C103" i="9" l="1"/>
  <c r="G20" i="9"/>
  <c r="C32" i="9" s="1"/>
  <c r="C35" i="9" s="1"/>
  <c r="C34" i="9" s="1"/>
  <c r="D118" i="9" s="1"/>
  <c r="D119" i="9" s="1"/>
  <c r="D5" i="52" s="1"/>
  <c r="B49" i="72" s="1"/>
  <c r="M25" i="39"/>
  <c r="G21" i="9"/>
  <c r="F118" i="9" l="1"/>
  <c r="F119" i="9" s="1"/>
  <c r="F5" i="52" s="1"/>
  <c r="B53" i="72" s="1"/>
  <c r="H118" i="9"/>
  <c r="H101" i="9" s="1"/>
  <c r="M48" i="9" s="1"/>
  <c r="D4" i="52"/>
  <c r="B47" i="72" s="1"/>
  <c r="H4" i="52" l="1"/>
  <c r="I118" i="9"/>
  <c r="H119" i="9"/>
  <c r="H5" i="52" s="1"/>
  <c r="C104" i="9"/>
  <c r="D14" i="74"/>
  <c r="G14" i="74" s="1"/>
  <c r="B6" i="74" s="1"/>
  <c r="D6" i="74" s="1"/>
  <c r="F4" i="52"/>
  <c r="B51" i="72" s="1"/>
  <c r="G118" i="9"/>
  <c r="G4" i="52" s="1"/>
  <c r="B52" i="72" s="1"/>
  <c r="H107" i="9"/>
  <c r="M49" i="9" s="1"/>
  <c r="D45" i="9"/>
  <c r="D53" i="9" s="1"/>
  <c r="D5" i="53"/>
  <c r="D6" i="53" s="1"/>
  <c r="B22" i="72" s="1"/>
  <c r="E118" i="9"/>
  <c r="E4" i="52" s="1"/>
  <c r="B48" i="72" s="1"/>
  <c r="D13" i="53"/>
  <c r="D55" i="9"/>
  <c r="M53" i="9" s="1"/>
  <c r="B20" i="72"/>
  <c r="C93" i="9" l="1"/>
  <c r="C86" i="9" s="1"/>
  <c r="C105" i="9"/>
  <c r="I4" i="52"/>
  <c r="H102" i="9"/>
  <c r="D7" i="53" s="1"/>
  <c r="B21" i="72" s="1"/>
  <c r="C85" i="9"/>
  <c r="C95" i="9" s="1"/>
  <c r="C96" i="9" s="1"/>
  <c r="E96" i="9" s="1"/>
  <c r="E97" i="9" s="1"/>
  <c r="D52" i="9"/>
  <c r="D122" i="9"/>
  <c r="D8" i="52" s="1"/>
  <c r="E14" i="74"/>
  <c r="B5" i="74"/>
  <c r="F14" i="74"/>
  <c r="C64" i="9"/>
  <c r="C63" i="9" s="1"/>
  <c r="C67" i="9" s="1"/>
  <c r="D59" i="9" s="1"/>
  <c r="M55" i="9" s="1"/>
  <c r="C78" i="9"/>
  <c r="C73" i="9" s="1"/>
  <c r="C72" i="9"/>
  <c r="B30" i="72"/>
  <c r="D14" i="53"/>
  <c r="B32" i="72" s="1"/>
  <c r="L64" i="9"/>
  <c r="M64" i="9" s="1"/>
  <c r="L66" i="9"/>
  <c r="M66" i="9" s="1"/>
  <c r="L68" i="9"/>
  <c r="M68" i="9" s="1"/>
  <c r="L67" i="9"/>
  <c r="M67" i="9" s="1"/>
  <c r="L63" i="9"/>
  <c r="M63" i="9" s="1"/>
  <c r="L65" i="9"/>
  <c r="M65" i="9" s="1"/>
  <c r="H108" i="9" l="1"/>
  <c r="C79" i="9"/>
  <c r="C80" i="9" s="1"/>
  <c r="E80" i="9" s="1"/>
  <c r="E81" i="9" s="1"/>
  <c r="D123" i="9"/>
  <c r="D9" i="52" s="1"/>
  <c r="D5" i="74"/>
  <c r="C5" i="74"/>
  <c r="C68" i="9"/>
  <c r="D54" i="9" s="1"/>
  <c r="C97" i="9"/>
  <c r="D58" i="9" s="1"/>
  <c r="D56" i="9" s="1"/>
  <c r="M54" i="9" s="1"/>
  <c r="N57" i="9" s="1"/>
  <c r="P57" i="9" s="1"/>
  <c r="M69" i="9"/>
  <c r="N69" i="9" s="1"/>
  <c r="D15" i="53" l="1"/>
  <c r="B31" i="72" s="1"/>
  <c r="C6" i="74"/>
  <c r="C81" i="9"/>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<sst xmlns="http://schemas.openxmlformats.org/spreadsheetml/2006/main" count="9643" uniqueCount="3986">
  <si>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</si>
  <si>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</si>
  <si>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</si>
  <si>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</si>
  <si>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</si>
  <si>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</si>
  <si>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</si>
  <si>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</si>
  <si>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</si>
  <si>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</si>
  <si>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</si>
  <si>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</si>
  <si>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</si>
  <si>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</si>
  <si>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</si>
  <si>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</si>
  <si>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</si>
  <si>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</si>
  <si>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</si>
  <si>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</si>
  <si>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</si>
  <si>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</si>
  <si>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</si>
  <si>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</si>
  <si>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</si>
  <si>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</si>
  <si>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</si>
  <si>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</si>
  <si>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</si>
  <si>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</si>
  <si>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</si>
  <si>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</si>
  <si>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</si>
  <si>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</si>
  <si>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</si>
  <si>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</si>
  <si>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</si>
  <si>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</si>
  <si>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</si>
  <si>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</si>
  <si>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</si>
  <si>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</si>
  <si>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</si>
  <si>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</si>
  <si>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</si>
  <si>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</si>
  <si>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</si>
  <si>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</si>
  <si>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</si>
  <si>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</si>
  <si>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</si>
  <si>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</si>
  <si>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</si>
  <si>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</si>
  <si>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</si>
  <si>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</si>
  <si>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</si>
  <si>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</si>
  <si>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</si>
  <si>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</si>
  <si>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</si>
  <si>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</si>
  <si>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</si>
  <si>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</si>
  <si>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</si>
  <si>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</si>
  <si>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</si>
  <si>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</si>
  <si>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</si>
  <si>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</si>
  <si>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</si>
  <si>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</si>
  <si>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</si>
  <si>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</si>
  <si>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</si>
  <si>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</si>
  <si>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</si>
  <si>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</si>
  <si>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</si>
  <si>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</si>
  <si>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</si>
  <si>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</si>
  <si>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</si>
  <si>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</si>
  <si>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</si>
  <si>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</si>
  <si>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</si>
  <si>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</si>
  <si>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</si>
  <si>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</si>
  <si>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</si>
  <si>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</si>
  <si>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</si>
  <si>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</si>
  <si>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</si>
  <si>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</si>
  <si>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</si>
  <si>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</si>
  <si>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</si>
  <si>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</si>
  <si>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</si>
  <si>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</si>
  <si>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</si>
  <si>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</si>
  <si>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</si>
  <si>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</si>
  <si>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</si>
  <si>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</si>
  <si>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</si>
  <si>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</si>
  <si>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</si>
  <si>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</si>
  <si>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</si>
  <si>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</si>
  <si>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</si>
  <si>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</si>
  <si>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</si>
  <si>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</si>
  <si>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</si>
  <si>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</si>
  <si>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</si>
  <si>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</si>
  <si>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</si>
  <si>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</si>
  <si>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</si>
  <si>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</si>
  <si>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</si>
  <si>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</si>
  <si>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</si>
  <si>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</si>
  <si>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</si>
  <si>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</si>
  <si>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</si>
  <si>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</si>
  <si>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</si>
  <si>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</si>
  <si>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</si>
  <si>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</si>
  <si>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</si>
  <si>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</si>
  <si>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</si>
  <si>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</si>
  <si>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</si>
  <si>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</si>
  <si>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</si>
  <si>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</si>
  <si>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</si>
  <si>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</si>
  <si>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</si>
  <si>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</si>
  <si>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</si>
  <si>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</si>
  <si>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</si>
  <si>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</si>
  <si>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</si>
  <si>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</si>
  <si>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</si>
  <si>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</si>
  <si>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</si>
  <si>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</si>
  <si>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</si>
  <si>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</si>
  <si>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</si>
  <si>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</si>
  <si>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</si>
  <si>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</si>
  <si>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</si>
  <si>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</si>
  <si>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</si>
  <si>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</si>
  <si>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</si>
  <si>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</si>
  <si>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</si>
  <si>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</si>
  <si>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</si>
  <si>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</si>
  <si>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</si>
  <si>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</si>
  <si>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</si>
  <si>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</si>
  <si>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</si>
  <si>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</si>
  <si>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</si>
  <si>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</si>
  <si>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</si>
  <si>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</si>
  <si>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</si>
  <si>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</si>
  <si>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</si>
  <si>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</si>
  <si>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</si>
  <si>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</si>
  <si>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</si>
  <si>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</si>
  <si>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</si>
  <si>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</si>
  <si>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</si>
  <si>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</si>
  <si>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</si>
  <si>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</si>
  <si>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</si>
  <si>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</si>
  <si>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</si>
  <si>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</si>
  <si>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</si>
  <si>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</si>
  <si>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</si>
  <si>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</si>
  <si>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</si>
  <si>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</si>
  <si>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</si>
  <si>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</si>
  <si>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</si>
  <si>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</si>
  <si>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</si>
  <si>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</si>
  <si>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</si>
  <si>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</si>
  <si>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</si>
  <si>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</si>
  <si>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</si>
  <si>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</si>
  <si>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</si>
  <si>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</si>
  <si>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</si>
  <si>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</si>
  <si>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</si>
  <si>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</si>
  <si>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</si>
  <si>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</si>
  <si>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</si>
  <si>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</si>
  <si>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</si>
  <si>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</si>
  <si>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</si>
  <si>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</si>
  <si>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</si>
  <si>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</si>
  <si>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</si>
  <si>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</si>
  <si>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</si>
  <si>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</si>
  <si>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</si>
  <si>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</si>
  <si>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</si>
  <si>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</si>
  <si>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</si>
  <si>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</si>
  <si>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</si>
  <si>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</si>
  <si>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</si>
  <si>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</si>
  <si>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</si>
  <si>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</si>
  <si>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</si>
  <si>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</si>
  <si>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</si>
  <si>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</si>
  <si>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</si>
  <si>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</si>
  <si>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</si>
  <si>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</si>
  <si>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</si>
  <si>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</si>
  <si>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</si>
  <si>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</si>
  <si>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</si>
  <si>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</si>
  <si>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</si>
  <si>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</si>
  <si>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</si>
  <si>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</si>
  <si>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</si>
  <si>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</si>
  <si>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</si>
  <si>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</si>
  <si>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</si>
  <si>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</si>
  <si>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</si>
  <si>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</si>
  <si>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</si>
  <si>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</si>
  <si>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</si>
  <si>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</si>
  <si>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</si>
  <si>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</si>
  <si>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</si>
  <si>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</si>
  <si>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</si>
  <si>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</si>
  <si>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</si>
  <si>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</si>
  <si>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</si>
  <si>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</si>
  <si>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</si>
  <si>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</si>
  <si>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</si>
  <si>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</si>
  <si>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</si>
  <si>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</si>
  <si>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</si>
  <si>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</si>
  <si>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</si>
  <si>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</si>
  <si>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</si>
  <si>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</si>
  <si>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</si>
  <si>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</si>
  <si>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</si>
  <si>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</si>
  <si>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</si>
  <si>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</si>
  <si>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</si>
  <si>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</si>
  <si>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</si>
  <si>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</si>
  <si>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</si>
  <si>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</si>
  <si>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</si>
  <si>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</si>
  <si>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</si>
  <si>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</si>
  <si>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</si>
  <si>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</si>
  <si>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</si>
  <si>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</si>
  <si>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</si>
  <si>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</si>
  <si>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</si>
  <si>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</si>
  <si>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</si>
  <si>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</si>
  <si>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</si>
  <si>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</si>
  <si>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</si>
  <si>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</si>
  <si>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</si>
  <si>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</si>
  <si>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</si>
  <si>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</si>
  <si>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</si>
  <si>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</si>
  <si>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</si>
  <si>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</si>
  <si>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</si>
  <si>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</si>
  <si>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</si>
  <si>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</si>
  <si>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</si>
  <si>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</si>
  <si>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</si>
  <si>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</si>
  <si>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</si>
  <si>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</si>
  <si>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</si>
  <si>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</si>
  <si>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</si>
  <si>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</si>
  <si>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</si>
  <si>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</si>
  <si>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</si>
  <si>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</si>
  <si>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</si>
  <si>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</si>
  <si>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</si>
  <si>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</si>
  <si>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</si>
  <si>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</si>
  <si>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</si>
  <si>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</si>
  <si>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</si>
  <si>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</si>
  <si>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</si>
  <si>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</si>
  <si>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</si>
  <si>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</si>
  <si>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</si>
  <si>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</si>
  <si>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</si>
  <si>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</si>
  <si>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</si>
  <si>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</si>
  <si>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</si>
  <si>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</si>
  <si>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</si>
  <si>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</si>
  <si>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</si>
  <si>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</si>
  <si>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</si>
  <si>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</si>
  <si>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</si>
  <si>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</si>
  <si>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</si>
  <si>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</si>
  <si>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</si>
  <si>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</si>
  <si>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</si>
  <si>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</si>
  <si>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</si>
  <si>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</si>
  <si>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</si>
  <si>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</si>
  <si>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</si>
  <si>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</si>
  <si>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</si>
  <si>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</si>
  <si>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</si>
  <si>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</si>
  <si>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</si>
  <si>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</si>
  <si>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</si>
  <si>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</si>
  <si>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</si>
  <si>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</si>
  <si>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</si>
  <si>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</si>
  <si>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</si>
  <si>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</si>
  <si>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</si>
  <si>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</si>
  <si>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</si>
  <si>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</si>
  <si>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</si>
  <si>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</si>
  <si>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</si>
  <si>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</si>
  <si>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</si>
  <si>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</si>
  <si>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</si>
  <si>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</si>
  <si>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</si>
  <si>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</si>
  <si>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</si>
  <si>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</si>
  <si>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</si>
  <si>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</si>
  <si>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</si>
  <si>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</si>
  <si>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</si>
  <si>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</si>
  <si>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</si>
  <si>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</si>
  <si>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</si>
  <si>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</si>
  <si>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</si>
  <si>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</si>
  <si>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</si>
  <si>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</si>
  <si>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</si>
  <si>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</si>
  <si>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</si>
  <si>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</si>
  <si>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</si>
  <si>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</si>
  <si>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</si>
  <si>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</si>
  <si>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</si>
  <si>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</si>
  <si>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</si>
  <si>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</si>
  <si>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</si>
  <si>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</si>
  <si>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</si>
  <si>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</si>
  <si>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</si>
  <si>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</si>
  <si>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</si>
  <si>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</si>
  <si>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</si>
  <si>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</si>
  <si>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</si>
  <si>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</si>
  <si>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</si>
  <si>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</si>
  <si>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</si>
  <si>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</si>
  <si>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</si>
  <si>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</si>
  <si>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</si>
  <si>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</si>
  <si>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</si>
  <si>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</si>
  <si>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</si>
  <si>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</si>
  <si>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</si>
  <si>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</si>
  <si>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</si>
  <si>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</si>
  <si>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</si>
  <si>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</si>
  <si>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</si>
  <si>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</si>
  <si>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</si>
  <si>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</si>
  <si>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</si>
  <si>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</si>
  <si>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</si>
  <si>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</si>
  <si>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</si>
  <si>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</si>
  <si>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</si>
  <si>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</si>
  <si>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</si>
  <si>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</si>
  <si>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</si>
  <si>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</si>
  <si>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</si>
  <si>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</si>
  <si>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</si>
  <si>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</si>
  <si>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</si>
  <si>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</si>
  <si>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</si>
  <si>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</si>
  <si>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</si>
  <si>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</si>
  <si>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</si>
  <si>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</si>
  <si>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</si>
  <si>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</si>
  <si>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</si>
  <si>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</si>
  <si>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</si>
  <si>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</si>
  <si>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</si>
  <si>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</si>
  <si>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</si>
  <si>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</si>
  <si>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</si>
  <si>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</si>
  <si>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</si>
  <si>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</si>
  <si>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</si>
  <si>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</si>
  <si>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</si>
  <si>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</si>
  <si>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</si>
  <si>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</si>
  <si>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</si>
  <si>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</si>
  <si>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</si>
  <si>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</si>
  <si>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</si>
  <si>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</si>
  <si>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</si>
  <si>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</si>
  <si>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</si>
  <si>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</si>
  <si>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</si>
  <si>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</si>
  <si>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</si>
  <si>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</si>
  <si>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</si>
  <si>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</si>
  <si>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</si>
  <si>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</si>
  <si>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</si>
  <si>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</si>
  <si>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</si>
  <si>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</si>
  <si>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</si>
  <si>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</si>
  <si>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</si>
  <si>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</si>
  <si>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</si>
  <si>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</si>
  <si>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</si>
  <si>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</si>
  <si>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</si>
  <si>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</si>
  <si>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</si>
  <si>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</si>
  <si>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</si>
  <si>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</si>
  <si>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</si>
  <si>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</si>
  <si>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</si>
  <si>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</si>
  <si>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</si>
  <si>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</si>
  <si>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</si>
  <si>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</si>
  <si>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</si>
  <si>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</si>
  <si>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</si>
  <si>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</si>
  <si>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</si>
  <si>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</si>
  <si>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</si>
  <si>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</si>
  <si>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</si>
  <si>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</si>
  <si>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</si>
  <si>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</si>
  <si>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</si>
  <si>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</si>
  <si>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</si>
  <si>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</si>
  <si>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</si>
  <si>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</si>
  <si>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</si>
  <si>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</si>
  <si>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</si>
  <si>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</si>
  <si>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</si>
  <si>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</si>
  <si>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</si>
  <si>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</si>
  <si>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</si>
  <si>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</si>
  <si>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</si>
  <si>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</si>
  <si>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</si>
  <si>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</si>
  <si>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</si>
  <si>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</si>
  <si>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</si>
  <si>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</si>
  <si>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</si>
  <si>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</si>
  <si>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</si>
  <si>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</si>
  <si>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</si>
  <si>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</si>
  <si>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</si>
  <si>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</si>
  <si>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</si>
  <si>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</si>
  <si>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</si>
  <si>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</si>
  <si>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</si>
  <si>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</si>
  <si>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</si>
  <si>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</si>
  <si>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</si>
  <si>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</si>
  <si>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</si>
  <si>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</si>
  <si>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</si>
  <si>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</si>
  <si>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</si>
  <si>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</si>
  <si>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</si>
  <si>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</si>
  <si>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</si>
  <si>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</si>
  <si>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</si>
  <si>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</si>
  <si>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</si>
  <si>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</si>
  <si>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</si>
  <si>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</si>
  <si>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</si>
  <si>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</si>
  <si>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</si>
  <si>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</si>
  <si>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</si>
  <si>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</si>
  <si>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</si>
  <si>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</si>
  <si>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</si>
  <si>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</si>
  <si>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</si>
  <si>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</si>
  <si>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</si>
  <si>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</si>
  <si>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</si>
  <si>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</si>
  <si>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</si>
  <si>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</si>
  <si>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</si>
  <si>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</si>
  <si>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</si>
  <si>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</si>
  <si>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</si>
  <si>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</si>
  <si>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</si>
  <si>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</si>
  <si>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</si>
  <si>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</si>
  <si>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</si>
  <si>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</si>
  <si>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</si>
  <si>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</si>
  <si>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</si>
  <si>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</si>
  <si>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</si>
  <si>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</si>
  <si>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</si>
  <si>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</si>
  <si>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</si>
  <si>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</si>
  <si>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</si>
  <si>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</si>
  <si>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</si>
  <si>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</si>
  <si>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</si>
  <si>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</si>
  <si>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</si>
  <si>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</si>
  <si>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</si>
  <si>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</si>
  <si>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</si>
  <si>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</si>
  <si>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</si>
  <si>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</si>
  <si>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</si>
  <si>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</si>
  <si>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</si>
  <si>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</si>
  <si>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</si>
  <si>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</si>
  <si>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</si>
  <si>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</si>
  <si>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</si>
  <si>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</si>
  <si>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</si>
  <si>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</si>
  <si>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</si>
  <si>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</si>
  <si>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</si>
  <si>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</si>
  <si>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</si>
  <si>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</si>
  <si>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</si>
  <si>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</si>
  <si>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</si>
  <si>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</si>
  <si>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</si>
  <si>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</si>
  <si>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</si>
  <si>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</si>
  <si>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</si>
  <si>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</si>
  <si>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</si>
  <si>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</si>
  <si>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</si>
  <si>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</si>
  <si>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</si>
  <si>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</si>
  <si>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</si>
  <si>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</si>
  <si>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</si>
  <si>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</si>
  <si>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</si>
  <si>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</si>
  <si>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</si>
  <si>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</si>
  <si>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</si>
  <si>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</si>
  <si>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</si>
  <si>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</si>
  <si>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</si>
  <si>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</si>
  <si>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</si>
  <si>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</si>
  <si>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</si>
  <si>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</si>
  <si>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</si>
  <si>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</si>
  <si>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</si>
  <si>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</si>
  <si>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</si>
  <si>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</si>
  <si>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</si>
  <si>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</si>
  <si>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</si>
  <si>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</si>
  <si>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</si>
  <si>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</si>
  <si>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</si>
  <si>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</si>
  <si>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</si>
  <si>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</si>
  <si>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</si>
  <si>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</si>
  <si>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</si>
  <si>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</si>
  <si>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</si>
  <si>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</si>
  <si>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</si>
  <si>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</si>
  <si>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</si>
  <si>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</si>
  <si>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</si>
  <si>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</si>
  <si>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</si>
  <si>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</si>
  <si>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</si>
  <si>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</si>
  <si>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</si>
  <si>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</si>
  <si>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</si>
  <si>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</si>
  <si>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</si>
  <si>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</si>
  <si>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</si>
  <si>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</si>
  <si>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</si>
  <si>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</si>
  <si>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</si>
  <si>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</si>
  <si>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</si>
  <si>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</si>
  <si>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</si>
  <si>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</si>
  <si>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</si>
  <si>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</si>
  <si>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</si>
  <si>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</si>
  <si>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</si>
  <si>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</si>
  <si>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</si>
  <si>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</si>
  <si>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</si>
  <si>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</si>
  <si>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</si>
  <si>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</si>
  <si>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</si>
  <si>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</si>
  <si>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</si>
  <si>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</si>
  <si>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</si>
  <si>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</si>
  <si>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</si>
  <si>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</si>
  <si>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</si>
  <si>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</si>
  <si>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</si>
  <si>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</si>
  <si>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</si>
  <si>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</si>
  <si>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</si>
  <si>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</si>
  <si>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</si>
  <si>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</si>
  <si>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</si>
  <si>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</si>
  <si>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</si>
  <si>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</si>
  <si>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</si>
  <si>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</si>
  <si>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</si>
  <si>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</si>
  <si>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</si>
  <si>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</si>
  <si>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</si>
  <si>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</si>
  <si>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</si>
  <si>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</si>
  <si>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</si>
  <si>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</si>
  <si>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</si>
  <si>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</si>
  <si>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</si>
  <si>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</si>
  <si>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</si>
  <si>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</si>
  <si>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</si>
  <si>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</si>
  <si>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</si>
  <si>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</si>
  <si>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</si>
  <si>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</si>
  <si>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</si>
  <si>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</si>
  <si>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</si>
  <si>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</si>
  <si>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</si>
  <si>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</si>
  <si>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</si>
  <si>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</si>
  <si>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</si>
  <si>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</si>
  <si>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</si>
  <si>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</si>
  <si>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</si>
  <si>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</si>
  <si>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</si>
  <si>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</si>
  <si>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</si>
  <si>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</si>
  <si>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</si>
  <si>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</si>
  <si>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</si>
  <si>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</si>
  <si>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</si>
  <si>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</si>
  <si>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</si>
  <si>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</si>
  <si>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</si>
  <si>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</si>
  <si>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</si>
  <si>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</si>
  <si>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</si>
  <si>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</si>
  <si>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</si>
  <si>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</si>
  <si>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</si>
  <si>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</si>
  <si>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</si>
  <si>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</si>
  <si>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</si>
  <si>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</si>
  <si>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</si>
  <si>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</si>
  <si>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</si>
  <si>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</si>
  <si>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</si>
  <si>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</si>
  <si>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</si>
  <si>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</si>
  <si>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</si>
  <si>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</si>
  <si>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</si>
  <si>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</si>
  <si>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</si>
  <si>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</si>
  <si>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</si>
  <si>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</si>
  <si>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</si>
  <si>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</si>
  <si>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</si>
  <si>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</si>
  <si>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</si>
  <si>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</si>
  <si>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</si>
  <si>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</si>
  <si>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</si>
  <si>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</si>
  <si>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</si>
  <si>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</si>
  <si>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</si>
  <si>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</si>
  <si>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</si>
  <si>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</si>
  <si>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</si>
  <si>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</si>
  <si>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</si>
  <si>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</si>
  <si>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</si>
  <si>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</si>
  <si>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</si>
  <si>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</si>
  <si>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</si>
  <si>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</si>
  <si>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</si>
  <si>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</si>
  <si>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</si>
  <si>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</si>
  <si>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</si>
  <si>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</si>
  <si>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</si>
  <si>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</si>
  <si>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</si>
  <si>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</si>
  <si>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</si>
  <si>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</si>
  <si>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</si>
  <si>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</si>
  <si>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</si>
  <si>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</si>
  <si>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</si>
  <si>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</si>
  <si>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</si>
  <si>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</si>
  <si>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</si>
  <si>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</si>
  <si>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</si>
  <si>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</si>
  <si>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</si>
  <si>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</si>
  <si>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</si>
  <si>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</si>
  <si>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</si>
  <si>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</si>
  <si>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</si>
  <si>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</si>
  <si>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</si>
  <si>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</si>
  <si>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</si>
  <si>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</si>
  <si>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</si>
  <si>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</si>
  <si>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</si>
  <si>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</si>
  <si>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</si>
  <si>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</si>
  <si>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</si>
  <si>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</si>
  <si>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</si>
  <si>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</si>
  <si>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</si>
  <si>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</si>
  <si>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</si>
  <si>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</si>
  <si>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</si>
  <si>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</si>
  <si>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</si>
  <si>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</si>
  <si>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</si>
  <si>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</si>
  <si>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</si>
  <si>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</si>
  <si>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</si>
  <si>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</si>
  <si>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</si>
  <si>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</si>
  <si>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</si>
  <si>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</si>
  <si>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</si>
  <si>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</si>
  <si>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</si>
  <si>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</si>
  <si>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</si>
  <si>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</si>
  <si>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</si>
  <si>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</si>
  <si>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</si>
  <si>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</si>
  <si>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</si>
  <si>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</si>
  <si>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</si>
  <si>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</si>
  <si>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</si>
  <si>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</si>
  <si>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</si>
  <si>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</si>
  <si>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</si>
  <si>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</si>
  <si>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</si>
  <si>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</si>
  <si>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</si>
  <si>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</si>
  <si>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</si>
  <si>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</si>
  <si>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</si>
  <si>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</si>
  <si>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</si>
  <si>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</si>
  <si>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</si>
  <si>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</si>
  <si>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</si>
  <si>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</si>
  <si>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</si>
  <si>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</si>
  <si>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</si>
  <si>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</si>
  <si>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</si>
  <si>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</si>
  <si>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</si>
  <si>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</si>
  <si>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</si>
  <si>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</si>
  <si>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</si>
  <si>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</si>
  <si>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</si>
  <si>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</si>
  <si>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</si>
  <si>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</si>
  <si>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</si>
  <si>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</si>
  <si>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</si>
  <si>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</si>
  <si>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</si>
  <si>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</si>
  <si>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</si>
  <si>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</si>
  <si>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</si>
  <si>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</si>
  <si>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</si>
  <si>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</si>
  <si>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</si>
  <si>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</si>
  <si>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</si>
  <si>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</si>
  <si>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</si>
  <si>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</si>
  <si>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</si>
  <si>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</si>
  <si>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</si>
  <si>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</si>
  <si>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</si>
  <si>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</si>
  <si>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</si>
  <si>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</si>
  <si>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</si>
  <si>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</si>
  <si>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</si>
  <si>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</si>
  <si>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</si>
  <si>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</si>
  <si>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</si>
  <si>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</si>
  <si>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</si>
  <si>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</si>
  <si>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</si>
  <si>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</si>
  <si>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</si>
  <si>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</si>
  <si>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</si>
  <si>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</si>
  <si>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</si>
  <si>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</si>
  <si>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</si>
  <si>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</si>
  <si>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</si>
  <si>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</si>
  <si>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</si>
  <si>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</si>
  <si>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</si>
  <si>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</si>
  <si>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</si>
  <si>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</si>
  <si>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</si>
  <si>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</si>
  <si>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</si>
  <si>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</si>
  <si>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</si>
  <si>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</si>
  <si>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</si>
  <si>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</si>
  <si>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</si>
  <si>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</si>
  <si>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</si>
  <si>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</si>
  <si>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</si>
  <si>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</si>
  <si>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</si>
  <si>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</si>
  <si>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</si>
  <si>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</si>
  <si>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</si>
  <si>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</si>
  <si>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</si>
  <si>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</si>
  <si>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</si>
  <si>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</si>
  <si>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</si>
  <si>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</si>
  <si>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</si>
  <si>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</si>
  <si>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</si>
  <si>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</si>
  <si>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</si>
  <si>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</si>
  <si>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</si>
  <si>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</si>
  <si>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</si>
  <si>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</si>
  <si>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</si>
  <si>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</si>
  <si>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</si>
  <si>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</si>
  <si>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</si>
  <si>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</si>
  <si>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</si>
  <si>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</si>
  <si>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</si>
  <si>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</si>
  <si>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</si>
  <si>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</si>
  <si>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</si>
  <si>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</si>
  <si>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</si>
  <si>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</si>
  <si>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</si>
  <si>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</si>
  <si>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</si>
  <si>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</si>
  <si>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</si>
  <si>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</si>
  <si>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</si>
  <si>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</si>
  <si>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</si>
  <si>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</si>
  <si>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</si>
  <si>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</si>
  <si>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</si>
  <si>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</si>
  <si>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</si>
  <si>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</si>
  <si>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</si>
  <si>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</si>
  <si>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</si>
  <si>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</si>
  <si>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</si>
  <si>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</si>
  <si>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</si>
  <si>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</si>
  <si>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</si>
  <si>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</si>
  <si>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</si>
  <si>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</si>
  <si>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</si>
  <si>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</si>
  <si>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</si>
  <si>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</si>
  <si>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</si>
  <si>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</si>
  <si>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</si>
  <si>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</si>
  <si>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</si>
  <si>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</si>
  <si>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</si>
  <si>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</si>
  <si>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</si>
  <si>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</si>
  <si>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</si>
  <si>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</si>
  <si>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</si>
  <si>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</si>
  <si>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</si>
  <si>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</si>
  <si>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</si>
  <si>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</si>
  <si>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</si>
  <si>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</si>
  <si>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</si>
  <si>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</si>
  <si>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</si>
  <si>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</si>
  <si>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</si>
  <si>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</si>
  <si>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</si>
  <si>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</si>
  <si>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</si>
  <si>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</si>
  <si>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</si>
  <si>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</si>
  <si>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</si>
  <si>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</si>
  <si>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</si>
  <si>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</si>
  <si>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</si>
  <si>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</si>
  <si>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</si>
  <si>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</si>
  <si>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</si>
  <si>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</si>
  <si>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</si>
  <si>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</si>
  <si>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</si>
  <si>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</si>
  <si>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</si>
  <si>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</si>
  <si>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</si>
  <si>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</si>
  <si>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</si>
  <si>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</si>
  <si>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</si>
  <si>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</si>
  <si>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</si>
  <si>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</si>
  <si>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</si>
  <si>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</si>
  <si>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</si>
  <si>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</si>
  <si>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</si>
  <si>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</si>
  <si>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</si>
  <si>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</si>
  <si>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</si>
  <si>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</si>
  <si>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</si>
  <si>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</si>
  <si>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</si>
  <si>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</si>
  <si>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</si>
  <si>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</si>
  <si>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</si>
  <si>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</si>
  <si>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</si>
  <si>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</si>
  <si>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</si>
  <si>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</si>
  <si>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</si>
  <si>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</si>
  <si>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</si>
  <si>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</si>
  <si>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</si>
  <si>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</si>
  <si>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</si>
  <si>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</si>
  <si>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</si>
  <si>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</si>
  <si>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</si>
  <si>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</si>
  <si>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</si>
  <si>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</si>
  <si>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</si>
  <si>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</si>
  <si>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</si>
  <si>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</si>
  <si>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</si>
  <si>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</si>
  <si>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</si>
  <si>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</si>
  <si>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</si>
  <si>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</si>
  <si>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</si>
  <si>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</si>
  <si>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</si>
  <si>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</si>
  <si>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</si>
  <si>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</si>
  <si>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</si>
  <si>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</si>
  <si>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</si>
  <si>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</si>
  <si>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</si>
  <si>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</si>
  <si>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</si>
  <si>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</si>
  <si>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</si>
  <si>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</si>
  <si>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</si>
  <si>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</si>
  <si>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</si>
  <si>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</si>
  <si>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</si>
  <si>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</si>
  <si>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</si>
  <si>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</si>
  <si>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</si>
  <si>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</si>
  <si>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</si>
  <si>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</si>
  <si>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</si>
  <si>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</si>
  <si>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</si>
  <si>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</si>
  <si>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</si>
  <si>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</si>
  <si>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</si>
  <si>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</si>
  <si>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</si>
  <si>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</si>
  <si>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</si>
  <si>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</si>
  <si>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</si>
  <si>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</si>
  <si>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</si>
  <si>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</si>
  <si>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</si>
  <si>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</si>
  <si>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</si>
  <si>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</si>
  <si>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</si>
  <si>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</si>
  <si>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</si>
  <si>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</si>
  <si>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</si>
  <si>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</si>
  <si>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</si>
  <si>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</si>
  <si>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</si>
  <si>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</si>
  <si>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</si>
  <si>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</si>
  <si>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</si>
  <si>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</si>
  <si>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</si>
  <si>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</si>
  <si>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</si>
  <si>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</si>
  <si>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</si>
  <si>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</si>
  <si>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</si>
  <si>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</si>
  <si>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</si>
  <si>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</si>
  <si>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</si>
  <si>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</si>
  <si>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</si>
  <si>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</si>
  <si>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</si>
  <si>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</si>
  <si>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</si>
  <si>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</si>
  <si>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</si>
  <si>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</si>
  <si>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</si>
  <si>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</si>
  <si>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</si>
  <si>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</si>
  <si>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</si>
  <si>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</si>
  <si>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</si>
  <si>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</si>
  <si>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</si>
  <si>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</si>
  <si>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</si>
  <si>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</si>
  <si>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</si>
  <si>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</si>
  <si>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</si>
  <si>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</si>
  <si>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</si>
  <si>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</si>
  <si>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</si>
  <si>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</si>
  <si>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</si>
  <si>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</si>
  <si>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</si>
  <si>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</si>
  <si>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</si>
  <si>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</si>
  <si>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</si>
  <si>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</si>
  <si>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</si>
  <si>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</si>
  <si>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</si>
  <si>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</si>
  <si>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</si>
  <si>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</si>
  <si>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</si>
  <si>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</si>
  <si>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</si>
  <si>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</si>
  <si>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</si>
  <si>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</si>
  <si>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</si>
  <si>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</si>
  <si>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</si>
  <si>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</si>
  <si>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</si>
  <si>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</si>
  <si>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</si>
  <si>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</si>
  <si>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</si>
  <si>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</si>
  <si>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</si>
  <si>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</si>
  <si>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</si>
  <si>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</si>
  <si>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</si>
  <si>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</si>
  <si>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</si>
  <si>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</si>
  <si>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</si>
  <si>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</si>
  <si>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</si>
  <si>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</si>
  <si>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</si>
  <si>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</si>
  <si>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</si>
  <si>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</si>
  <si>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</si>
  <si>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</si>
  <si>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</si>
  <si>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</si>
  <si>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</si>
  <si>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</si>
  <si>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</si>
  <si>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</si>
  <si>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</si>
  <si>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</si>
  <si>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</si>
  <si>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</si>
  <si>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</si>
  <si>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</si>
  <si>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</si>
  <si>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</si>
  <si>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</si>
  <si>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</si>
  <si>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</si>
  <si>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</si>
  <si>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</si>
  <si>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</si>
  <si>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</si>
  <si>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</si>
  <si>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</si>
  <si>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</si>
  <si>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</si>
  <si>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</si>
  <si>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</si>
  <si>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</si>
  <si>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</si>
  <si>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</si>
  <si>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</si>
  <si>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</si>
  <si>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</si>
  <si>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</si>
  <si>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</si>
  <si>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</si>
  <si>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</si>
  <si>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</si>
  <si>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</si>
  <si>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</si>
  <si>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</si>
  <si>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</si>
  <si>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</si>
  <si>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</si>
  <si>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</si>
  <si>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</si>
  <si>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</si>
  <si>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</si>
  <si>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</si>
  <si>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</si>
  <si>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</si>
  <si>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</si>
  <si>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</si>
  <si>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</si>
  <si>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</si>
  <si>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</si>
  <si>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</si>
  <si>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</si>
  <si>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</si>
  <si>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</si>
  <si>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</si>
  <si>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</si>
  <si>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</si>
  <si>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</si>
  <si>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</si>
  <si>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</si>
  <si>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</si>
  <si>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</si>
  <si>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</si>
  <si>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</si>
  <si>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</si>
  <si>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</si>
  <si>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</si>
  <si>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</si>
  <si>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</si>
  <si>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</si>
  <si>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</si>
  <si>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</si>
  <si>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</si>
  <si>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</si>
  <si>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</si>
  <si>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</si>
  <si>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</si>
  <si>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</si>
  <si>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</si>
  <si>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</si>
  <si>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</si>
  <si>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</si>
  <si>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</si>
  <si>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</si>
  <si>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</si>
  <si>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</si>
  <si>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</si>
  <si>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</si>
  <si>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</si>
  <si>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</si>
  <si>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</si>
  <si>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</si>
  <si>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</si>
  <si>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</si>
  <si>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</si>
  <si>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</si>
  <si>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</si>
  <si>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</si>
  <si>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</si>
  <si>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</si>
  <si>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</si>
  <si>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</si>
  <si>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</si>
  <si>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</si>
  <si>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</si>
  <si>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</si>
  <si>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</si>
  <si>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</si>
  <si>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</si>
  <si>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</si>
  <si>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</si>
  <si>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</si>
  <si>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</si>
  <si>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</si>
  <si>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</si>
  <si>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</si>
  <si>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</si>
  <si>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</si>
  <si>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</si>
  <si>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</si>
  <si>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</si>
  <si>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</si>
  <si>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</si>
  <si>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</si>
  <si>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</si>
  <si>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</si>
  <si>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</si>
  <si>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</si>
  <si>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</si>
  <si>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</si>
  <si>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</si>
  <si>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</si>
  <si>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</si>
  <si>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</si>
  <si>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</si>
  <si>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</si>
  <si>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</si>
  <si>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</si>
  <si>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</si>
  <si>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</si>
  <si>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</si>
  <si>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</si>
  <si>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</si>
  <si>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</si>
  <si>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</si>
  <si>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</si>
  <si>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</si>
  <si>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</si>
  <si>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</si>
  <si>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</si>
  <si>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</si>
  <si>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</si>
  <si>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</si>
  <si>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</si>
  <si>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</si>
  <si>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</si>
  <si>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</si>
  <si>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</si>
  <si>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</si>
  <si>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</si>
  <si>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</si>
  <si>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</si>
  <si>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</si>
  <si>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</si>
  <si>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</si>
  <si>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</si>
  <si>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</si>
  <si>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</si>
  <si>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</si>
  <si>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</si>
  <si>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</si>
  <si>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</si>
  <si>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</si>
  <si>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</si>
  <si>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</si>
  <si>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</si>
  <si>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</si>
  <si>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</si>
  <si>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</si>
  <si>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</si>
  <si>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</si>
  <si>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</si>
  <si>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</si>
  <si>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</si>
  <si>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</si>
  <si>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</si>
  <si>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</si>
  <si>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</si>
  <si>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</si>
  <si>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</si>
  <si>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</si>
  <si>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</si>
  <si>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</si>
  <si>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</si>
  <si>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</si>
  <si>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</si>
  <si>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</si>
  <si>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</si>
  <si>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</si>
  <si>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</si>
  <si>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</si>
  <si>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</si>
  <si>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</si>
  <si>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</si>
  <si>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</si>
  <si>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</si>
  <si>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</si>
  <si>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</si>
  <si>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</si>
  <si>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</si>
  <si>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</si>
  <si>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</si>
  <si>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</si>
  <si>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</si>
  <si>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</si>
  <si>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</si>
  <si>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</si>
  <si>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</si>
  <si>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</si>
  <si>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</si>
  <si>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</si>
  <si>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</si>
  <si>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</si>
  <si>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</si>
  <si>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</si>
  <si>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</si>
  <si>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</si>
  <si>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</si>
  <si>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</si>
  <si>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</si>
  <si>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</si>
  <si>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</si>
  <si>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</si>
  <si>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</si>
  <si>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</si>
  <si>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</si>
  <si>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</si>
  <si>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</si>
  <si>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</si>
  <si>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</si>
  <si>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</si>
  <si>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</si>
  <si>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</si>
  <si>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</si>
  <si>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</si>
  <si>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</si>
  <si>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</si>
  <si>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</si>
  <si>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</si>
  <si>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</si>
  <si>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</si>
  <si>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</si>
  <si>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</si>
  <si>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</si>
  <si>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</si>
  <si>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</si>
  <si>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</si>
  <si>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</si>
  <si>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</si>
  <si>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</si>
  <si>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</si>
  <si>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</si>
  <si>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</si>
  <si>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</si>
  <si>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</si>
  <si>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</si>
  <si>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</si>
  <si>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</si>
  <si>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</si>
  <si>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</si>
  <si>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</si>
  <si>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</si>
  <si>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</si>
  <si>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</si>
  <si>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</si>
  <si>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</si>
  <si>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</si>
  <si>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</si>
  <si>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</si>
  <si>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</si>
  <si>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</si>
  <si>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</si>
  <si>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</si>
  <si>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</si>
  <si>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</si>
  <si>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</si>
  <si>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</si>
  <si>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</si>
  <si>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</si>
  <si>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</si>
  <si>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</si>
  <si>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</si>
  <si>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</si>
  <si>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</si>
  <si>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</si>
  <si>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</si>
  <si>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</si>
  <si>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</si>
  <si>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</si>
  <si>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</si>
  <si>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</si>
  <si>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</si>
  <si>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</si>
  <si>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</si>
  <si>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</si>
  <si>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</si>
  <si>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</si>
  <si>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</si>
  <si>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</si>
  <si>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</si>
  <si>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</si>
  <si>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</si>
  <si>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</si>
  <si>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</si>
  <si>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</si>
  <si>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</si>
  <si>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</si>
  <si>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</si>
  <si>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</si>
  <si>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</si>
  <si>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</si>
  <si>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</si>
  <si>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</si>
  <si>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</si>
  <si>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</si>
  <si>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</si>
  <si>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</si>
  <si>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</si>
  <si>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</si>
  <si>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</si>
  <si>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</si>
  <si>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</si>
  <si>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</si>
  <si>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</si>
  <si>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</si>
  <si>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</si>
  <si>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</si>
  <si>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</si>
  <si>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</si>
  <si>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</si>
  <si>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</si>
  <si>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</si>
  <si>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</si>
  <si>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</si>
  <si>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</si>
  <si>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</si>
  <si>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</si>
  <si>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</si>
  <si>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</si>
  <si>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</si>
  <si>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</si>
  <si>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</si>
  <si>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</si>
  <si>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</si>
  <si>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</si>
  <si>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</si>
  <si>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</si>
  <si>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</si>
  <si>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</si>
  <si>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</si>
  <si>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</si>
  <si>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</si>
  <si>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</si>
  <si>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</si>
  <si>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</si>
  <si>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</si>
  <si>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</si>
  <si>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</si>
  <si>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</si>
  <si>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</si>
  <si>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</si>
  <si>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</si>
  <si>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</si>
  <si>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</si>
  <si>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</si>
  <si>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</si>
  <si>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</si>
  <si>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</si>
  <si>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</si>
  <si>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</si>
  <si>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</si>
  <si>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</si>
  <si>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</si>
  <si>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</si>
  <si>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</si>
  <si>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</si>
  <si>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</si>
  <si>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</si>
  <si>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</si>
  <si>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</si>
  <si>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</si>
  <si>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</si>
  <si>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</si>
  <si>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</si>
  <si>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</si>
  <si>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</si>
  <si>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</si>
  <si>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</si>
  <si>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</si>
  <si>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</si>
  <si>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</si>
  <si>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</si>
  <si>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</si>
  <si>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</si>
  <si>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</si>
  <si>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</si>
  <si>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</si>
  <si>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</si>
  <si>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</si>
  <si>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</si>
  <si>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</si>
  <si>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</si>
  <si>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</si>
  <si>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</si>
  <si>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</si>
  <si>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</si>
  <si>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</si>
  <si>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</si>
  <si>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</si>
  <si>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</si>
  <si>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</si>
  <si>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</si>
  <si>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</si>
  <si>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</si>
  <si>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</si>
  <si>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</si>
  <si>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</si>
  <si>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</si>
  <si>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</si>
  <si>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</si>
  <si>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</si>
  <si>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</si>
  <si>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</si>
  <si>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</si>
  <si>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</si>
  <si>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</si>
  <si>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</si>
  <si>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</si>
  <si>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</si>
  <si>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</si>
  <si>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</si>
  <si>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</si>
  <si>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</si>
  <si>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</si>
  <si>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</si>
  <si>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</si>
  <si>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</si>
  <si>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</si>
  <si>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</si>
  <si>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</si>
  <si>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</si>
  <si>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</si>
  <si>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</si>
  <si>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</si>
  <si>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</si>
  <si>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</si>
  <si>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</si>
  <si>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</si>
  <si>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</si>
  <si>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</si>
  <si>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</si>
  <si>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</si>
  <si>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</si>
  <si>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</si>
  <si>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</si>
  <si>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</si>
  <si>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</si>
  <si>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</si>
  <si>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</si>
  <si>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</si>
  <si>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</si>
  <si>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</si>
  <si>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</si>
  <si>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</si>
  <si>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</si>
  <si>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</si>
  <si>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</si>
  <si>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</si>
  <si>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</si>
  <si>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</si>
  <si>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</si>
  <si>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</si>
  <si>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</si>
  <si>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</si>
  <si>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</si>
  <si>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</si>
  <si>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</si>
  <si>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</si>
  <si>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</si>
  <si>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</si>
  <si>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</si>
  <si>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</si>
  <si>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</si>
  <si>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</si>
  <si>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</si>
  <si>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</si>
  <si>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</si>
  <si>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</si>
  <si>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</si>
  <si>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</si>
  <si>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</si>
  <si>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</si>
  <si>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</si>
  <si>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</si>
  <si>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</si>
  <si>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</si>
  <si>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</si>
  <si>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</si>
  <si>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</si>
  <si>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</si>
  <si>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</si>
  <si>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</si>
  <si>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</si>
  <si>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</si>
  <si>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</si>
  <si>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</si>
  <si>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</si>
  <si>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</si>
  <si>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</si>
  <si>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</si>
  <si>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</si>
  <si>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</si>
  <si>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</si>
  <si>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</si>
  <si>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</si>
  <si>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</si>
  <si>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</si>
  <si>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</si>
  <si>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</si>
  <si>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</si>
  <si>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</si>
  <si>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</si>
  <si>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</si>
  <si>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</si>
  <si>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</si>
  <si>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</si>
  <si>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</si>
  <si>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</si>
  <si>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</si>
  <si>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</si>
  <si>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</si>
  <si>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</si>
  <si>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</si>
  <si>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</si>
  <si>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</si>
  <si>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</si>
  <si>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</si>
  <si>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</si>
  <si>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</si>
  <si>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</si>
  <si>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</si>
  <si>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</si>
  <si>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</si>
  <si>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</si>
  <si>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</si>
  <si>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</si>
  <si>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</si>
  <si>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</si>
  <si>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</si>
  <si>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</si>
  <si>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</si>
  <si>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</si>
  <si>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</si>
  <si>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</si>
  <si>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</si>
  <si>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</si>
  <si>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</si>
  <si>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</si>
  <si>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</si>
  <si>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</si>
  <si>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</si>
  <si>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</si>
  <si>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</si>
  <si>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</si>
  <si>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</si>
  <si>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</si>
  <si>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</si>
  <si>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</si>
  <si>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</si>
  <si>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</si>
  <si>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</si>
  <si>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</si>
  <si>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</si>
  <si>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</si>
  <si>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</si>
  <si>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</si>
  <si>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</si>
  <si>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</si>
  <si>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</si>
  <si>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</si>
  <si>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</si>
  <si>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</si>
  <si>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</si>
  <si>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</si>
  <si>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</si>
  <si>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</si>
  <si>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</si>
  <si>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</si>
  <si>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</si>
  <si>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</si>
  <si>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</si>
  <si>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</si>
  <si>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</si>
  <si>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</si>
  <si>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</si>
  <si>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</si>
  <si>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</si>
  <si>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</si>
  <si>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</si>
  <si>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</si>
  <si>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</si>
  <si>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</si>
  <si>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</si>
  <si>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</si>
  <si>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</si>
  <si>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</si>
  <si>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</si>
  <si>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</si>
  <si>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</si>
  <si>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</si>
  <si>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</si>
  <si>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</si>
  <si>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</si>
  <si>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</si>
  <si>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</si>
  <si>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</si>
  <si>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</si>
  <si>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</si>
  <si>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</si>
  <si>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</si>
  <si>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</si>
  <si>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</si>
  <si>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</si>
  <si>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</si>
  <si>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</si>
  <si>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</si>
  <si>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</si>
  <si>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</si>
  <si>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</si>
  <si>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</si>
  <si>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</si>
  <si>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</si>
  <si>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</si>
  <si>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</si>
  <si>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</si>
  <si>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</si>
  <si>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</si>
  <si>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</si>
  <si>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</si>
  <si>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</si>
  <si>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</si>
  <si>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</si>
  <si>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</si>
  <si>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</si>
  <si>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</si>
  <si>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</si>
  <si>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</si>
  <si>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</si>
  <si>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</si>
  <si>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</si>
  <si>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</si>
  <si>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</si>
  <si>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</si>
  <si>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</si>
  <si>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</si>
  <si>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</si>
  <si>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</si>
  <si>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</si>
  <si>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</si>
  <si>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</si>
  <si>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</si>
  <si>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</si>
  <si>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</si>
  <si>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</si>
  <si>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</si>
  <si>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</si>
  <si>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</si>
  <si>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</si>
  <si>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</si>
  <si>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</si>
  <si>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</si>
  <si>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</si>
  <si>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</si>
  <si>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</si>
  <si>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</si>
  <si>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</si>
  <si>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</si>
  <si>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</si>
  <si>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</si>
  <si>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</si>
  <si>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</si>
  <si>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</si>
  <si>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</si>
  <si>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</si>
  <si>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</si>
  <si>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</si>
  <si>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</si>
  <si>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</si>
  <si>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</si>
  <si>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</si>
  <si>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</si>
  <si>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</si>
  <si>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</si>
  <si>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</si>
  <si>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</si>
  <si>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</si>
  <si>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</si>
  <si>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</si>
  <si>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</si>
  <si>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</si>
  <si>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</si>
  <si>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</si>
  <si>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</si>
  <si>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</si>
  <si>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</si>
  <si>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</si>
  <si>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</si>
  <si>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</si>
  <si>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</si>
  <si>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</si>
  <si>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</si>
  <si>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</si>
  <si>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</si>
  <si>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</si>
  <si>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</si>
  <si>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</si>
  <si>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</si>
  <si>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</si>
  <si>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</si>
  <si>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</si>
  <si>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</si>
  <si>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</si>
  <si>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</si>
  <si>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</si>
  <si>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</si>
  <si>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</si>
  <si>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</si>
  <si>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</si>
  <si>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</si>
  <si>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</si>
  <si>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</si>
  <si>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</si>
  <si>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</si>
  <si>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</si>
  <si>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</si>
  <si>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</si>
  <si>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</si>
  <si>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</si>
  <si>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</si>
  <si>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</si>
  <si>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</si>
  <si>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</si>
  <si>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</si>
  <si>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</si>
  <si>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</si>
  <si>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</si>
  <si>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</si>
  <si>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</si>
  <si>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</si>
  <si>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</si>
  <si>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</si>
  <si>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</si>
  <si>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</si>
  <si>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</si>
  <si>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</si>
  <si>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</si>
  <si>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</si>
  <si>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</si>
  <si>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</si>
  <si>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</si>
  <si>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</si>
  <si>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</si>
  <si>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</si>
  <si>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</si>
  <si>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</si>
  <si>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</si>
  <si>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</si>
  <si>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</si>
  <si>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</si>
  <si>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</si>
  <si>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</si>
  <si>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</si>
  <si>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</si>
  <si>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</si>
  <si>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</si>
  <si>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</si>
  <si>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</si>
  <si>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</si>
  <si>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</si>
  <si>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</si>
  <si>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</si>
  <si>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</si>
  <si>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</si>
  <si>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</si>
  <si>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</si>
  <si>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</si>
  <si>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</si>
  <si>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</si>
  <si>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</si>
  <si>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</si>
  <si>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</si>
  <si>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</si>
  <si>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</si>
  <si>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</si>
  <si>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</si>
  <si>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</si>
  <si>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</si>
  <si>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</si>
  <si>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</si>
  <si>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</si>
  <si>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</si>
  <si>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</si>
  <si>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</si>
  <si>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</si>
  <si>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</si>
  <si>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</si>
  <si>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</si>
  <si>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</si>
  <si>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</si>
  <si>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</si>
  <si>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</si>
  <si>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</si>
  <si>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</si>
  <si>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</si>
  <si>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</si>
  <si>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</si>
  <si>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</si>
  <si>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</si>
  <si>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</si>
  <si>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</si>
  <si>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</si>
  <si>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</si>
  <si>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</si>
  <si>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</si>
  <si>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</si>
  <si>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</si>
  <si>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</si>
  <si>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</si>
  <si>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</si>
  <si>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</si>
  <si>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</si>
  <si>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</si>
  <si>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</si>
  <si>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</si>
  <si>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</si>
  <si>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</si>
  <si>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</si>
  <si>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</si>
  <si>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</si>
  <si>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</si>
  <si>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</si>
  <si>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</si>
  <si>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</si>
  <si>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</si>
  <si>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</si>
  <si>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</si>
  <si>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</si>
  <si>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</si>
  <si>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</si>
  <si>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</si>
  <si>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</si>
  <si>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</si>
  <si>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</si>
  <si>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</si>
  <si>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</si>
  <si>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</si>
  <si>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</si>
  <si>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</si>
  <si>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</si>
  <si>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</si>
  <si>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</si>
  <si>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</si>
  <si>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</si>
  <si>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</si>
  <si>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</si>
  <si>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</si>
  <si>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</si>
  <si>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</si>
  <si>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</si>
  <si>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</si>
  <si>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</si>
  <si>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</si>
  <si>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</si>
  <si>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</si>
  <si>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</si>
  <si>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</si>
  <si>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</si>
  <si>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</si>
  <si>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</si>
  <si>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</si>
  <si>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</si>
  <si>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</si>
  <si>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</si>
  <si>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</si>
  <si>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</si>
  <si>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</si>
  <si>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</si>
  <si>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</si>
  <si>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</si>
  <si>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</si>
  <si>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</si>
  <si>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</si>
  <si>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</si>
  <si>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</si>
  <si>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</si>
  <si>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</si>
  <si>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</si>
  <si>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</si>
  <si>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</si>
  <si>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</si>
  <si>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</si>
  <si>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</si>
  <si>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</si>
  <si>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</si>
  <si>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</si>
  <si>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</si>
  <si>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</si>
  <si>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</si>
  <si>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</si>
  <si>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</si>
  <si>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</si>
  <si>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</si>
  <si>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</si>
  <si>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</si>
  <si>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</si>
  <si>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</si>
  <si>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</si>
  <si>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</si>
  <si>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</si>
  <si>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</si>
  <si>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</si>
  <si>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</si>
  <si>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</si>
  <si>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</si>
  <si>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</si>
  <si>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</si>
  <si>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</si>
  <si>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</si>
  <si>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</si>
  <si>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</si>
  <si>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</si>
  <si>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</si>
  <si>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</si>
  <si>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</si>
  <si>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</si>
  <si>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</si>
  <si>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</si>
  <si>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</si>
  <si>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</si>
  <si>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</si>
  <si>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</si>
  <si>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</si>
  <si>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</si>
  <si>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</si>
  <si>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</si>
  <si>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</si>
  <si>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</si>
  <si>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</si>
  <si>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</si>
  <si>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</si>
  <si>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</si>
  <si>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</si>
  <si>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</si>
  <si>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</si>
  <si>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</si>
  <si>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</si>
  <si>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</si>
  <si>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</si>
  <si>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</si>
  <si>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</si>
  <si>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</si>
  <si>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</si>
  <si>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</si>
  <si>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</si>
  <si>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</si>
  <si>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</si>
  <si>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</si>
  <si>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</si>
  <si>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</si>
  <si>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</si>
  <si>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</si>
  <si>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</si>
  <si>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</si>
  <si>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</si>
  <si>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</si>
  <si>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</si>
  <si>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</si>
  <si>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</si>
  <si>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</si>
  <si>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</si>
  <si>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</si>
  <si>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</si>
  <si>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</si>
  <si>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</si>
  <si>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</si>
  <si>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</si>
  <si>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</si>
  <si>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</si>
  <si>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</si>
  <si>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</si>
  <si>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</si>
  <si>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</si>
  <si>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</si>
  <si>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</si>
  <si>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</si>
  <si>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</si>
  <si>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</si>
  <si>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</si>
  <si>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</si>
  <si>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</si>
  <si>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</si>
  <si>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</si>
  <si>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</si>
  <si>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</si>
  <si>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</si>
  <si>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</si>
  <si>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</si>
  <si>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</si>
  <si>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</si>
  <si>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</si>
  <si>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</si>
  <si>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</si>
  <si>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</si>
  <si>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</si>
  <si>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</si>
  <si>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</si>
  <si>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</si>
  <si>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</si>
  <si>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</si>
  <si>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</si>
  <si>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</si>
  <si>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</si>
  <si>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</si>
  <si>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</si>
  <si>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</si>
  <si>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</si>
  <si>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</si>
  <si>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</si>
  <si>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</si>
  <si>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</si>
  <si>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</si>
  <si>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</si>
  <si>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</si>
  <si>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</si>
  <si>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</si>
  <si>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</si>
  <si>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</si>
  <si>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</si>
  <si>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</si>
  <si>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</si>
  <si>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</si>
  <si>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</si>
  <si>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</si>
  <si>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</si>
  <si>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</si>
  <si>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</si>
  <si>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</si>
  <si>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</si>
  <si>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</si>
  <si>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</si>
  <si>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</si>
  <si>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</si>
  <si>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</si>
  <si>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</si>
  <si>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</si>
  <si>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</si>
  <si>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</si>
  <si>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</si>
  <si>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</si>
  <si>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</si>
  <si>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</si>
  <si>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</si>
  <si>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</si>
  <si>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</si>
  <si>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</si>
  <si>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</si>
  <si>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</si>
  <si>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</si>
  <si>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</si>
  <si>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</si>
  <si>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</si>
  <si>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</si>
  <si>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</si>
  <si>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</si>
  <si>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</si>
  <si>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</si>
  <si>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</si>
  <si>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</si>
  <si>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</si>
  <si>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</si>
  <si>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</si>
  <si>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</si>
  <si>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</si>
  <si>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</si>
  <si>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</si>
  <si>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</si>
  <si>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</si>
  <si>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</si>
  <si>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</si>
  <si>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</si>
  <si>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</si>
  <si>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</si>
  <si>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</si>
  <si>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</si>
  <si>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</si>
  <si>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</si>
  <si>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</si>
  <si>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</si>
  <si>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</si>
  <si>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</si>
  <si>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</si>
  <si>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</si>
  <si>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</si>
  <si>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</si>
  <si>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</si>
  <si>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</si>
  <si>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</si>
  <si>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</si>
  <si>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</si>
  <si>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</si>
  <si>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</si>
  <si>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</si>
  <si>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</si>
  <si>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</si>
  <si>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</si>
  <si>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</si>
  <si>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</si>
  <si>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</si>
  <si>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</si>
  <si>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</si>
  <si>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</si>
  <si>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</si>
  <si>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</si>
  <si>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</si>
  <si>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</si>
  <si>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</si>
  <si>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</si>
  <si>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</si>
  <si>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</si>
  <si>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</si>
  <si>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</si>
  <si>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</si>
  <si>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</si>
  <si>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</si>
  <si>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</si>
  <si>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</si>
  <si>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</si>
  <si>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</si>
  <si>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</si>
  <si>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</si>
  <si>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</si>
  <si>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</si>
  <si>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</si>
  <si>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</si>
  <si>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</si>
  <si>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</si>
  <si>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</si>
  <si>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</si>
  <si>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</si>
  <si>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</si>
  <si>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</si>
  <si>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</si>
  <si>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</si>
  <si>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</si>
  <si>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</si>
  <si>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</si>
  <si>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</si>
  <si>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</si>
  <si>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</si>
  <si>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</si>
  <si>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</si>
  <si>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</si>
  <si>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</si>
  <si>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</si>
  <si>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</si>
  <si>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</si>
  <si>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</si>
  <si>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</si>
  <si>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</si>
  <si>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</si>
  <si>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</si>
  <si>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</si>
  <si>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</si>
  <si>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</si>
  <si>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</si>
  <si>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</si>
  <si>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</si>
  <si>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</si>
  <si>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</si>
  <si>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</si>
  <si>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</si>
  <si>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</si>
  <si>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</si>
  <si>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</si>
  <si>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</si>
  <si>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</si>
  <si>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</si>
  <si>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</si>
  <si>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</si>
  <si>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</si>
  <si>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</si>
  <si>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</si>
  <si>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</si>
  <si>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</si>
  <si>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</si>
  <si>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</si>
  <si>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</si>
  <si>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</si>
  <si>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</si>
  <si>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</si>
  <si>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</si>
  <si>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</si>
  <si>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</si>
  <si>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</si>
  <si>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</si>
  <si>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</si>
  <si>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</si>
  <si>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</si>
  <si>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</si>
  <si>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</si>
  <si>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</si>
  <si>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</si>
  <si>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</si>
  <si>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</si>
  <si>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</si>
  <si>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</si>
  <si>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</si>
  <si>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</si>
  <si>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</si>
  <si>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</si>
  <si>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</si>
  <si>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</si>
  <si>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</si>
  <si>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</si>
  <si>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</si>
  <si>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</si>
  <si>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</si>
  <si>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</si>
  <si>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</si>
  <si>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</si>
  <si>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</si>
  <si>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</si>
  <si>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</si>
  <si>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</si>
  <si>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</si>
  <si>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</si>
  <si>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</si>
  <si>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</si>
  <si>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</si>
  <si>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</si>
  <si>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</si>
  <si>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</si>
  <si>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</si>
  <si>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</si>
  <si>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</si>
  <si>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</si>
  <si>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</si>
  <si>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</si>
  <si>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</si>
  <si>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</si>
  <si>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</si>
  <si>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</si>
  <si>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</si>
  <si>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</si>
  <si>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</si>
  <si>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</si>
  <si>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</si>
  <si>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</si>
  <si>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</si>
  <si>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</si>
  <si>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</si>
  <si>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</si>
  <si>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</si>
  <si>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</si>
  <si>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</si>
  <si>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</si>
  <si>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</si>
  <si>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</si>
  <si>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</si>
  <si>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</si>
  <si>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</si>
  <si>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</si>
  <si>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</si>
  <si>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</si>
  <si>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</si>
  <si>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</si>
  <si>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</si>
  <si>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</si>
  <si>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</si>
  <si>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</si>
  <si>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</si>
  <si>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</si>
  <si>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</si>
  <si>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</si>
  <si>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</si>
  <si>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</si>
  <si>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</si>
  <si>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</si>
  <si>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</si>
  <si>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</si>
  <si>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</si>
  <si>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</si>
  <si>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</si>
  <si>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</si>
  <si>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</si>
  <si>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</si>
  <si>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</si>
  <si>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</si>
  <si>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</si>
  <si>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</si>
  <si>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</si>
  <si>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</si>
  <si>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</si>
  <si>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</si>
  <si>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</si>
  <si>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</si>
  <si>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</si>
  <si>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</si>
  <si>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</si>
  <si>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</si>
  <si>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</si>
  <si>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</si>
  <si>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</si>
  <si>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</si>
  <si>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</si>
  <si>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</si>
  <si>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</si>
  <si>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</si>
  <si>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</si>
  <si>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</si>
  <si>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</si>
  <si>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</si>
  <si>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</si>
  <si>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</si>
  <si>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</si>
  <si>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</si>
  <si>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</si>
  <si>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</si>
  <si>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</si>
  <si>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</si>
  <si>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</si>
  <si>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</si>
  <si>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</si>
  <si>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</si>
  <si>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</si>
  <si>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</si>
  <si>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</si>
  <si>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</si>
  <si>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</si>
  <si>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</si>
  <si>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</si>
  <si>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</si>
  <si>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</si>
  <si>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</si>
  <si>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</si>
  <si>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</si>
  <si>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</si>
  <si>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</si>
  <si>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</si>
  <si>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</si>
  <si>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</si>
  <si>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</si>
  <si>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</si>
  <si>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</si>
  <si>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</si>
  <si>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</si>
  <si>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</si>
  <si>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</si>
  <si>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</si>
  <si>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</si>
  <si>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</si>
  <si>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</si>
  <si>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</si>
  <si>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</si>
  <si>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</si>
  <si>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</si>
  <si>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</si>
  <si>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</si>
  <si>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</si>
  <si>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</si>
  <si>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</si>
  <si>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</si>
  <si>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</si>
  <si>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</si>
  <si>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</si>
  <si>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</si>
  <si>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</si>
  <si>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</si>
  <si>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</si>
  <si>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</si>
  <si>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</si>
  <si>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</si>
  <si>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</si>
  <si>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</si>
  <si>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</si>
  <si>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</si>
  <si>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</si>
  <si>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</si>
  <si>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</si>
  <si>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</si>
  <si>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</si>
  <si>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</si>
  <si>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</si>
  <si>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</si>
  <si>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</si>
  <si>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</si>
  <si>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</si>
  <si>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</si>
  <si>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</si>
  <si>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</si>
  <si>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</si>
  <si>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</si>
  <si>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</si>
  <si>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</si>
  <si>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</si>
  <si>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</si>
  <si>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</si>
  <si>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</si>
  <si>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</si>
  <si>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</si>
  <si>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</si>
  <si>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</si>
  <si>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</si>
  <si>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</si>
  <si>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</si>
  <si>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</si>
  <si>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</si>
  <si>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</si>
  <si>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</si>
  <si>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</si>
  <si>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</si>
  <si>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</si>
  <si>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</si>
  <si>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</si>
  <si>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</si>
  <si>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</si>
  <si>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</si>
  <si>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</si>
  <si>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</si>
  <si>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</si>
  <si>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</si>
  <si>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</si>
  <si>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</si>
  <si>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</si>
  <si>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</si>
  <si>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</si>
  <si>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</si>
  <si>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</si>
  <si>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</si>
  <si>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</si>
  <si>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</si>
  <si>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</si>
  <si>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</si>
  <si>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</si>
  <si>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</si>
  <si>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</si>
  <si>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</si>
  <si>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</si>
  <si>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</si>
  <si>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</si>
  <si>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</si>
  <si>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</si>
  <si>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</si>
  <si>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</si>
  <si>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</si>
  <si>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</si>
  <si>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</si>
  <si>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</si>
  <si>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</si>
  <si>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</si>
  <si>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</si>
  <si>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</si>
  <si>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</si>
  <si>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</si>
  <si>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</si>
  <si>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</si>
  <si>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</si>
  <si>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</si>
  <si>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</si>
  <si>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</si>
  <si>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</si>
  <si>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</si>
  <si>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</si>
  <si>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</si>
  <si>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</si>
  <si>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</si>
  <si>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</si>
  <si>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</si>
  <si>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</si>
  <si>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</si>
  <si>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</si>
  <si>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</si>
  <si>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</si>
  <si>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</si>
  <si>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</si>
  <si>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</si>
  <si>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</si>
  <si>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</si>
  <si>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</si>
  <si>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</si>
  <si>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</si>
  <si>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</si>
  <si>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</si>
  <si>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</si>
  <si>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</si>
  <si>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</si>
  <si>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</si>
  <si>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</si>
  <si>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</si>
  <si>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</si>
  <si>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</si>
  <si>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</si>
  <si>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</si>
  <si>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</si>
  <si>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</si>
  <si>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</si>
  <si>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</si>
  <si>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</si>
  <si>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</si>
  <si>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</si>
  <si>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</si>
  <si>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</si>
  <si>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</si>
  <si>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</si>
  <si>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</si>
  <si>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</si>
  <si>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</si>
  <si>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</si>
  <si>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</si>
  <si>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</si>
  <si>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</si>
  <si>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</si>
  <si>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</si>
  <si>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</si>
  <si>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</si>
  <si>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</si>
  <si>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</si>
  <si>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</si>
  <si>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</si>
  <si>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</si>
  <si>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</si>
  <si>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</si>
  <si>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</si>
  <si>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</si>
  <si>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</si>
  <si>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</si>
  <si>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</si>
  <si>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</si>
  <si>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</si>
  <si>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</si>
  <si>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</si>
  <si>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</si>
  <si>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</si>
  <si>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</si>
  <si>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</si>
  <si>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</si>
  <si>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</si>
  <si>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</si>
  <si>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</si>
  <si>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</si>
  <si>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</si>
  <si>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</si>
  <si>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</si>
  <si>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</si>
  <si>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</si>
  <si>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</si>
  <si>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</si>
  <si>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</si>
  <si>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</si>
  <si>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</si>
  <si>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</si>
  <si>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</si>
  <si>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</si>
  <si>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</si>
  <si>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</si>
  <si>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</si>
  <si>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</si>
  <si>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</si>
  <si>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</si>
  <si>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</si>
  <si>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</si>
  <si>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</si>
  <si>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</si>
  <si>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</si>
  <si>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</si>
  <si>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</si>
  <si>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</si>
  <si>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</si>
  <si>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</si>
  <si>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</si>
  <si>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</si>
  <si>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</si>
  <si>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</si>
  <si>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</si>
  <si>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</si>
  <si>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</si>
  <si>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</si>
  <si>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</si>
  <si>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</si>
  <si>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</si>
  <si>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</si>
  <si>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</si>
  <si>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</si>
  <si>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</si>
  <si>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</si>
  <si>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</si>
  <si>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</si>
  <si>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</si>
  <si>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</si>
  <si>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</si>
  <si>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</si>
  <si>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</si>
  <si>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</si>
  <si>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</si>
  <si>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</si>
  <si>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</si>
  <si>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</si>
  <si>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</si>
  <si>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</si>
  <si>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</si>
  <si>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</si>
  <si>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</si>
  <si>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</si>
  <si>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</si>
  <si>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</si>
  <si>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</si>
  <si>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</si>
  <si>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</si>
  <si>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</si>
  <si>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</si>
  <si>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</si>
  <si>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</si>
  <si>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</si>
  <si>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</si>
  <si>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</si>
  <si>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</si>
  <si>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</si>
  <si>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</si>
  <si>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</si>
  <si>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</si>
  <si>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</si>
  <si>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</si>
  <si>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</si>
  <si>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</si>
  <si>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</si>
  <si>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</si>
  <si>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</si>
  <si>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</si>
  <si>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</si>
  <si>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</si>
  <si>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</si>
  <si>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</si>
  <si>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</si>
  <si>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</si>
  <si>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</si>
  <si>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</si>
  <si>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</si>
  <si>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</si>
  <si>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</si>
  <si>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</si>
  <si>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</si>
  <si>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</si>
  <si>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</si>
  <si>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</si>
  <si>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</si>
  <si>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</si>
  <si>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</si>
  <si>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</si>
  <si>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</si>
  <si>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</si>
  <si>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</si>
  <si>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</si>
  <si>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</si>
  <si>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</si>
  <si>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</si>
  <si>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</si>
  <si>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</si>
  <si>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</si>
  <si>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</si>
  <si>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</si>
  <si>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</si>
  <si>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</si>
  <si>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</si>
  <si>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</si>
  <si>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</si>
  <si>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</si>
  <si>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</si>
  <si>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</si>
  <si>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</si>
  <si>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</si>
  <si>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</si>
  <si>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</si>
  <si>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</si>
  <si>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</si>
  <si>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</si>
  <si>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</si>
  <si>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</si>
  <si>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</si>
  <si>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</si>
  <si>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</si>
  <si>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</si>
  <si>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</si>
  <si>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</si>
  <si>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</si>
  <si>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</si>
  <si>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</si>
  <si>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</si>
  <si>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</si>
  <si>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</si>
  <si>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</si>
  <si>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</si>
  <si>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</si>
  <si>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</si>
  <si>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</si>
  <si>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</si>
  <si>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</si>
  <si>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</si>
  <si>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</si>
  <si>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</si>
  <si>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</si>
  <si>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</si>
  <si>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</si>
  <si>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</si>
  <si>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</si>
  <si>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</si>
  <si>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</si>
  <si>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</si>
  <si>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</si>
  <si>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</si>
  <si>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</si>
  <si>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</si>
  <si>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</si>
  <si>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</si>
  <si>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</si>
  <si>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</si>
  <si>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</si>
  <si>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</si>
  <si>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</si>
  <si>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</si>
  <si>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</si>
  <si>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</si>
  <si>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</si>
  <si>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</si>
  <si>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</si>
  <si>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</si>
  <si>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</si>
  <si>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</si>
  <si>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</si>
  <si>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</si>
  <si>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</si>
  <si>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</si>
  <si>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</si>
  <si>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</si>
  <si>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</si>
  <si>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</si>
  <si>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</si>
  <si>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</si>
  <si>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</si>
  <si>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</si>
  <si>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</si>
  <si>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</si>
  <si>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</si>
  <si>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</si>
  <si>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</si>
  <si>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</si>
  <si>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</si>
  <si>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</si>
  <si>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</si>
  <si>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</si>
  <si>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</si>
  <si>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</si>
  <si>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</si>
  <si>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</si>
  <si>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</si>
  <si>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</si>
  <si>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</si>
  <si>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</si>
  <si>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</si>
  <si>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</si>
  <si>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</si>
  <si>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</si>
  <si>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</si>
  <si>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</si>
  <si>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</si>
  <si>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</si>
  <si>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</si>
  <si>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</si>
  <si>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</si>
  <si>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</si>
  <si>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</si>
  <si>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</si>
  <si>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</si>
  <si>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</si>
  <si>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</si>
  <si>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</si>
  <si>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</si>
  <si>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</si>
  <si>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</si>
  <si>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</si>
  <si>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</si>
  <si>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</si>
  <si>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</si>
  <si>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</si>
  <si>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</si>
  <si>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</si>
  <si>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</si>
  <si>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</si>
  <si>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</si>
  <si>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</si>
  <si>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</si>
  <si>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</si>
  <si>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</si>
  <si>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</si>
  <si>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</si>
  <si>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</si>
  <si>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</si>
  <si>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</si>
  <si>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</si>
  <si>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</si>
  <si>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</si>
  <si>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</si>
  <si>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</si>
  <si>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</si>
  <si>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</si>
  <si>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</si>
  <si>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</si>
  <si>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</si>
  <si>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</si>
  <si>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</si>
  <si>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</si>
  <si>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</si>
  <si>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</si>
  <si>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</si>
  <si>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</si>
  <si>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</si>
  <si>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</si>
  <si>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</si>
  <si>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</si>
  <si>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</si>
  <si>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</si>
  <si>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</si>
  <si>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</si>
  <si>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</si>
  <si>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</si>
  <si>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</si>
  <si>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</si>
  <si>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</si>
  <si>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</si>
  <si>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</si>
  <si>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</si>
  <si>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</si>
  <si>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</si>
  <si>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</si>
  <si>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</si>
  <si>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</si>
  <si>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</si>
  <si>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</si>
  <si>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</si>
  <si>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</si>
  <si>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</si>
  <si>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</si>
  <si>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</si>
  <si>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</si>
  <si>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</si>
  <si>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</si>
  <si>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</si>
  <si>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</si>
  <si>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</si>
  <si>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</si>
  <si>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</si>
  <si>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</si>
  <si>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</si>
  <si>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</si>
  <si>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</si>
  <si>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</si>
  <si>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</si>
  <si>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</si>
  <si>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</si>
  <si>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</si>
  <si>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</si>
  <si>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</si>
  <si>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</si>
  <si>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</si>
  <si>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</si>
  <si>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</si>
  <si>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</si>
  <si>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</si>
  <si>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</si>
  <si>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</si>
  <si>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</si>
  <si>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</si>
  <si>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</si>
  <si>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</si>
  <si>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</si>
  <si>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</si>
  <si>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</si>
  <si>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</si>
  <si>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</si>
  <si>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</si>
  <si>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</si>
  <si>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</si>
  <si>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</si>
  <si>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</si>
  <si>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</si>
  <si>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</si>
  <si>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</si>
  <si>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</si>
  <si>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</si>
  <si>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</si>
  <si>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</si>
  <si>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</si>
  <si>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</si>
  <si>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</si>
  <si>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</si>
  <si>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</si>
  <si>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</si>
  <si>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</si>
  <si>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</si>
  <si>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</si>
  <si>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</si>
  <si>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抵押</t>
  </si>
  <si>
    <t>房地产抵押价值</t>
  </si>
  <si>
    <t>北京市</t>
  </si>
  <si>
    <r>
      <rPr>
        <sz val="10"/>
        <color theme="9" tint="-0.249977111117893"/>
        <rFont val="宋体"/>
        <family val="3"/>
        <charset val="134"/>
      </rPr>
      <t>昌平区东小口马连店</t>
    </r>
    <r>
      <rPr>
        <sz val="10"/>
        <color theme="9" tint="-0.249977111117893"/>
        <rFont val="Arial"/>
        <family val="2"/>
      </rPr>
      <t>1803-610</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phoneticPr fontId="6" type="noConversion"/>
  </si>
  <si>
    <t>企业</t>
  </si>
  <si>
    <t>是</t>
  </si>
  <si>
    <t>否</t>
  </si>
  <si>
    <t>复印件</t>
  </si>
  <si>
    <t>地上</t>
  </si>
  <si>
    <t>住宅</t>
  </si>
  <si>
    <t>平层住宅</t>
  </si>
  <si>
    <t>地下</t>
  </si>
  <si>
    <t>总土地面积</t>
    <phoneticPr fontId="3" type="noConversion"/>
  </si>
  <si>
    <t>总建筑面积</t>
    <phoneticPr fontId="3" type="noConversion"/>
  </si>
  <si>
    <t>底商</t>
  </si>
  <si>
    <t>戊类库房</t>
  </si>
  <si>
    <t>住宅</t>
    <phoneticPr fontId="7" type="noConversion"/>
  </si>
  <si>
    <t>地下商业</t>
  </si>
  <si>
    <t>地下商业</t>
    <phoneticPr fontId="7" type="noConversion"/>
  </si>
  <si>
    <t>地下车库</t>
  </si>
  <si>
    <t>地下车库</t>
    <phoneticPr fontId="7" type="noConversion"/>
  </si>
  <si>
    <t>地下仓储</t>
  </si>
  <si>
    <t>地下仓储</t>
    <phoneticPr fontId="7" type="noConversion"/>
  </si>
  <si>
    <t>工程进度</t>
  </si>
  <si>
    <t>1#住宅楼</t>
    <phoneticPr fontId="3" type="noConversion"/>
  </si>
  <si>
    <t>2#住宅楼</t>
  </si>
  <si>
    <t>3#住宅楼</t>
  </si>
  <si>
    <t>4#住宅楼</t>
  </si>
  <si>
    <t>5#住宅楼</t>
  </si>
  <si>
    <t>6#住宅楼</t>
  </si>
  <si>
    <t>D9#地下室</t>
    <phoneticPr fontId="3" type="noConversion"/>
  </si>
  <si>
    <t>建筑面积</t>
    <phoneticPr fontId="3" type="noConversion"/>
  </si>
  <si>
    <t>工程进度</t>
    <phoneticPr fontId="3" type="noConversion"/>
  </si>
  <si>
    <t>地上10层</t>
    <phoneticPr fontId="3" type="noConversion"/>
  </si>
  <si>
    <t>地上12层</t>
    <phoneticPr fontId="3" type="noConversion"/>
  </si>
  <si>
    <t>地上17层</t>
    <phoneticPr fontId="3" type="noConversion"/>
  </si>
  <si>
    <t>地上14层</t>
    <phoneticPr fontId="3" type="noConversion"/>
  </si>
  <si>
    <t>地上18层</t>
    <phoneticPr fontId="3" type="noConversion"/>
  </si>
  <si>
    <t>封顶</t>
    <phoneticPr fontId="3" type="noConversion"/>
  </si>
  <si>
    <t>楼层</t>
    <phoneticPr fontId="3" type="noConversion"/>
  </si>
  <si>
    <t>20（-3）</t>
    <phoneticPr fontId="3" type="noConversion"/>
  </si>
  <si>
    <t>地下3层</t>
    <phoneticPr fontId="3" type="noConversion"/>
  </si>
  <si>
    <t>27（-3）</t>
    <phoneticPr fontId="3" type="noConversion"/>
  </si>
  <si>
    <t>24（-3）</t>
    <phoneticPr fontId="3" type="noConversion"/>
  </si>
  <si>
    <t>北清橡树湾</t>
    <phoneticPr fontId="3" type="noConversion"/>
  </si>
  <si>
    <t>售价</t>
  </si>
  <si>
    <t>项目模式</t>
  </si>
  <si>
    <t>奥森one</t>
    <phoneticPr fontId="3" type="noConversion"/>
  </si>
  <si>
    <t>钢混</t>
    <phoneticPr fontId="3" type="noConversion"/>
  </si>
  <si>
    <t>中档</t>
    <phoneticPr fontId="3" type="noConversion"/>
  </si>
  <si>
    <t>精装</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</si>
  <si>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</si>
  <si>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</si>
  <si>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</si>
  <si>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</si>
  <si>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</si>
  <si>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</si>
  <si>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</si>
  <si>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精装</t>
    <phoneticPr fontId="3" type="noConversion"/>
  </si>
  <si>
    <t>普装</t>
    <phoneticPr fontId="3" type="noConversion"/>
  </si>
  <si>
    <t>简装</t>
    <phoneticPr fontId="3" type="noConversion"/>
  </si>
  <si>
    <t>毛坯</t>
    <phoneticPr fontId="3"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</si>
  <si>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</si>
  <si>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</si>
  <si>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</si>
  <si>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</si>
  <si>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</si>
  <si>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</si>
  <si>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</si>
  <si>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t>正常</t>
  </si>
  <si>
    <t>住宅</t>
    <phoneticPr fontId="24" type="noConversion"/>
  </si>
  <si>
    <t>较好</t>
  </si>
  <si>
    <t>七通</t>
  </si>
  <si>
    <t>一般</t>
  </si>
  <si>
    <t>钢混</t>
  </si>
  <si>
    <t>精装</t>
  </si>
  <si>
    <t>专业</t>
  </si>
  <si>
    <t>六通</t>
  </si>
  <si>
    <t>平层</t>
  </si>
  <si>
    <t>北清橡树湾</t>
    <phoneticPr fontId="3" type="noConversion"/>
  </si>
  <si>
    <t>紫金新干线</t>
    <phoneticPr fontId="24" type="noConversion"/>
  </si>
  <si>
    <t>现房</t>
    <phoneticPr fontId="24" type="noConversion"/>
  </si>
  <si>
    <t>否</t>
    <phoneticPr fontId="24" type="noConversion"/>
  </si>
  <si>
    <t>是</t>
    <phoneticPr fontId="24" type="noConversion"/>
  </si>
  <si>
    <t>毛坯</t>
  </si>
  <si>
    <t>平面</t>
    <phoneticPr fontId="3" type="noConversion"/>
  </si>
  <si>
    <t>平面</t>
  </si>
  <si>
    <t>车库</t>
    <phoneticPr fontId="31" type="noConversion"/>
  </si>
  <si>
    <t>绿城·奥海明月</t>
    <phoneticPr fontId="3" type="noConversion"/>
  </si>
  <si>
    <t>金辰府</t>
    <phoneticPr fontId="3" type="noConversion"/>
  </si>
  <si>
    <t>现房</t>
    <phoneticPr fontId="31" type="noConversion"/>
  </si>
  <si>
    <t>否</t>
    <phoneticPr fontId="31" type="noConversion"/>
  </si>
  <si>
    <t>是</t>
    <phoneticPr fontId="31" type="noConversion"/>
  </si>
  <si>
    <t>仓储</t>
    <phoneticPr fontId="31" type="noConversion"/>
  </si>
  <si>
    <t>未来公元</t>
    <phoneticPr fontId="3" type="noConversion"/>
  </si>
  <si>
    <t>林奥嘉园</t>
    <phoneticPr fontId="3" type="noConversion"/>
  </si>
  <si>
    <t>收益法</t>
  </si>
  <si>
    <t>押一</t>
  </si>
  <si>
    <t>非生产用房</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</si>
  <si>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</si>
  <si>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</si>
  <si>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</si>
  <si>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</si>
  <si>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</si>
  <si>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</si>
  <si>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</si>
  <si>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</si>
  <si>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</si>
  <si>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</si>
  <si>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</si>
  <si>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</si>
  <si>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</si>
  <si>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</si>
  <si>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</si>
  <si>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</si>
  <si>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</si>
  <si>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</si>
  <si>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</si>
  <si>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</si>
  <si>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</si>
  <si>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</si>
  <si>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</si>
  <si>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</si>
  <si>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</si>
  <si>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</si>
  <si>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</si>
  <si>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</si>
  <si>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</si>
  <si>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</si>
  <si>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</si>
  <si>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</si>
  <si>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</si>
  <si>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</si>
  <si>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</si>
  <si>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</si>
  <si>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</si>
  <si>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</si>
  <si>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</si>
  <si>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</si>
  <si>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</si>
  <si>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</si>
  <si>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</si>
  <si>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</si>
  <si>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</si>
  <si>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</si>
  <si>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</si>
  <si>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</si>
  <si>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</si>
  <si>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</si>
  <si>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</si>
  <si>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</si>
  <si>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北京市昌平新城东区三期土地一级开发项目CP00-1002-0001地块R2二类居住用地</t>
  </si>
  <si>
    <t>京土储挂(昌)[2023]002号</t>
  </si>
  <si>
    <t xml:space="preserve"> 北京</t>
  </si>
  <si>
    <t xml:space="preserve"> 昌平区</t>
  </si>
  <si>
    <t xml:space="preserve"> 南邵</t>
  </si>
  <si>
    <t xml:space="preserve"> 昌平区南邵镇</t>
  </si>
  <si>
    <t xml:space="preserve"> 住宅用地</t>
  </si>
  <si>
    <t xml:space="preserve"> 挂牌</t>
  </si>
  <si>
    <t xml:space="preserve"> R2二类居住用地</t>
  </si>
  <si>
    <t xml:space="preserve">-- </t>
  </si>
  <si>
    <t xml:space="preserve"> -- </t>
  </si>
  <si>
    <t xml:space="preserve"> --</t>
  </si>
  <si>
    <t xml:space="preserve"> 36(局部45)</t>
  </si>
  <si>
    <t xml:space="preserve"> 限地价,摇号/摇珠/抽签</t>
  </si>
  <si>
    <t xml:space="preserve"> 限地价</t>
  </si>
  <si>
    <t xml:space="preserve"> 京土储挂(昌)[2023]002号</t>
  </si>
  <si>
    <t xml:space="preserve"> 已成交</t>
  </si>
  <si>
    <t xml:space="preserve"> 北京首都开发股份有限公司  </t>
  </si>
  <si>
    <t xml:space="preserve"> 首开股份</t>
  </si>
  <si>
    <t xml:space="preserve"> 地方国有企业</t>
  </si>
  <si>
    <t xml:space="preserve"> 居住70年商业40年办公50年</t>
  </si>
  <si>
    <t xml:space="preserve"> 未触达</t>
  </si>
  <si>
    <t>北京市昌平区朱辛庄新区二期土地一级开发项目CP01-0801-0028地块R2二类居住用地</t>
  </si>
  <si>
    <t>京土储挂(昌)[2023]003号</t>
  </si>
  <si>
    <t xml:space="preserve"> 回龙观</t>
  </si>
  <si>
    <t xml:space="preserve"> 昌平区史各庄街道</t>
  </si>
  <si>
    <t xml:space="preserve"> 京土储挂(昌)[2023]003号</t>
  </si>
  <si>
    <t xml:space="preserve"> 大华集团大连华旅置业有限公司  </t>
  </si>
  <si>
    <t xml:space="preserve"> 大华集团</t>
  </si>
  <si>
    <t xml:space="preserve"> 民营企业</t>
  </si>
  <si>
    <t xml:space="preserve"> 触达</t>
  </si>
  <si>
    <t>京土储挂(朝)[2022]073号</t>
  </si>
  <si>
    <t xml:space="preserve"> 朝阳区</t>
  </si>
  <si>
    <t xml:space="preserve"> 东南三至四环</t>
  </si>
  <si>
    <t xml:space="preserve"> 朝阳区小红门乡</t>
  </si>
  <si>
    <t xml:space="preserve">2022年第5批次 </t>
  </si>
  <si>
    <t xml:space="preserve"> 限地价,摇号/摇珠/抽签,限房价</t>
  </si>
  <si>
    <t xml:space="preserve"> 限地价,限房价,摇号/摇珠/抽签</t>
  </si>
  <si>
    <t xml:space="preserve"> 京土储挂(朝)[2022]073号</t>
  </si>
  <si>
    <t xml:space="preserve"> 山东中建房地产开发有限公司  </t>
  </si>
  <si>
    <t xml:space="preserve"> 中建八局</t>
  </si>
  <si>
    <t xml:space="preserve"> 中央国有企业</t>
  </si>
  <si>
    <t>2023-02-06 17:00</t>
  </si>
  <si>
    <t xml:space="preserve"> 住宅70年</t>
  </si>
  <si>
    <t>北京市昌平区回龙观国际信息产业基地二期(一)地块土地一级开发项目CP01-0801-0018、0019、0020、0015、0023地块R2二类居住用地、B1商业用地、A33基础教育用地</t>
  </si>
  <si>
    <t>京土储挂(昌)[2022]076号</t>
  </si>
  <si>
    <t xml:space="preserve"> 综合用地(含住宅)</t>
  </si>
  <si>
    <t xml:space="preserve"> cp01-0801-0018容积率2.5,0019、0020容积率2.6,0015容积率1.5,0023容积率0.8</t>
  </si>
  <si>
    <t xml:space="preserve"> R2二类居住用地、B1办公用地</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</si>
  <si>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</si>
  <si>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</si>
  <si>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</si>
  <si>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</si>
  <si>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</si>
  <si>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</si>
  <si>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 xml:space="preserve"> 住宅70年,办公40年</t>
  </si>
  <si>
    <t>北京市朝阳区平房乡棚户区改造和环境整治项目(一期)PF-45地块R2二类居住用地</t>
  </si>
  <si>
    <t>京土储挂(朝)〔2022〕065号</t>
  </si>
  <si>
    <t xml:space="preserve"> 东坝</t>
  </si>
  <si>
    <t xml:space="preserve"> 朝阳区平房乡</t>
  </si>
  <si>
    <t xml:space="preserve">2022年第4批次 </t>
  </si>
  <si>
    <t xml:space="preserve"> 限地价,现房销售,摇号/摇珠/抽签</t>
  </si>
  <si>
    <t xml:space="preserve"> 京土储挂(朝)〔2022〕065号</t>
  </si>
  <si>
    <t xml:space="preserve"> 北京三元嘉业房地产开发有限公司  </t>
  </si>
  <si>
    <t xml:space="preserve"> 北京国泰群同投资控股集团,北京国有资本运营管理</t>
  </si>
  <si>
    <t>2022-11-28 15:00</t>
  </si>
  <si>
    <t>北京市朝阳区平房乡棚户区改造和环境整治项目(一期)PF-44地块R2二类居住用地</t>
  </si>
  <si>
    <t>京土储挂(朝)〔2022〕064号</t>
  </si>
  <si>
    <t xml:space="preserve"> 京土储挂(朝)〔2022〕064号</t>
  </si>
  <si>
    <t xml:space="preserve"> 保利(北京)房地产开发有限公司 、北京建工地产有限责任公司  </t>
  </si>
  <si>
    <t xml:space="preserve"> 保利发展,北京建工</t>
  </si>
  <si>
    <t xml:space="preserve"> 中央国有企业,地方国有企业</t>
  </si>
  <si>
    <t>北京市朝阳区崔各庄乡奶西村棚户区改造土地开发项目29-321地块R2二类居住用地</t>
  </si>
  <si>
    <t>京土储挂(朝)〔2022〕066号</t>
  </si>
  <si>
    <t xml:space="preserve"> 来广营、清河营</t>
  </si>
  <si>
    <t xml:space="preserve"> 朝阳区崔各庄乡</t>
  </si>
  <si>
    <t xml:space="preserve"> 京土储挂(朝)〔2022〕066号</t>
  </si>
  <si>
    <t xml:space="preserve"> 北京金隅地产开发集团有限公司  </t>
  </si>
  <si>
    <t xml:space="preserve"> 金隅集团</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</si>
  <si>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</si>
  <si>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</si>
  <si>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</si>
  <si>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</si>
  <si>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</si>
  <si>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京土储挂(昌)[2022]053号</t>
  </si>
  <si>
    <t xml:space="preserve"> 北京兆昌房地产开发有限公司  </t>
  </si>
  <si>
    <t xml:space="preserve"> 建发房产</t>
  </si>
  <si>
    <t>2022-09-21 15:00</t>
  </si>
  <si>
    <t>北京市海淀区西北旺镇HD00-0403街区永丰产业基地(新)F2地块HD00-0403-0015、0016地块R2二类居住用地、A33基础教育用地</t>
  </si>
  <si>
    <t>京土储挂(海)[2022]045号</t>
  </si>
  <si>
    <t xml:space="preserve"> 海淀区</t>
  </si>
  <si>
    <t xml:space="preserve"> 温泉</t>
  </si>
  <si>
    <t xml:space="preserve"> 海淀区西北旺镇HD00-0403街区内</t>
  </si>
  <si>
    <t xml:space="preserve"> hd00-0403-0015容积率2.4、hd00-0403-0015容积率0.8</t>
  </si>
  <si>
    <t xml:space="preserve"> R2二类居住用地、A33基础教育用地</t>
  </si>
  <si>
    <t xml:space="preserve"> HD00-0403-0015限高45米、HD00-0403-0015限高16米</t>
  </si>
  <si>
    <t xml:space="preserve"> 限地价,现房销售</t>
  </si>
  <si>
    <t xml:space="preserve"> 京土储挂(海)[2022]045号</t>
  </si>
  <si>
    <t xml:space="preserve"> 北京中海地产有限公司  </t>
  </si>
  <si>
    <t xml:space="preserve"> 中海地产</t>
  </si>
  <si>
    <t xml:space="preserve"> 住宅70年教育50年</t>
  </si>
  <si>
    <t>北京市海淀区西北旺镇HD00-0403街区永丰产业基地(新)F2地块HD00-0403-0013地块R2二类居住用地</t>
  </si>
  <si>
    <t>京土储挂(海)[2022]044号</t>
  </si>
  <si>
    <t xml:space="preserve"> 京土储挂(海)[2022]044号</t>
  </si>
  <si>
    <t>北京市海淀区西北旺镇HD00-0403街区永丰产业基地(新)F2地块HD00-0403-0019、0018地块R2二类居住用地、F3其他类多功能用地</t>
  </si>
  <si>
    <t>京土储挂(海)[2022]046号</t>
  </si>
  <si>
    <t xml:space="preserve"> 0018地块容积率2.2、0018地块容积率2.4</t>
  </si>
  <si>
    <t xml:space="preserve"> R2二类居住用地、F3其他类多功能用地</t>
  </si>
  <si>
    <t xml:space="preserve"> 0018限高24米、0019限高45米</t>
  </si>
  <si>
    <t xml:space="preserve"> 京土储挂(海)[2022]046号</t>
  </si>
  <si>
    <t xml:space="preserve"> 北京华大基业房地产开发有限责任公司 、中建壹品投资发展有限公司  </t>
  </si>
  <si>
    <t xml:space="preserve"> 威凯建设,中建三局,海淀国资,海淀置业</t>
  </si>
  <si>
    <t xml:space="preserve"> 民营企业,中央国有企业,地方国有企业</t>
  </si>
  <si>
    <t>北京市昌平区北七家镇平坊村土地一级开发项目PF-10地块R2二类居住用地、PF-09地块A33基础教育用地</t>
  </si>
  <si>
    <t>京土储挂(昌)[2022]035号</t>
  </si>
  <si>
    <t xml:space="preserve"> 北七家</t>
  </si>
  <si>
    <t xml:space="preserve"> 昌平区北七家镇</t>
  </si>
  <si>
    <t xml:space="preserve"> pf-09地块容积率0.8,pf-10地块容积率1.6</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</si>
  <si>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</si>
  <si>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</si>
  <si>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</si>
  <si>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</si>
  <si>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</si>
  <si>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</si>
  <si>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</si>
  <si>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</si>
  <si>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</si>
  <si>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</si>
  <si>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</si>
  <si>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</si>
  <si>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</si>
  <si>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</si>
  <si>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</si>
  <si>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</si>
  <si>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</si>
  <si>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</si>
  <si>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</si>
  <si>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中央国有企业,民营企业</t>
  </si>
  <si>
    <t xml:space="preserve"> 居住70年</t>
  </si>
  <si>
    <t>北京市朝阳区崔各庄乡奶西村棚户区改造土地开发项目29-318地块R2二类居住用地</t>
  </si>
  <si>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</si>
  <si>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</si>
  <si>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</si>
  <si>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</si>
  <si>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</si>
  <si>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</si>
  <si>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</si>
  <si>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</si>
  <si>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</si>
  <si>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</si>
  <si>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京土储挂(朝)[2022]022号</t>
  </si>
  <si>
    <t xml:space="preserve"> 北京金隅地产开发集团有限公司 、北京住总房地产开发有限责任公司  </t>
  </si>
  <si>
    <t xml:space="preserve"> 金隅集团,北京住总集团</t>
  </si>
  <si>
    <t xml:space="preserve"> 地方国有企业,地方国有企业</t>
  </si>
  <si>
    <t>北京市朝阳区太阳宫新区D区0210-029地块R2二类居住用地</t>
  </si>
  <si>
    <t>京土储挂(朝)[2022]021号</t>
  </si>
  <si>
    <t xml:space="preserve"> 太阳宫</t>
  </si>
  <si>
    <t xml:space="preserve"> 朝阳区太阳宫乡</t>
  </si>
  <si>
    <t xml:space="preserve"> ≤2.8</t>
  </si>
  <si>
    <t xml:space="preserve"> 限房价,限地价,摇号/摇珠/抽签</t>
  </si>
  <si>
    <t xml:space="preserve"> 京土储挂(朝)[2022]021号</t>
  </si>
  <si>
    <t xml:space="preserve"> 中建玖合发展集团有限公司  </t>
  </si>
  <si>
    <t xml:space="preserve"> 中建玖合</t>
  </si>
  <si>
    <t>北京市朝阳区崔各庄乡奶西村棚户区改造土地开发项目29-319、320地块R2二类居住用地、A334托幼用地</t>
  </si>
  <si>
    <t>京土储挂(朝)[2022]025号</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</si>
  <si>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</si>
  <si>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</si>
  <si>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</si>
  <si>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</si>
  <si>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京土储挂(朝)[2022]025号</t>
  </si>
  <si>
    <t>北京市昌平区六环路土城出口土城新村改造土地一级开发项目A-07地块R2二类居住用地</t>
  </si>
  <si>
    <t>京土储挂(昌)[2022]034号</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</si>
  <si>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</si>
  <si>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</si>
  <si>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</si>
  <si>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</si>
  <si>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</si>
  <si>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</si>
  <si>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</si>
  <si>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</si>
  <si>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</si>
  <si>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</si>
  <si>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</si>
  <si>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</si>
  <si>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</si>
  <si>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</si>
  <si>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限房价,限地价,报高标准商品住宅建设方案,90/70,现房销售</t>
  </si>
  <si>
    <t xml:space="preserve"> 配建保障房用地,配建租赁住房用地</t>
  </si>
  <si>
    <t xml:space="preserve"> 保障性租赁住房</t>
  </si>
  <si>
    <t xml:space="preserve"> 京土储挂(朝)[2022]001号</t>
  </si>
  <si>
    <t xml:space="preserve"> 长春创诚房地产开发有限公司  </t>
  </si>
  <si>
    <t xml:space="preserve"> 绿城中国</t>
  </si>
  <si>
    <t xml:space="preserve"> 混合所有制</t>
  </si>
  <si>
    <t>2022-02-15 15:00</t>
  </si>
  <si>
    <t xml:space="preserve"> 居住70年、教育50年,服务设施用地50年</t>
  </si>
  <si>
    <t>北京市昌平区中关村国家工程技术创新基地C-30地块R2二类居住用地</t>
  </si>
  <si>
    <t>京土储挂(昌)[2022]010号</t>
  </si>
  <si>
    <t xml:space="preserve"> 昌平区沙河镇</t>
  </si>
  <si>
    <t xml:space="preserve"> 限房价,限地价,报高标准商品住宅建设方案,摇号/摇珠/抽签</t>
  </si>
  <si>
    <t xml:space="preserve"> 京土储挂(昌)[2022]010号</t>
  </si>
  <si>
    <t xml:space="preserve"> 中海企业发展集团有限公司  </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</si>
  <si>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</si>
  <si>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</si>
  <si>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</si>
  <si>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</si>
  <si>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京土储挂(昌)[2022]011号</t>
  </si>
  <si>
    <t xml:space="preserve"> 太仓建仓房地产开发有限公司  </t>
  </si>
  <si>
    <t>北京市朝阳区王四营乡土地一级开发项目一期1304-L04地块R2二类居住用地</t>
  </si>
  <si>
    <t>京土储挂(朝)[2022]002号</t>
  </si>
  <si>
    <t xml:space="preserve"> 朝阳区王四营乡</t>
  </si>
  <si>
    <t xml:space="preserve"> 京土储挂(朝)[2022]002号</t>
  </si>
  <si>
    <t xml:space="preserve"> 北京金地兴业房地产有限公司 、保利(北京)房地产开发有限公司  </t>
  </si>
  <si>
    <t xml:space="preserve"> 金地集团,保利发展</t>
  </si>
  <si>
    <t xml:space="preserve"> 混合所有制,中央国有企业</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</si>
  <si>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</si>
  <si>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</si>
  <si>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</si>
  <si>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</si>
  <si>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</si>
  <si>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</si>
  <si>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京土整储挂(朝)[2021]093号</t>
  </si>
  <si>
    <t xml:space="preserve"> 中国葛洲坝集团房地产开发有限公司  </t>
  </si>
  <si>
    <t xml:space="preserve"> 葛洲坝</t>
  </si>
  <si>
    <t>2021-12-23 15:00</t>
  </si>
  <si>
    <t xml:space="preserve"> 居住70年,商业40年,办公50年</t>
  </si>
  <si>
    <t>北京市朝阳区东坝车辆基地综合利用项目1101-A002-1,1101-A003-1地块R2二类居住用地(配建“保障性租赁住房”)</t>
  </si>
  <si>
    <t>京土整储挂(朝)[2021]090号</t>
  </si>
  <si>
    <t xml:space="preserve"> 朝阳区东坝西区</t>
  </si>
  <si>
    <t xml:space="preserve"> 限房价,限地价,报高标准商品住宅建设方案</t>
  </si>
  <si>
    <t xml:space="preserve"> 京土整储挂(朝)[2021]090号</t>
  </si>
  <si>
    <t xml:space="preserve"> 北京市基础设施投资有限公司 、北京京投置地房地产有限公司  </t>
  </si>
  <si>
    <t xml:space="preserve"> 京投发展</t>
  </si>
  <si>
    <t xml:space="preserve"> 居住70年,商业40年,办公52年</t>
  </si>
  <si>
    <t>北京市朝阳区东坝车辆基地综合利用项目1101-A002-3地块R2二类居住用地</t>
  </si>
  <si>
    <t>京土整储挂(朝)[2021]092号</t>
  </si>
  <si>
    <t xml:space="preserve"> 京土整储挂(朝)[2021]092号</t>
  </si>
  <si>
    <t xml:space="preserve"> 居住70年,商业40年,办公53年</t>
  </si>
  <si>
    <t>北京市朝阳区管庄乡棚户区改造和环境整治项目(一期)GZGJC-03地块R2二类居住用地</t>
  </si>
  <si>
    <t>京土整储挂(朝)[2021]095号</t>
  </si>
  <si>
    <t xml:space="preserve"> 双桥农场</t>
  </si>
  <si>
    <t xml:space="preserve"> 朝阳区管庄乡</t>
  </si>
  <si>
    <t xml:space="preserve"> 京土整储挂(朝)[2021]095号</t>
  </si>
  <si>
    <t xml:space="preserve"> 京能置业股份有限公司 、北京龙湖中佰置业有限公司  </t>
  </si>
  <si>
    <t xml:space="preserve"> 京能置业,龙湖集团</t>
  </si>
  <si>
    <t xml:space="preserve"> 地方国有企业,民营企业</t>
  </si>
  <si>
    <t xml:space="preserve"> 居住70年,商业40年,办公59年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</si>
  <si>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</si>
  <si>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</si>
  <si>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</si>
  <si>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</si>
  <si>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</si>
  <si>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</si>
  <si>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</si>
  <si>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</si>
  <si>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</si>
  <si>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</si>
  <si>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京土整储挂(海)[2021]047号</t>
  </si>
  <si>
    <t xml:space="preserve"> 华润置地开发(北京)有限公司 、北京首都开发股份有限公司  </t>
  </si>
  <si>
    <t xml:space="preserve"> 华润置地,首开股份</t>
  </si>
  <si>
    <t>2021-10-11 15:00</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</si>
  <si>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</si>
  <si>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</si>
  <si>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</si>
  <si>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</si>
  <si>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</si>
  <si>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 45米</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</si>
  <si>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</si>
  <si>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</si>
  <si>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</si>
  <si>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</si>
  <si>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</si>
  <si>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</si>
  <si>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 xml:space="preserve"> 居住70年、商业40年</t>
  </si>
  <si>
    <t>北京市朝阳区十八里店朝阳港一期土地一级开发项目1303-693地块R2二类居住用地</t>
  </si>
  <si>
    <t>京土整储挂(朝)[2021]034号</t>
  </si>
  <si>
    <t xml:space="preserve"> 60米</t>
  </si>
  <si>
    <t xml:space="preserve"> 京土整储挂(朝)[2021]034号</t>
  </si>
  <si>
    <t xml:space="preserve"> 北京金隅地产开发集团有限公司 、北京昆泰控股集团有限公司  </t>
  </si>
  <si>
    <t xml:space="preserve"> 北京昆泰,金隅集团</t>
  </si>
  <si>
    <t>北京市海淀区东升镇京昌路楔形绿地棚户区改造项目(二期)0803-631-2地块R2二类居住用地、0803-633地块A33基础教育用地(配建“保障性租赁住房”)</t>
  </si>
  <si>
    <t>京土整储挂(海)[2021]045号</t>
  </si>
  <si>
    <t xml:space="preserve"> 学清路</t>
  </si>
  <si>
    <t xml:space="preserve"> 海淀区东升镇</t>
  </si>
  <si>
    <t xml:space="preserve"> r2=2.5,a33=0.8</t>
  </si>
  <si>
    <t xml:space="preserve"> R2≤60米,A33≤18米</t>
  </si>
  <si>
    <t xml:space="preserve"> 京土整储挂(海)[2021]045号</t>
  </si>
  <si>
    <t xml:space="preserve"> 中建壹品投资发展有限公司 、中建信和地产有限公司  </t>
  </si>
  <si>
    <t xml:space="preserve"> 中建信和地产,中建三局</t>
  </si>
  <si>
    <t xml:space="preserve"> 居住70年,教育50年</t>
  </si>
  <si>
    <t>北京市昌平区昌平镇东环路136号(原六亭饭店)CP00-0205-0021地块R2二类居住用地</t>
  </si>
  <si>
    <t>京土整储挂(昌)[2021]059号</t>
  </si>
  <si>
    <t xml:space="preserve"> 城北街道</t>
  </si>
  <si>
    <t xml:space="preserve"> 昌平区城北街道</t>
  </si>
  <si>
    <t xml:space="preserve"> 京土整储挂(昌)[2021]059号</t>
  </si>
  <si>
    <t xml:space="preserve"> 中铁置业集团北京有限公司  </t>
  </si>
  <si>
    <t xml:space="preserve"> 中国中铁</t>
  </si>
  <si>
    <t>北京市海淀区东升镇京昌路楔形绿地棚户区改造项目(二期)0803-631-1块R2二类居住用地(配建“保障性租赁住房”)</t>
  </si>
  <si>
    <t>京土整储挂(海)[2021]044号</t>
  </si>
  <si>
    <t xml:space="preserve"> 京土整储挂(海)[2021]044号</t>
  </si>
  <si>
    <t xml:space="preserve"> 中建五局,中建三局</t>
  </si>
  <si>
    <t>北京市海淀区西北旺镇HD00-0403街区永丰产业基地(新)F1地块HD00-0403-0004地块R2二类居住用地、HD00-0403-0005地块A33基础教育用地</t>
  </si>
  <si>
    <t>京土整储挂(海)[2021]046号</t>
  </si>
  <si>
    <t xml:space="preserve"> 居住1.5、教育0.8</t>
  </si>
  <si>
    <t xml:space="preserve"> 30米、16米</t>
  </si>
  <si>
    <t xml:space="preserve"> 京土整储挂(海)[2021]046号</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</si>
  <si>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</si>
  <si>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</si>
  <si>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</si>
  <si>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</si>
  <si>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</si>
  <si>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限地价,限房价,竞配建,报高标准商品住宅建设方案,90/70</t>
  </si>
  <si>
    <t xml:space="preserve"> 限地价,限房价,竞配建,90/70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</si>
  <si>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</si>
  <si>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</si>
  <si>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</si>
  <si>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</si>
  <si>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</si>
  <si>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2021-05-07 15:00</t>
  </si>
  <si>
    <t xml:space="preserve"> 居住70年、商业40年、办公50年</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</si>
  <si>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</si>
  <si>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</si>
  <si>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</si>
  <si>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</si>
  <si>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</si>
  <si>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</si>
  <si>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</si>
  <si>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</si>
  <si>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</si>
  <si>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北京市昌平区东小口镇马连店1803-610地块R2二类居住用地</t>
  </si>
  <si>
    <t>京土整储挂(昌)[2021]024号</t>
  </si>
  <si>
    <t xml:space="preserve"> 昌平区东小口马连店</t>
  </si>
  <si>
    <t xml:space="preserve"> 80米</t>
  </si>
  <si>
    <t xml:space="preserve"> 京土整储挂(昌)[2021]024号</t>
  </si>
  <si>
    <t xml:space="preserve"> 卓越集团,中交地产</t>
  </si>
  <si>
    <t xml:space="preserve"> 民营企业,中央国有企业</t>
  </si>
  <si>
    <t>北京市海淀区海淀镇树村棚户区改造B-1北地块R2二类居住用地</t>
  </si>
  <si>
    <t>京土整储挂(海)[2021]013号</t>
  </si>
  <si>
    <t xml:space="preserve"> 马连洼</t>
  </si>
  <si>
    <t xml:space="preserve"> 海淀区海淀镇树村地区</t>
  </si>
  <si>
    <t xml:space="preserve"> ≤1.6</t>
  </si>
  <si>
    <t xml:space="preserve"> 18米</t>
  </si>
  <si>
    <t xml:space="preserve"> 限地价,报高标准商品住宅建设方案</t>
  </si>
  <si>
    <t xml:space="preserve"> 京土整储挂(海)[2021]013号</t>
  </si>
  <si>
    <t xml:space="preserve"> 北京陕创企诚置业有限公司  </t>
  </si>
  <si>
    <t xml:space="preserve"> 融创中国</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</si>
  <si>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</si>
  <si>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</si>
  <si>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</si>
  <si>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</si>
  <si>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</si>
  <si>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</si>
  <si>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北京市昌平区北七家镇中心起步区(暨海鶄落新村建设)土地一级开发项目一期HQL-09地块R2二类居住用地</t>
  </si>
  <si>
    <t>京土整储挂(昌)[2021]022号</t>
  </si>
  <si>
    <t xml:space="preserve"> 24米</t>
  </si>
  <si>
    <t xml:space="preserve"> 限地价,限房价,竞配建,报高标准商品住宅建设方案</t>
  </si>
  <si>
    <t xml:space="preserve"> 限地价,限房价,竞配建</t>
  </si>
  <si>
    <t xml:space="preserve"> 京土整储挂(昌)[2021]022号</t>
  </si>
  <si>
    <t xml:space="preserve"> 北京天时汤山房地产投资发展有限公司  </t>
  </si>
  <si>
    <t xml:space="preserve"> 北京天时汤山</t>
  </si>
  <si>
    <t>北京市朝阳区王四营乡土地一级开发项目一期1304-L01地块R2二类居住用地</t>
  </si>
  <si>
    <t>京土整储挂(朝)[2021]004号</t>
  </si>
  <si>
    <t xml:space="preserve"> r2≤2.5</t>
  </si>
  <si>
    <t xml:space="preserve"> R2≤45米(局部60米)</t>
  </si>
  <si>
    <t xml:space="preserve"> 限地价,竞配建,报高标准商品住宅建设方案,90/70</t>
  </si>
  <si>
    <t xml:space="preserve"> 京土整储挂(朝)[2021]004号</t>
  </si>
  <si>
    <t xml:space="preserve"> 保利(北京)房地产开发有限公司 、北京润置商业运营管理有限公司 、北京金泰慧业科技有限公司  </t>
  </si>
  <si>
    <t xml:space="preserve"> 华润置地,金地集团,保利发展</t>
  </si>
  <si>
    <t xml:space="preserve"> 中央国有企业,混合所有制,中央国有企业</t>
  </si>
  <si>
    <t>北京市朝阳区崔各庄乡黑桥村、南皋村棚户区改造项目30-L01-01地块R2二类居住用地(配建“公共租赁住房”)</t>
  </si>
  <si>
    <t>京土整储挂(朝)[2021]007号</t>
  </si>
  <si>
    <t xml:space="preserve"> 限地价,竞配建,90/70</t>
  </si>
  <si>
    <t xml:space="preserve"> 京土整储挂(朝)[2021]007号</t>
  </si>
  <si>
    <t xml:space="preserve"> 北京润置商业运营管理有限公司 、保利(北京)房地产开发有限公司 、北京金泰辉华科技有限公司  </t>
  </si>
  <si>
    <t xml:space="preserve"> 金地集团,保利发展,华润置地</t>
  </si>
  <si>
    <t xml:space="preserve"> 混合所有制,中央国有企业,中央国有企业</t>
  </si>
  <si>
    <t>北京市朝阳区王四营乡土地一级开发项目一期1304-L03地块R2二类居住用地</t>
  </si>
  <si>
    <t>京土整储挂(朝)[2021]006号</t>
  </si>
  <si>
    <t xml:space="preserve"> 京土整储挂(朝)[2021]006号</t>
  </si>
  <si>
    <t xml:space="preserve"> 北京城建投资发展股份有限公司 、招商局地产(北京)有限公司 、五矿盛世广业(北京)有限公司  </t>
  </si>
  <si>
    <t xml:space="preserve"> 城建发展,五矿地产</t>
  </si>
  <si>
    <t xml:space="preserve"> 地方国有企业,中央国有企业</t>
  </si>
  <si>
    <t>北京市朝阳区金盏乡小店村3005-08地块R2二类居住用地</t>
  </si>
  <si>
    <t>京土整储挂(朝)[2021]003号</t>
  </si>
  <si>
    <t xml:space="preserve"> 机场高速五环外沿线</t>
  </si>
  <si>
    <t xml:space="preserve"> 朝阳区金盏乡</t>
  </si>
  <si>
    <t xml:space="preserve"> ≤1.3</t>
  </si>
  <si>
    <t xml:space="preserve"> ≤18米</t>
  </si>
  <si>
    <t xml:space="preserve"> 京土整储挂(朝)[2021]003号</t>
  </si>
  <si>
    <t xml:space="preserve"> 北京璞北管理咨询有限公司  </t>
  </si>
  <si>
    <t>北京市朝阳区东坝北东南一期土地储备项目1104-612西侧地块R2二类居住用地</t>
  </si>
  <si>
    <t>京土整储挂(朝)[2021]010号</t>
  </si>
  <si>
    <t xml:space="preserve"> 朝阳区东坝乡</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</si>
  <si>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</si>
  <si>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</si>
  <si>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</si>
  <si>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</si>
  <si>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</si>
  <si>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</si>
  <si>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</si>
  <si>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</si>
  <si>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</si>
  <si>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</si>
  <si>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</si>
  <si>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</si>
  <si>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</si>
  <si>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</si>
  <si>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绿发投资集团</t>
  </si>
  <si>
    <t>北京市海淀区海淀镇树村棚户区改造B-1南地块R2二类居住用地</t>
  </si>
  <si>
    <t>京土整储挂(海)[2021]012号</t>
  </si>
  <si>
    <t xml:space="preserve"> 限地价,限房价,报高标准商品住宅建设方案</t>
  </si>
  <si>
    <t xml:space="preserve"> 京土整储挂(海)[2021]012号</t>
  </si>
  <si>
    <t xml:space="preserve"> 北京融贸亿盛置业有限公司  </t>
  </si>
  <si>
    <t xml:space="preserve"> 国贸地产,融创中国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</si>
  <si>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</si>
  <si>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</si>
  <si>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</si>
  <si>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</si>
  <si>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旭辉集团,卓越集团,首开股份</t>
  </si>
  <si>
    <t xml:space="preserve"> 民营企业,民营企业,地方国有企业</t>
  </si>
  <si>
    <t>北京市朝阳区东坝北东南一期土地储备项目1104-611地块R2二类居住用地</t>
  </si>
  <si>
    <t>京土整储挂(朝)[2020]043号</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</si>
  <si>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</si>
  <si>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</si>
  <si>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</si>
  <si>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</si>
  <si>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</si>
  <si>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</si>
  <si>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 xml:space="preserve"> 民营企业,地方国有企业,混合所有制</t>
  </si>
  <si>
    <t>2020-12-11 15:00</t>
  </si>
  <si>
    <t>北京市朝阳区小红门乡剩余土地一级开发项目11号地(XHM-15)R2二类居住用地</t>
    <phoneticPr fontId="134" type="noConversion"/>
  </si>
  <si>
    <t>有</t>
    <phoneticPr fontId="3" type="noConversion"/>
  </si>
  <si>
    <t>住宅</t>
    <phoneticPr fontId="3" type="noConversion"/>
  </si>
  <si>
    <t>住宅、商业、办公</t>
    <phoneticPr fontId="3" type="noConversion"/>
  </si>
  <si>
    <t>无</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</si>
  <si>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</si>
  <si>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</si>
  <si>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</si>
  <si>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</si>
  <si>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</si>
  <si>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</si>
  <si>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</si>
  <si>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</si>
  <si>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较差</t>
  </si>
  <si>
    <t>较规则</t>
  </si>
  <si>
    <t>五通</t>
  </si>
  <si>
    <t>较适宜</t>
  </si>
  <si>
    <t>无</t>
    <phoneticPr fontId="30" type="noConversion"/>
  </si>
  <si>
    <t>在建</t>
  </si>
  <si>
    <t>项目局部</t>
  </si>
  <si>
    <t>成本法</t>
  </si>
  <si>
    <t>假设开发法</t>
  </si>
  <si>
    <t>总价</t>
  </si>
  <si>
    <t>成本比率</t>
  </si>
  <si>
    <t>未包含在土地购买价格中</t>
  </si>
  <si>
    <t>全部缴纳</t>
  </si>
  <si>
    <t>已包含在土地取得成本中</t>
  </si>
  <si>
    <t>已全部缴纳</t>
  </si>
  <si>
    <t>在建（套用方法）</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</si>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</sst>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theme="9" tint="-0.249977111117893"/>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3" fontId="269" fillId="0" borderId="1" xfId="0" applyNumberFormat="1" applyFont="1" applyFill="1" applyBorder="1" applyAlignment="1" applyProtection="1">
      <alignment horizontal="center" vertical="center" shrinkToFit="1"/>
      <protection locked="0"/>
    </xf>
    <xf numFmtId="0" fontId="77" fillId="0" borderId="1" xfId="0" applyFont="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0" fillId="0" borderId="0" xfId="0" applyFill="1">
      <alignment vertical="center"/>
    </xf>
    <xf numFmtId="0" fontId="95" fillId="0" borderId="0" xfId="0" applyFont="1" applyFill="1">
      <alignment vertical="center"/>
    </xf>
    <xf numFmtId="10" fontId="11" fillId="0" borderId="1" xfId="0" applyNumberFormat="1" applyFont="1" applyFill="1" applyBorder="1" applyAlignment="1" applyProtection="1">
      <alignment horizontal="center" vertical="center" wrapText="1"/>
      <protection locked="0"/>
    </xf>
    <xf numFmtId="10" fontId="11" fillId="0" borderId="1" xfId="17" applyNumberFormat="1" applyFont="1" applyFill="1" applyBorder="1" applyAlignment="1" applyProtection="1">
      <alignment horizontal="center" vertical="center" wrapText="1"/>
      <protection locked="0"/>
    </xf>
    <xf numFmtId="9" fontId="11" fillId="0" borderId="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270" fillId="0" borderId="10" xfId="0" applyNumberFormat="1" applyFont="1" applyFill="1" applyBorder="1" applyAlignment="1" applyProtection="1">
      <alignment horizontal="left" vertical="center" wrapText="1"/>
      <protection locked="0"/>
    </xf>
    <xf numFmtId="49" fontId="166" fillId="0" borderId="24" xfId="0" applyNumberFormat="1" applyFont="1" applyFill="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44" fillId="0" borderId="37" xfId="10" applyNumberFormat="1" applyFont="1" applyFill="1" applyBorder="1" applyAlignment="1" applyProtection="1">
      <alignment horizontal="center" vertical="center" wrapText="1"/>
      <protection locked="0"/>
    </xf>
    <xf numFmtId="2" fontId="44" fillId="0" borderId="37" xfId="10" applyNumberFormat="1"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51" fillId="2" borderId="6" xfId="10" applyNumberFormat="1" applyFont="1" applyFill="1" applyBorder="1" applyAlignment="1" applyProtection="1">
      <alignment horizontal="center" vertical="center" wrapText="1"/>
      <protection locked="0"/>
    </xf>
    <xf numFmtId="9" fontId="44" fillId="0" borderId="37" xfId="10" applyNumberFormat="1" applyFont="1" applyFill="1" applyBorder="1" applyAlignment="1" applyProtection="1">
      <alignment horizontal="center" vertical="center" wrapText="1"/>
      <protection locked="0"/>
    </xf>
    <xf numFmtId="0" fontId="51" fillId="2" borderId="23" xfId="10" applyNumberFormat="1" applyFont="1" applyFill="1" applyBorder="1" applyAlignment="1" applyProtection="1">
      <alignment horizontal="center" vertical="center" wrapText="1"/>
      <protection locked="0"/>
    </xf>
    <xf numFmtId="0" fontId="44" fillId="2" borderId="37" xfId="10" applyNumberFormat="1" applyFont="1" applyFill="1" applyBorder="1" applyAlignment="1" applyProtection="1">
      <alignment horizontal="center" vertical="center" wrapText="1"/>
      <protection locked="0"/>
    </xf>
    <xf numFmtId="0" fontId="44" fillId="0" borderId="23" xfId="0" applyFont="1" applyBorder="1" applyAlignment="1" applyProtection="1">
      <alignment vertical="center"/>
      <protection locked="0"/>
    </xf>
    <xf numFmtId="179" fontId="44" fillId="0" borderId="1" xfId="0" applyNumberFormat="1" applyFont="1" applyBorder="1" applyAlignment="1" applyProtection="1">
      <alignment horizontal="center" vertical="center"/>
      <protection locked="0"/>
    </xf>
    <xf numFmtId="181" fontId="44" fillId="0" borderId="5" xfId="0" applyNumberFormat="1" applyFont="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0" fillId="9" borderId="0" xfId="0" applyNumberFormat="1" applyFill="1" applyAlignment="1"/>
    <xf numFmtId="14" fontId="0" fillId="9" borderId="0" xfId="0" applyNumberFormat="1" applyFill="1" applyAlignment="1"/>
    <xf numFmtId="0" fontId="0" fillId="0" borderId="0" xfId="0" applyNumberFormat="1" applyFill="1" applyAlignment="1"/>
    <xf numFmtId="14" fontId="0" fillId="0" borderId="0" xfId="0" applyNumberFormat="1" applyFill="1" applyAlignment="1"/>
    <xf numFmtId="0" fontId="0" fillId="5" borderId="0" xfId="0" applyNumberFormat="1" applyFill="1" applyAlignment="1"/>
    <xf numFmtId="14" fontId="0" fillId="5" borderId="0" xfId="0" applyNumberFormat="1" applyFill="1" applyAlignment="1"/>
    <xf numFmtId="0" fontId="95" fillId="0" borderId="0" xfId="0" applyNumberFormat="1" applyFont="1" applyAlignment="1"/>
    <xf numFmtId="0" fontId="94" fillId="0" borderId="9" xfId="0" applyNumberFormat="1" applyFont="1" applyFill="1" applyBorder="1" applyAlignment="1" applyProtection="1">
      <alignment horizontal="center" vertical="center" wrapText="1"/>
      <protection locked="0"/>
    </xf>
    <xf numFmtId="0" fontId="271"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北京市昌平区东小口马连店1803-610地块R2二类居住用地出让国有建设用地使用权及在建建筑物房地产抵押价值预评估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受贵公司委托，我公司对北京市昌平区东小口马连店1803-610地块R2二类居住用地出让国有建设用地使用权及在建建筑物房地产抵押价值进行了预评估。</v>
      </c>
    </row>
    <row r="7" spans="1:2" s="1202" customFormat="1">
      <c r="A7" s="1200" t="s">
        <v>566</v>
      </c>
      <c r="B7" s="1201" t="str">
        <f>'预评函-1'!A7</f>
        <v>估价对象为北京市昌平区东小口马连店1803-610地块R2二类居住用地出让国有建设用地使用权及在建建筑物房地产，为所有。根据《国有土地使用证》[]，估价对象（分摊）出让国有建设用地使用权面积为13913.02平方米，建筑面积为54229.76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东小口马连店1803-610地块R2二类居住用地出让国有建设用地使用权及在建建筑物房地产,属开发建设的，该项目尚在开发建设中。根据《国有土地使用证》[]，估价对象（分摊）出让国有建设用地使用权面积为13913.02平方米，规划建筑面积为54229.76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2023年3月24日（评估专业人员实地查勘之日）</v>
      </c>
    </row>
    <row r="13" spans="1:2" s="1202" customFormat="1">
      <c r="A13" s="1200" t="s">
        <v>529</v>
      </c>
      <c r="B13" s="1201" t="str">
        <f>'预评函-1'!A18</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143961</v>
      </c>
    </row>
    <row r="21" spans="1:2" s="1202" customFormat="1">
      <c r="A21" s="1200" t="s">
        <v>537</v>
      </c>
      <c r="B21" s="1201">
        <f ca="1">'预评函-2'!D7</f>
        <v>26546</v>
      </c>
    </row>
    <row r="22" spans="1:2" s="1202" customFormat="1">
      <c r="A22" s="1200" t="s">
        <v>538</v>
      </c>
      <c r="B22" s="1201" t="str">
        <f ca="1">'预评函-2'!D6</f>
        <v>壹拾肆亿叁仟玖佰陆拾壹万元整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143961</v>
      </c>
    </row>
    <row r="31" spans="1:2" s="1202" customFormat="1">
      <c r="A31" s="1200" t="s">
        <v>576</v>
      </c>
      <c r="B31" s="1201">
        <f ca="1">'预评函-2'!D15</f>
        <v>26546</v>
      </c>
    </row>
    <row r="32" spans="1:2" s="1202" customFormat="1">
      <c r="A32" s="1200" t="s">
        <v>543</v>
      </c>
      <c r="B32" s="1201" t="str">
        <f ca="1">'预评函-2'!D14</f>
        <v>壹拾肆亿叁仟玖佰陆拾壹万元整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北京市昌平区东小口马连店1803-610地块R2二类居住用地出让国有建设用地使用权及在建建筑物房地产</v>
      </c>
    </row>
    <row r="42" spans="1:2" s="1202" customFormat="1">
      <c r="A42" s="1200" t="s">
        <v>590</v>
      </c>
      <c r="B42" s="1201" t="str">
        <f>'预评函-3'!B2</f>
        <v>建筑面积</v>
      </c>
    </row>
    <row r="43" spans="1:2" s="1202" customFormat="1">
      <c r="A43" s="1200" t="s">
        <v>591</v>
      </c>
      <c r="B43" s="1201">
        <f>'预评函-3'!B4</f>
        <v>54229.759999999966</v>
      </c>
    </row>
    <row r="44" spans="1:2" s="1202" customFormat="1">
      <c r="A44" s="1200" t="s">
        <v>575</v>
      </c>
      <c r="B44" s="1201" t="str">
        <f>'预评函-3'!C2</f>
        <v>(分摊)土地面积</v>
      </c>
    </row>
    <row r="45" spans="1:2" s="1202" customFormat="1">
      <c r="A45" s="1200" t="s">
        <v>547</v>
      </c>
      <c r="B45" s="1201">
        <f>'预评函-3'!C4</f>
        <v>13913.02</v>
      </c>
    </row>
    <row r="46" spans="1:2" s="1202" customFormat="1">
      <c r="A46" s="1200" t="s">
        <v>573</v>
      </c>
      <c r="B46" s="1201" t="str">
        <f>'预评函-3'!D2</f>
        <v>出让国有建设用地使用权价值</v>
      </c>
    </row>
    <row r="47" spans="1:2" s="1202" customFormat="1">
      <c r="A47" s="1200" t="s">
        <v>548</v>
      </c>
      <c r="B47" s="1201">
        <f ca="1">'预评函-3'!D4</f>
        <v>130285</v>
      </c>
    </row>
    <row r="48" spans="1:2" s="1202" customFormat="1">
      <c r="A48" s="1200" t="s">
        <v>549</v>
      </c>
      <c r="B48" s="1201">
        <f ca="1">'预评函-3'!E4</f>
        <v>24024</v>
      </c>
    </row>
    <row r="49" spans="1:2" s="1202" customFormat="1">
      <c r="A49" s="1200" t="s">
        <v>550</v>
      </c>
      <c r="B49" s="1201" t="str">
        <f ca="1">'预评函-3'!D5</f>
        <v>壹拾叁亿零贰佰捌拾伍万元整</v>
      </c>
    </row>
    <row r="50" spans="1:2" s="1202" customFormat="1">
      <c r="A50" s="1200" t="s">
        <v>574</v>
      </c>
      <c r="B50" s="1201" t="str">
        <f>'预评函-3'!F2</f>
        <v>在建建筑物价值</v>
      </c>
    </row>
    <row r="51" spans="1:2" s="1202" customFormat="1">
      <c r="A51" s="1200" t="s">
        <v>551</v>
      </c>
      <c r="B51" s="1201">
        <f ca="1">'预评函-3'!F4</f>
        <v>13676</v>
      </c>
    </row>
    <row r="52" spans="1:2" s="1202" customFormat="1">
      <c r="A52" s="1200" t="s">
        <v>552</v>
      </c>
      <c r="B52" s="1201">
        <f ca="1">'预评函-3'!G4</f>
        <v>2522</v>
      </c>
    </row>
    <row r="53" spans="1:2" s="1202" customFormat="1">
      <c r="A53" s="1200" t="s">
        <v>580</v>
      </c>
      <c r="B53" s="1201" t="str">
        <f ca="1">'预评函-3'!F5</f>
        <v>壹亿叁仟陆佰柒拾陆万元整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2575</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2576</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2288</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3" t="s">
        <v>385</v>
      </c>
      <c r="C54" s="1550" t="s">
        <v>583</v>
      </c>
    </row>
    <row r="55" spans="1:4">
      <c r="A55" s="3536"/>
      <c r="B55" s="1553" t="s">
        <v>386</v>
      </c>
      <c r="C55" s="1550" t="s">
        <v>584</v>
      </c>
    </row>
    <row r="56" spans="1:4">
      <c r="A56" s="3536"/>
      <c r="B56" s="1553" t="s">
        <v>387</v>
      </c>
      <c r="C56" s="1550" t="s">
        <v>588</v>
      </c>
    </row>
    <row r="57" spans="1:4">
      <c r="A57" s="353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37" t="s">
        <v>2578</v>
      </c>
      <c r="J2" s="3537"/>
      <c r="K2" s="3537"/>
      <c r="L2" s="3537"/>
      <c r="M2" s="3537"/>
      <c r="N2" s="3537"/>
      <c r="O2" s="3537"/>
      <c r="P2" s="3537"/>
      <c r="Q2" s="3537"/>
      <c r="R2" s="3537"/>
    </row>
    <row r="3" spans="1:18">
      <c r="A3" s="3016" t="s">
        <v>2499</v>
      </c>
      <c r="B3" s="3017">
        <f>项目基本情况!D3</f>
        <v>45009</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3.74</v>
      </c>
      <c r="D5" s="3021">
        <f>IF(ISERROR(ROUND(POWER(1+E5,A5-C5)*(POWER(1+E5,C5)-1)/(POWER(1+E5,A5)-1),3)),0,ROUND(POWER(1+E5,A5-C5)*(POWER(1+E5,C5)-1)/(POWER(1+E5,A5)-1),4))</f>
        <v>0.17230000000000001</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13.75</v>
      </c>
      <c r="D6" s="3021">
        <f>IF(ISERROR(ROUND(POWER(1+E6,A6-C6)*(POWER(1+E6,C6)-1)/(POWER(1+E6,A6)-1),3)),0,ROUND(POWER(1+E6,A6-C6)*(POWER(1+E6,C6)-1)/(POWER(1+E6,A6)-1),4))</f>
        <v>0.48509999999999998</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33.76</v>
      </c>
      <c r="D7" s="3021">
        <f>IF(ISERROR(ROUND(POWER(1+E7,A7-C7)*(POWER(1+E7,C7)-1)/(POWER(1+E7,A7)-1),3)),0,ROUND(POWER(1+E7,A7-C7)*(POWER(1+E7,C7)-1)/(POWER(1+E7,A7)-1),4))</f>
        <v>0.7843</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8" sqref="M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2167</v>
      </c>
      <c r="B1" s="3546" t="str">
        <f>IF(B10="北京市","北京市",C10)&amp;F10&amp;IF(结果表!G1="在建","出让国有建设用地使用权及在建建筑物",IF(结果表!G1="土地","出让国有建设用地使用权",))&amp;B9&amp;"预评估"</f>
        <v>北京市昌平区东小口马连店1803-610地块R2二类居住用地出让国有建设用地使用权及在建建筑物房地产抵押价值预评估</v>
      </c>
      <c r="C1" s="3547"/>
      <c r="D1" s="3547"/>
      <c r="E1" s="3547"/>
      <c r="F1" s="3547"/>
      <c r="G1" s="3547"/>
      <c r="H1" s="3547"/>
      <c r="I1" s="3548"/>
      <c r="J1" s="2467"/>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北京市昌平区东小口马连店1803-610地块R2二类居住用地出让国有建设用地使用权及在建建筑物房地产抵押价值</v>
      </c>
      <c r="T1" s="1744"/>
      <c r="U1" s="1744"/>
      <c r="V1" s="1744"/>
      <c r="W1" s="1744"/>
      <c r="X1" s="1744"/>
      <c r="Y1" s="1744"/>
      <c r="Z1" s="1744"/>
      <c r="AA1" s="1744"/>
      <c r="AB1" s="1744"/>
    </row>
    <row r="2" spans="1:30">
      <c r="A2" s="2365" t="s">
        <v>2168</v>
      </c>
      <c r="B2" s="2369"/>
      <c r="C2" s="2370"/>
      <c r="D2" s="2666"/>
      <c r="E2" s="2658"/>
      <c r="F2" s="2658"/>
      <c r="G2" s="2659"/>
      <c r="H2" s="2659"/>
      <c r="I2" s="2659"/>
      <c r="J2" s="2467"/>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北京市昌平区东小口马连店1803-610地块R2二类居住用地出让国有建设用地使用权及在建建筑物房地产</v>
      </c>
      <c r="T2" s="1744"/>
      <c r="U2" s="1744"/>
      <c r="V2" s="1744"/>
      <c r="W2" s="1744"/>
      <c r="X2" s="1744"/>
      <c r="Y2" s="1744"/>
      <c r="Z2" s="1744"/>
      <c r="AA2" s="1744"/>
      <c r="AB2" s="1744"/>
    </row>
    <row r="3" spans="1:30">
      <c r="A3" s="302" t="s">
        <v>2169</v>
      </c>
      <c r="B3" s="2371">
        <v>45009</v>
      </c>
      <c r="C3" s="2372" t="s">
        <v>2170</v>
      </c>
      <c r="D3" s="2371">
        <v>45009</v>
      </c>
      <c r="E3" s="2659"/>
      <c r="F3" s="2659"/>
      <c r="G3" s="2659"/>
      <c r="H3" s="2659"/>
      <c r="I3" s="2659"/>
      <c r="J3" s="2467"/>
      <c r="K3" s="2366"/>
      <c r="L3" s="2367"/>
      <c r="M3" s="2367"/>
      <c r="N3" s="2368"/>
      <c r="O3" s="1575"/>
      <c r="P3" s="2368"/>
      <c r="Q3" s="2368"/>
      <c r="R3" s="2368"/>
      <c r="S3" s="1681"/>
      <c r="T3" s="1744"/>
      <c r="U3" s="1744"/>
      <c r="V3" s="1744"/>
      <c r="W3" s="1744"/>
      <c r="X3" s="1744"/>
      <c r="Y3" s="1744"/>
      <c r="Z3" s="1744"/>
      <c r="AA3" s="1744"/>
      <c r="AB3" s="1744"/>
    </row>
    <row r="4" spans="1:30" ht="13.5" thickBot="1">
      <c r="A4" s="1089" t="s">
        <v>2171</v>
      </c>
      <c r="B4" s="2373" t="s">
        <v>3374</v>
      </c>
      <c r="C4" s="2374">
        <f ca="1">SUMIF(注册房地产估价师,B4,估价师及机构信息!B3:B24)</f>
        <v>1120070131</v>
      </c>
      <c r="D4" s="2373" t="s">
        <v>3375</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郑燚（注册号：1120070131)、吴薇（注册号：1419970001)</v>
      </c>
      <c r="L4" s="2367"/>
      <c r="M4" s="2367"/>
      <c r="N4" s="2368"/>
      <c r="O4" s="1575"/>
      <c r="P4" s="2368"/>
      <c r="Q4" s="2368"/>
      <c r="R4" s="2368"/>
      <c r="S4" s="1681"/>
      <c r="T4" s="1744"/>
      <c r="U4" s="1744"/>
      <c r="V4" s="1744"/>
      <c r="W4" s="1744"/>
      <c r="X4" s="1744"/>
      <c r="Y4" s="1744"/>
      <c r="Z4" s="1744"/>
      <c r="AA4" s="1744"/>
      <c r="AB4" s="1744"/>
    </row>
    <row r="5" spans="1:30" ht="13.5" thickTop="1">
      <c r="A5" s="2377" t="s">
        <v>2172</v>
      </c>
      <c r="B5" s="2378"/>
      <c r="C5" s="2379"/>
      <c r="D5" s="2380"/>
      <c r="E5" s="2660"/>
      <c r="F5" s="2660"/>
      <c r="G5" s="2660"/>
      <c r="H5" s="2660"/>
      <c r="I5" s="2660"/>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2173</v>
      </c>
      <c r="B6" s="2382"/>
      <c r="C6" s="2383"/>
      <c r="D6" s="2384"/>
      <c r="E6" s="2658"/>
      <c r="F6" s="2660"/>
      <c r="G6" s="2660"/>
      <c r="H6" s="2660"/>
      <c r="I6" s="2660"/>
      <c r="J6" s="2437"/>
      <c r="K6" s="2611" t="str">
        <f>IF(COUNTIF(B6,"*上海银行*"),"上海银行","")</f>
        <v/>
      </c>
      <c r="L6" s="2609"/>
      <c r="M6" s="2609"/>
      <c r="N6" s="2437"/>
      <c r="O6" s="2448"/>
      <c r="P6" s="2437"/>
      <c r="Q6" s="2437"/>
      <c r="R6" s="2437"/>
    </row>
    <row r="7" spans="1:30">
      <c r="A7" s="2381" t="s">
        <v>2174</v>
      </c>
      <c r="B7" s="2385"/>
      <c r="C7" s="2383"/>
      <c r="D7" s="2384"/>
      <c r="E7" s="2658"/>
      <c r="F7" s="2660"/>
      <c r="G7" s="2660"/>
      <c r="H7" s="2660"/>
      <c r="I7" s="2660"/>
      <c r="J7" s="2437"/>
      <c r="K7" s="2612"/>
      <c r="L7" s="2609"/>
      <c r="M7" s="2609"/>
      <c r="N7" s="2437"/>
      <c r="O7" s="2448"/>
      <c r="P7" s="2437"/>
      <c r="Q7" s="2437"/>
      <c r="R7" s="2437"/>
    </row>
    <row r="8" spans="1:30">
      <c r="A8" s="2386" t="s">
        <v>2175</v>
      </c>
      <c r="B8" s="2387" t="s">
        <v>3376</v>
      </c>
      <c r="C8" s="2388"/>
      <c r="D8" s="3549" t="s">
        <v>2176</v>
      </c>
      <c r="E8" s="2389" t="s">
        <v>3377</v>
      </c>
      <c r="F8" s="2390"/>
      <c r="G8" s="2659"/>
      <c r="H8" s="2659"/>
      <c r="I8" s="2659"/>
      <c r="J8" s="2437"/>
      <c r="K8" s="2610"/>
      <c r="L8" s="2609"/>
      <c r="M8" s="2609"/>
      <c r="N8" s="2437"/>
      <c r="O8" s="2448"/>
      <c r="P8" s="2437"/>
      <c r="Q8" s="2437"/>
      <c r="R8" s="2437"/>
    </row>
    <row r="9" spans="1:30" ht="13.5" thickBot="1">
      <c r="A9" s="2391" t="s">
        <v>2177</v>
      </c>
      <c r="B9" s="2392" t="s">
        <v>3377</v>
      </c>
      <c r="C9" s="2393"/>
      <c r="D9" s="3550"/>
      <c r="E9" s="2392" t="s">
        <v>43</v>
      </c>
      <c r="F9" s="2394"/>
      <c r="G9" s="2661"/>
      <c r="H9" s="2661"/>
      <c r="I9" s="2661"/>
      <c r="J9" s="2437"/>
      <c r="K9" s="2612"/>
      <c r="L9" s="2609"/>
      <c r="M9" s="2609"/>
      <c r="N9" s="2437"/>
      <c r="O9" s="2448"/>
      <c r="P9" s="2437"/>
      <c r="Q9" s="2437"/>
      <c r="R9" s="2437"/>
    </row>
    <row r="10" spans="1:30" ht="13.5" thickTop="1">
      <c r="A10" s="2395" t="s">
        <v>2178</v>
      </c>
      <c r="B10" s="2396" t="s">
        <v>3378</v>
      </c>
      <c r="C10" s="2397"/>
      <c r="D10" s="2380"/>
      <c r="E10" s="2398" t="s">
        <v>2179</v>
      </c>
      <c r="F10" s="2662" t="s">
        <v>3379</v>
      </c>
      <c r="G10" s="2663"/>
      <c r="H10" s="2664"/>
      <c r="I10" s="2665"/>
      <c r="J10" s="2437"/>
      <c r="K10" s="2612"/>
      <c r="L10" s="2609"/>
      <c r="M10" s="2609"/>
      <c r="N10" s="2437"/>
      <c r="O10" s="2448"/>
      <c r="P10" s="2437"/>
      <c r="Q10" s="2437"/>
      <c r="R10" s="2437"/>
    </row>
    <row r="11" spans="1:30">
      <c r="A11" s="2399" t="s">
        <v>2180</v>
      </c>
      <c r="B11" s="2400" t="s">
        <v>3380</v>
      </c>
      <c r="C11" s="2401"/>
      <c r="D11" s="2402"/>
      <c r="E11" s="2368"/>
      <c r="F11" s="2368"/>
      <c r="G11" s="2368"/>
      <c r="H11" s="2368"/>
      <c r="I11" s="2368"/>
      <c r="J11" s="3057"/>
      <c r="K11" s="3056"/>
      <c r="L11" s="2609"/>
      <c r="M11" s="2609"/>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5" t="s">
        <v>2574</v>
      </c>
      <c r="J12" s="3058"/>
      <c r="K12" s="2609"/>
      <c r="L12" s="2609"/>
      <c r="M12" s="2437"/>
      <c r="N12" s="2448"/>
      <c r="O12" s="2437"/>
      <c r="P12" s="2437"/>
      <c r="Q12" s="2437"/>
      <c r="AD12" s="1744"/>
    </row>
    <row r="13" spans="1:30" ht="14.25">
      <c r="A13" s="3419" t="s">
        <v>3334</v>
      </c>
      <c r="B13" s="2405" t="s">
        <v>2189</v>
      </c>
      <c r="C13" s="3446">
        <v>69906</v>
      </c>
      <c r="D13" s="3446">
        <v>58949</v>
      </c>
      <c r="E13" s="3446"/>
      <c r="F13" s="3446">
        <v>62601</v>
      </c>
      <c r="G13" s="3446">
        <v>62601</v>
      </c>
      <c r="H13" s="855"/>
      <c r="I13" s="855"/>
      <c r="J13" s="3058"/>
      <c r="K13" s="2609"/>
      <c r="L13" s="2609"/>
      <c r="M13" s="2437"/>
      <c r="N13" s="2448"/>
      <c r="O13" s="2437"/>
      <c r="P13" s="2437"/>
      <c r="Q13" s="2437"/>
      <c r="AD13" s="1744"/>
    </row>
    <row r="14" spans="1:30">
      <c r="A14" s="1080"/>
      <c r="B14" s="2405" t="s">
        <v>2190</v>
      </c>
      <c r="C14" s="2406">
        <v>70</v>
      </c>
      <c r="D14" s="2406">
        <v>40</v>
      </c>
      <c r="E14" s="2406"/>
      <c r="F14" s="2406">
        <v>50</v>
      </c>
      <c r="G14" s="2406">
        <v>50</v>
      </c>
      <c r="H14" s="2406"/>
      <c r="I14" s="2406"/>
      <c r="J14" s="3059"/>
      <c r="K14" s="2609"/>
      <c r="L14" s="2609"/>
      <c r="M14" s="2437"/>
      <c r="N14" s="2448"/>
      <c r="O14" s="2437"/>
      <c r="P14" s="2437"/>
      <c r="Q14" s="2437"/>
      <c r="AD14" s="1744"/>
    </row>
    <row r="15" spans="1:30">
      <c r="A15" s="320"/>
      <c r="B15" s="2407" t="s">
        <v>2191</v>
      </c>
      <c r="C15" s="2408">
        <f>IF(A13="出让",IF(C13="","",ROUNDDOWN(MIN((C13-$D$3)/365,C14),2)),C14)</f>
        <v>68.209999999999994</v>
      </c>
      <c r="D15" s="2408">
        <f>IF(A13="出让",IF(D13="","",ROUNDDOWN(MIN((D13-$D$3)/365,D14),2)),D14)</f>
        <v>38.19</v>
      </c>
      <c r="E15" s="2408" t="str">
        <f>IF(A13="出让",IF(E13="","",ROUNDDOWN(MIN((E13-$D$3)/365,E14),2)),E14)</f>
        <v/>
      </c>
      <c r="F15" s="2408">
        <f>IF(A13="出让",IF(F13="","",ROUNDDOWN(MIN((F13-$D$3)/365,F14),2)),F14)</f>
        <v>48.19</v>
      </c>
      <c r="G15" s="2408">
        <f>IF(A13="出让",IF(G13="","",ROUNDDOWN(MIN((G13-$D$3)/365,G14),2)),G14)</f>
        <v>48.19</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8" t="s">
        <v>2192</v>
      </c>
      <c r="B16" s="3556"/>
      <c r="C16" s="3557"/>
      <c r="D16" s="3558"/>
      <c r="E16" s="2411" t="s">
        <v>2193</v>
      </c>
      <c r="F16" s="3559"/>
      <c r="G16" s="3560"/>
      <c r="H16" s="3560"/>
      <c r="I16" s="3561"/>
      <c r="J16" s="2437"/>
      <c r="K16" s="2613"/>
      <c r="L16" s="2449"/>
      <c r="M16" s="2449"/>
      <c r="N16" s="2505"/>
      <c r="O16" s="2449"/>
      <c r="P16" s="2505"/>
      <c r="Q16" s="2437"/>
      <c r="R16" s="2437"/>
    </row>
    <row r="17" spans="1:28">
      <c r="A17" s="313" t="s">
        <v>2194</v>
      </c>
      <c r="B17" s="302" t="s">
        <v>2195</v>
      </c>
      <c r="C17" s="8">
        <f>'数据-汇总表'!E3</f>
        <v>54229.759999999966</v>
      </c>
      <c r="D17" s="2320" t="s">
        <v>2196</v>
      </c>
      <c r="E17" s="3562" t="s">
        <v>2197</v>
      </c>
      <c r="F17" s="3563"/>
      <c r="G17" s="3563"/>
      <c r="H17" s="3563"/>
      <c r="I17" s="3564"/>
      <c r="J17" s="2437"/>
      <c r="K17" s="2614"/>
      <c r="L17" s="2449"/>
      <c r="M17" s="2449"/>
      <c r="N17" s="2505"/>
      <c r="O17" s="2449"/>
      <c r="P17" s="2505"/>
      <c r="Q17" s="2437"/>
      <c r="R17" s="2437"/>
      <c r="S17" s="2437"/>
      <c r="T17" s="2437"/>
      <c r="U17" s="2437"/>
      <c r="V17" s="2437"/>
    </row>
    <row r="18" spans="1:28" ht="24.75" thickBot="1">
      <c r="A18" s="2412" t="s">
        <v>2198</v>
      </c>
      <c r="B18" s="1089" t="s">
        <v>2199</v>
      </c>
      <c r="C18" s="2413">
        <f>'数据-汇总表'!D3</f>
        <v>13913.02</v>
      </c>
      <c r="D18" s="1091" t="s">
        <v>2200</v>
      </c>
      <c r="E18" s="3565" t="s">
        <v>2201</v>
      </c>
      <c r="F18" s="3566"/>
      <c r="G18" s="3566"/>
      <c r="H18" s="3566"/>
      <c r="I18" s="3567"/>
      <c r="J18" s="2437"/>
      <c r="K18" s="2614"/>
      <c r="L18" s="2449"/>
      <c r="M18" s="2449"/>
      <c r="N18" s="2505"/>
      <c r="O18" s="2449"/>
      <c r="P18" s="2505"/>
      <c r="Q18" s="2437"/>
      <c r="R18" s="2437"/>
      <c r="S18" s="2437"/>
      <c r="T18" s="2437"/>
      <c r="U18" s="2437"/>
      <c r="V18" s="2437"/>
    </row>
    <row r="19" spans="1:28" ht="39.75" thickTop="1" thickBot="1">
      <c r="A19" s="327" t="s">
        <v>1055</v>
      </c>
      <c r="B19" s="307" t="s">
        <v>2202</v>
      </c>
      <c r="C19" s="1562" t="s">
        <v>3381</v>
      </c>
      <c r="D19" s="1563" t="s">
        <v>2203</v>
      </c>
      <c r="E19" s="1564" t="s">
        <v>3382</v>
      </c>
      <c r="F19" s="1565" t="str">
        <f>IF(AND(C19="是",E19="否"),"是否提供他项权证或相关说明","")</f>
        <v>是否提供他项权证或相关说明</v>
      </c>
      <c r="G19" s="1566" t="s">
        <v>3382</v>
      </c>
      <c r="H19" s="2660"/>
      <c r="I19" s="2660"/>
      <c r="J19" s="2437"/>
      <c r="K19" s="2612"/>
      <c r="L19" s="2609"/>
      <c r="M19" s="2609"/>
      <c r="N19" s="2505"/>
      <c r="O19" s="2449"/>
      <c r="P19" s="2505"/>
      <c r="Q19" s="2437"/>
      <c r="R19" s="2437"/>
      <c r="S19" s="2437"/>
      <c r="T19" s="2437"/>
      <c r="U19" s="2437"/>
      <c r="V19" s="2437"/>
    </row>
    <row r="20" spans="1:28">
      <c r="A20" s="2628" t="s">
        <v>2204</v>
      </c>
      <c r="B20" s="3552" t="s">
        <v>2205</v>
      </c>
      <c r="C20" s="3553"/>
      <c r="D20" s="3554" t="s">
        <v>2206</v>
      </c>
      <c r="E20" s="3555"/>
      <c r="F20" s="2643" t="s">
        <v>1056</v>
      </c>
      <c r="G20" s="2660"/>
      <c r="H20" s="2660"/>
      <c r="I20" s="2660"/>
      <c r="J20" s="2437"/>
      <c r="K20" s="3551" t="s">
        <v>2207</v>
      </c>
      <c r="L20" s="68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7"/>
      <c r="N20" s="2410"/>
      <c r="O20" s="2409"/>
      <c r="P20" s="2410"/>
      <c r="Q20" s="2368"/>
      <c r="R20" s="2368"/>
      <c r="S20" s="2368"/>
      <c r="T20" s="2368"/>
      <c r="U20" s="2368"/>
      <c r="V20" s="2368"/>
      <c r="W20" s="1744"/>
      <c r="X20" s="1744"/>
      <c r="Y20" s="1744"/>
      <c r="Z20" s="1744"/>
      <c r="AA20" s="1744"/>
      <c r="AB20" s="1744"/>
    </row>
    <row r="21" spans="1:28" ht="24.75" thickBot="1">
      <c r="A21" s="2628"/>
      <c r="B21" s="2629" t="s">
        <v>2208</v>
      </c>
      <c r="C21" s="2630" t="s">
        <v>3383</v>
      </c>
      <c r="D21" s="1567" t="s">
        <v>2209</v>
      </c>
      <c r="E21" s="2631" t="s">
        <v>3383</v>
      </c>
      <c r="F21" s="2644"/>
      <c r="G21" s="2660"/>
      <c r="H21" s="2660"/>
      <c r="I21" s="2660"/>
      <c r="J21" s="2437"/>
      <c r="K21" s="355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28"/>
      <c r="B22" s="2632" t="s">
        <v>2210</v>
      </c>
      <c r="C22" s="2630" t="s">
        <v>1057</v>
      </c>
      <c r="D22" s="2659"/>
      <c r="E22" s="2659"/>
      <c r="F22" s="2659"/>
      <c r="G22" s="2660"/>
      <c r="H22" s="2660"/>
      <c r="I22" s="2660"/>
      <c r="J22" s="2437"/>
      <c r="K22" s="355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39" t="s">
        <v>2213</v>
      </c>
      <c r="B27" s="320" t="s">
        <v>2214</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39"/>
      <c r="B28" s="302" t="s">
        <v>2215</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39"/>
      <c r="B29" s="302" t="s">
        <v>2216</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40"/>
      <c r="B30" s="302" t="s">
        <v>2217</v>
      </c>
      <c r="C30" s="3541"/>
      <c r="D30" s="3542"/>
      <c r="E30" s="2660"/>
      <c r="F30" s="2660"/>
      <c r="G30" s="2660"/>
      <c r="H30" s="2660"/>
      <c r="I30" s="2660"/>
      <c r="J30" s="2437"/>
      <c r="K30" s="2612"/>
      <c r="L30" s="2609"/>
      <c r="M30" s="2609"/>
      <c r="N30" s="2437"/>
      <c r="O30" s="2448"/>
      <c r="P30" s="2437"/>
      <c r="Q30" s="2437"/>
      <c r="R30" s="2437"/>
      <c r="S30" s="2437"/>
      <c r="T30" s="2437"/>
      <c r="U30" s="2437"/>
      <c r="V30" s="2437"/>
    </row>
    <row r="31" spans="1:28">
      <c r="A31" s="3543" t="s">
        <v>2218</v>
      </c>
      <c r="B31" s="2420"/>
      <c r="C31" s="2321" t="str">
        <f>IF(B31="现房","成新及维护状况正常否",IF(B31="在建","工程状态是否正常",IF(B31="土地","是否闲置","-")))</f>
        <v>-</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44"/>
      <c r="B32" s="2420"/>
      <c r="C32" s="2321"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44"/>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2219</v>
      </c>
      <c r="B34" s="2024"/>
      <c r="C34" s="2024"/>
      <c r="D34" s="2024"/>
      <c r="E34" s="2024"/>
      <c r="F34" s="2024"/>
      <c r="G34" s="2024"/>
      <c r="H34" s="2024"/>
      <c r="I34" s="2660"/>
      <c r="J34" s="2437"/>
      <c r="K34" s="2425">
        <f>COUNTIF(B34:H34,"——")</f>
        <v>0</v>
      </c>
      <c r="L34" s="323" t="s">
        <v>2220</v>
      </c>
      <c r="M34" s="323" t="s">
        <v>2221</v>
      </c>
      <c r="N34" s="323" t="s">
        <v>2222</v>
      </c>
      <c r="O34" s="323" t="s">
        <v>2223</v>
      </c>
      <c r="P34" s="323" t="s">
        <v>2224</v>
      </c>
      <c r="Q34" s="323" t="s">
        <v>2225</v>
      </c>
      <c r="R34" s="323" t="s">
        <v>2226</v>
      </c>
      <c r="S34" s="3538" t="s">
        <v>2227</v>
      </c>
      <c r="T34" s="2426" t="str">
        <f>NUMBERSTRING(7-K34,1)&amp;"通"</f>
        <v>七通</v>
      </c>
      <c r="U34" s="2437"/>
      <c r="V34" s="2437"/>
    </row>
    <row r="35" spans="1:30">
      <c r="A35" s="2427"/>
      <c r="B35" s="3545" t="s">
        <v>2228</v>
      </c>
      <c r="C35" s="3545"/>
      <c r="D35" s="3545"/>
      <c r="E35" s="3545"/>
      <c r="F35" s="663">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1" t="s">
        <v>2577</v>
      </c>
      <c r="G36" s="2660"/>
      <c r="H36" s="2660"/>
      <c r="I36" s="2660"/>
      <c r="J36" s="2437"/>
      <c r="K36" s="2612"/>
      <c r="L36" s="2609"/>
      <c r="M36" s="2609"/>
      <c r="N36" s="2437"/>
      <c r="O36" s="2448"/>
      <c r="P36" s="2437"/>
      <c r="Q36" s="2437"/>
      <c r="R36" s="2437"/>
      <c r="S36" s="2437"/>
      <c r="T36" s="2437"/>
      <c r="U36" s="2437"/>
      <c r="V36" s="2437"/>
    </row>
    <row r="37" spans="1:30">
      <c r="A37" s="2626" t="s">
        <v>2229</v>
      </c>
      <c r="B37" s="2429" t="s">
        <v>29</v>
      </c>
      <c r="C37" s="2429" t="s">
        <v>29</v>
      </c>
      <c r="D37" s="2429" t="s">
        <v>29</v>
      </c>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2230</v>
      </c>
      <c r="B38" s="2430" t="s">
        <v>300</v>
      </c>
      <c r="C38" s="2430" t="s">
        <v>300</v>
      </c>
      <c r="D38" s="2430" t="s">
        <v>300</v>
      </c>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7"/>
      <c r="J40" s="2505"/>
      <c r="K40" s="2611"/>
      <c r="L40" s="2449"/>
      <c r="M40" s="2449"/>
      <c r="N40" s="2505"/>
      <c r="O40" s="2449"/>
      <c r="P40" s="2437"/>
      <c r="Q40" s="2437"/>
      <c r="R40" s="2437"/>
      <c r="S40" s="2437"/>
      <c r="T40" s="2437"/>
      <c r="U40" s="2437"/>
      <c r="V40" s="2437"/>
    </row>
    <row r="41" spans="1:30">
      <c r="A41" s="2434" t="s">
        <v>2232</v>
      </c>
      <c r="B41" s="1756"/>
      <c r="C41" s="1372"/>
      <c r="D41" s="2368"/>
      <c r="E41" s="2368"/>
      <c r="F41" s="2368"/>
      <c r="G41" s="2368"/>
      <c r="H41" s="2368"/>
      <c r="I41" s="1575"/>
      <c r="J41" s="2437"/>
      <c r="K41" s="2612"/>
      <c r="L41" s="2609"/>
      <c r="M41" s="2609"/>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ROUND(G13/B14*A14,2)</f>
        <v>13913.02</v>
      </c>
      <c r="B3" s="11">
        <f>IF(C3="否",G5-AT5,G5)</f>
        <v>54229.759999999966</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54229.759999999966</v>
      </c>
      <c r="H5" s="13">
        <f t="shared" ref="H5:AT5" si="0">SUM(H13:H656)</f>
        <v>54229.759999999966</v>
      </c>
      <c r="I5" s="13">
        <f t="shared" si="0"/>
        <v>23853.78</v>
      </c>
      <c r="J5" s="13">
        <f t="shared" si="0"/>
        <v>0</v>
      </c>
      <c r="K5" s="13">
        <f t="shared" si="0"/>
        <v>1477.62</v>
      </c>
      <c r="L5" s="13">
        <f t="shared" si="0"/>
        <v>0</v>
      </c>
      <c r="M5" s="13">
        <f t="shared" si="0"/>
        <v>22548.009999999973</v>
      </c>
      <c r="N5" s="13">
        <f t="shared" si="0"/>
        <v>0</v>
      </c>
      <c r="O5" s="13">
        <f t="shared" si="0"/>
        <v>6350.3499999999931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54229.759999999966</v>
      </c>
      <c r="BA5" s="15">
        <f t="shared" si="1"/>
        <v>54229.759999999966</v>
      </c>
      <c r="BB5" s="15">
        <f t="shared" si="1"/>
        <v>23853.78</v>
      </c>
      <c r="BC5" s="15">
        <f t="shared" si="1"/>
        <v>1477.62</v>
      </c>
      <c r="BD5" s="15">
        <f t="shared" si="1"/>
        <v>22548.009999999973</v>
      </c>
      <c r="BE5" s="15">
        <f t="shared" si="1"/>
        <v>6350.3499999999931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13913.02</v>
      </c>
      <c r="F6" s="13" t="s">
        <v>0</v>
      </c>
      <c r="G6" s="13" t="s">
        <v>1</v>
      </c>
      <c r="H6" s="17">
        <f>SUMIF(I$12:AB$12,"总值",I6:AB6)</f>
        <v>13913.02</v>
      </c>
      <c r="I6" s="13">
        <f t="shared" ref="I6:AB6" si="2">ROUND($A$3*I5/$B$3,2)</f>
        <v>6119.85</v>
      </c>
      <c r="J6" s="13">
        <f t="shared" si="2"/>
        <v>0</v>
      </c>
      <c r="K6" s="13">
        <f t="shared" si="2"/>
        <v>379.09</v>
      </c>
      <c r="L6" s="13">
        <f t="shared" si="2"/>
        <v>0</v>
      </c>
      <c r="M6" s="13">
        <f t="shared" si="2"/>
        <v>5784.85</v>
      </c>
      <c r="N6" s="13">
        <f t="shared" si="2"/>
        <v>0</v>
      </c>
      <c r="O6" s="13">
        <f t="shared" si="2"/>
        <v>1629.23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13913.02</v>
      </c>
      <c r="AZ6" s="13" t="s">
        <v>2</v>
      </c>
      <c r="BA6" s="13">
        <f>ROUND($AY$6*BA5/$AZ$5,2)</f>
        <v>13913.02</v>
      </c>
      <c r="BB6" s="13">
        <f>ROUND($AY$6*BB5/$AZ$5,2)</f>
        <v>6119.85</v>
      </c>
      <c r="BC6" s="13">
        <f t="shared" ref="BC6:BH6" si="4">ROUND($AY$6*BC5/$AZ$5,2)</f>
        <v>379.09</v>
      </c>
      <c r="BD6" s="13">
        <f t="shared" si="4"/>
        <v>5784.85</v>
      </c>
      <c r="BE6" s="13">
        <f t="shared" si="4"/>
        <v>1629.23</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3384</v>
      </c>
      <c r="J9" s="808"/>
      <c r="K9" s="1602" t="s">
        <v>3387</v>
      </c>
      <c r="L9" s="808"/>
      <c r="M9" s="1602" t="s">
        <v>3387</v>
      </c>
      <c r="N9" s="808"/>
      <c r="O9" s="1602" t="s">
        <v>3387</v>
      </c>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3385</v>
      </c>
      <c r="J10" s="808"/>
      <c r="K10" s="1608" t="s">
        <v>673</v>
      </c>
      <c r="L10" s="808"/>
      <c r="M10" s="1608" t="s">
        <v>3335</v>
      </c>
      <c r="N10" s="808"/>
      <c r="O10" s="1608" t="s">
        <v>3336</v>
      </c>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3386</v>
      </c>
      <c r="J11" s="1614"/>
      <c r="K11" s="1613" t="s">
        <v>3390</v>
      </c>
      <c r="L11" s="1614"/>
      <c r="M11" s="1613" t="s">
        <v>3335</v>
      </c>
      <c r="N11" s="1614"/>
      <c r="O11" s="1613" t="s">
        <v>3391</v>
      </c>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t="str">
        <f>K10</f>
        <v>商业</v>
      </c>
      <c r="BD11" s="1598" t="str">
        <f>M10</f>
        <v>车库</v>
      </c>
      <c r="BE11" s="1598" t="str">
        <f>O10</f>
        <v>仓储</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平层住宅</v>
      </c>
      <c r="BC12" s="1623" t="str">
        <f>K11</f>
        <v>底商</v>
      </c>
      <c r="BD12" s="1623" t="str">
        <f>M11</f>
        <v>车库</v>
      </c>
      <c r="BE12" s="1598" t="str">
        <f>O11</f>
        <v>戊类库房</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3447" t="s">
        <v>3388</v>
      </c>
      <c r="B13" s="3447" t="s">
        <v>3389</v>
      </c>
      <c r="C13" s="1050"/>
      <c r="D13" s="1624" t="s">
        <v>3381</v>
      </c>
      <c r="E13" s="13">
        <f>IF($C$3="是",ROUND($A$3*G13/$B$3,2),ROUND($A$3*(G13-AT13)/$B$3,2))</f>
        <v>13913.02</v>
      </c>
      <c r="F13" s="29"/>
      <c r="G13" s="30">
        <f>H13+AC13+AT13</f>
        <v>54229.759999999966</v>
      </c>
      <c r="H13" s="17">
        <f>SUMIF(I$12:AB$12,"总值",I13:AB13)</f>
        <v>54229.759999999966</v>
      </c>
      <c r="I13" s="1625">
        <v>23853.78</v>
      </c>
      <c r="J13" s="1625"/>
      <c r="K13" s="1625">
        <v>1477.62</v>
      </c>
      <c r="L13" s="1625"/>
      <c r="M13" s="1625">
        <v>22548.009999999973</v>
      </c>
      <c r="N13" s="1625"/>
      <c r="O13" s="1625">
        <v>6350.3499999999931</v>
      </c>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t="str">
        <f t="shared" ref="AV13:AX17" si="6">A13</f>
        <v>总土地面积</v>
      </c>
      <c r="AW13" s="8" t="str">
        <f t="shared" si="6"/>
        <v>总建筑面积</v>
      </c>
      <c r="AX13" s="8">
        <f t="shared" si="6"/>
        <v>0</v>
      </c>
      <c r="AY13" s="1348">
        <f>ROUND($AY$6*AZ13/$AZ$5,2)</f>
        <v>13913.02</v>
      </c>
      <c r="AZ13" s="13">
        <f>BA13+BL13</f>
        <v>54229.759999999966</v>
      </c>
      <c r="BA13" s="13">
        <f>SUM(BB13:BK13)</f>
        <v>54229.759999999966</v>
      </c>
      <c r="BB13" s="13">
        <f>IF($D13="是",I13-J13,0)</f>
        <v>23853.78</v>
      </c>
      <c r="BC13" s="13">
        <f>IF($D13="是",K13-L13,0)</f>
        <v>1477.62</v>
      </c>
      <c r="BD13" s="13">
        <f>IF($D13="是",M13-N13,0)</f>
        <v>22548.009999999973</v>
      </c>
      <c r="BE13" s="13">
        <f>IF($D13="是",O13-P13,0)</f>
        <v>6350.3499999999931</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v>31537.81</v>
      </c>
      <c r="B14" s="1050">
        <v>122927.12</v>
      </c>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31537.81</v>
      </c>
      <c r="AW14" s="8">
        <f t="shared" si="6"/>
        <v>122927.12</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v>2.8</v>
      </c>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2.8</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43" sqref="C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77" t="s">
        <v>1130</v>
      </c>
      <c r="B2" s="3577"/>
      <c r="C2" s="3577"/>
      <c r="D2" s="795" t="s">
        <v>1106</v>
      </c>
      <c r="E2" s="1638" t="s">
        <v>1107</v>
      </c>
      <c r="F2" s="2655"/>
      <c r="G2" s="2646"/>
      <c r="H2" s="2647"/>
      <c r="I2" s="2323" t="s">
        <v>1131</v>
      </c>
      <c r="J2" s="2655"/>
      <c r="K2" s="2655"/>
      <c r="L2" s="2655"/>
      <c r="M2" s="2655"/>
      <c r="N2" s="2657"/>
      <c r="O2" s="2655"/>
      <c r="P2" s="2655"/>
    </row>
    <row r="3" spans="1:16" ht="15.75" thickBot="1">
      <c r="A3" s="3578" t="s">
        <v>1104</v>
      </c>
      <c r="B3" s="3578"/>
      <c r="C3" s="3578"/>
      <c r="D3" s="43">
        <f>'数据-基础表'!AY6</f>
        <v>13913.02</v>
      </c>
      <c r="E3" s="43">
        <f>'数据-基础表'!AZ5</f>
        <v>54229.759999999966</v>
      </c>
      <c r="F3" s="2655"/>
      <c r="G3" s="1144"/>
      <c r="H3" s="1025" t="s">
        <v>1105</v>
      </c>
      <c r="I3" s="854">
        <f>ROUND('数据-基础表'!B3/'数据-基础表'!A3,2)</f>
        <v>3.9</v>
      </c>
      <c r="J3" s="2655"/>
      <c r="K3" s="2655"/>
      <c r="L3" s="2655"/>
      <c r="M3" s="2655"/>
      <c r="N3" s="2657"/>
      <c r="O3" s="2655"/>
      <c r="P3" s="2655"/>
    </row>
    <row r="4" spans="1:16" ht="15">
      <c r="A4" s="3579"/>
      <c r="B4" s="3580"/>
      <c r="C4" s="3581"/>
      <c r="D4" s="1640" t="s">
        <v>1106</v>
      </c>
      <c r="E4" s="1641" t="s">
        <v>1107</v>
      </c>
      <c r="F4" s="2655"/>
      <c r="G4" s="2648" t="s">
        <v>1132</v>
      </c>
      <c r="H4" s="1025" t="s">
        <v>1112</v>
      </c>
      <c r="I4" s="854">
        <f>ROUND(SUMIF('数据-基础表'!I9:AS9,"地上",'数据-基础表'!I5:AS5)/'数据-基础表'!A3,2)</f>
        <v>1.71</v>
      </c>
      <c r="J4" s="2655"/>
      <c r="K4" s="2655"/>
      <c r="L4" s="2655"/>
      <c r="M4" s="2655"/>
      <c r="N4" s="2657"/>
      <c r="O4" s="2655"/>
      <c r="P4" s="2655"/>
    </row>
    <row r="5" spans="1:16">
      <c r="A5" s="44" t="s">
        <v>1108</v>
      </c>
      <c r="B5" s="3582" t="s">
        <v>1109</v>
      </c>
      <c r="C5" s="3582"/>
      <c r="D5" s="45">
        <f>ROUND($D$3*E5/$E$3,2)</f>
        <v>6119.85</v>
      </c>
      <c r="E5" s="46">
        <f>SUMIF('数据-基础表'!$11:$11,"住宅",'数据-基础表'!$5:$5)</f>
        <v>23853.78</v>
      </c>
      <c r="F5" s="2655"/>
      <c r="G5" s="1144"/>
      <c r="H5" s="1025" t="s">
        <v>1105</v>
      </c>
      <c r="I5" s="854">
        <f>ROUND(E31/D31,2)</f>
        <v>3.9</v>
      </c>
      <c r="J5" s="2655"/>
      <c r="K5" s="2655"/>
      <c r="L5" s="2655"/>
      <c r="M5" s="2655"/>
      <c r="N5" s="2655"/>
      <c r="O5" s="2655"/>
      <c r="P5" s="2655"/>
    </row>
    <row r="6" spans="1:16" ht="15" thickBot="1">
      <c r="A6" s="1643"/>
      <c r="B6" s="3582" t="s">
        <v>1110</v>
      </c>
      <c r="C6" s="3582"/>
      <c r="D6" s="45">
        <f>ROUND($D$3*E6/$E$3,2)</f>
        <v>7793.17</v>
      </c>
      <c r="E6" s="46">
        <f>E3-E5</f>
        <v>30375.979999999967</v>
      </c>
      <c r="F6" s="2655"/>
      <c r="G6" s="2649" t="s">
        <v>1111</v>
      </c>
      <c r="H6" s="1145" t="s">
        <v>1112</v>
      </c>
      <c r="I6" s="2650">
        <f>ROUND(F31/D31,2)</f>
        <v>1.71</v>
      </c>
      <c r="J6" s="2655"/>
      <c r="K6" s="2655"/>
      <c r="L6" s="2655"/>
      <c r="M6" s="2655"/>
      <c r="N6" s="2655"/>
      <c r="O6" s="2655"/>
      <c r="P6" s="2655"/>
    </row>
    <row r="7" spans="1:16" ht="15.75" thickBot="1">
      <c r="A7" s="3574"/>
      <c r="B7" s="3575"/>
      <c r="C7" s="3576"/>
      <c r="D7" s="1640" t="s">
        <v>1106</v>
      </c>
      <c r="E7" s="1644" t="s">
        <v>1113</v>
      </c>
      <c r="F7" s="2655"/>
      <c r="G7" s="2651" t="s">
        <v>1114</v>
      </c>
      <c r="H7" s="2652"/>
      <c r="I7" s="2653">
        <f>'数据-基础表'!A16</f>
        <v>2.8</v>
      </c>
      <c r="J7" s="2655"/>
      <c r="K7" s="2655"/>
      <c r="L7" s="2655"/>
      <c r="M7" s="2655"/>
      <c r="N7" s="2655"/>
      <c r="O7" s="2655"/>
      <c r="P7" s="2655"/>
    </row>
    <row r="8" spans="1:16">
      <c r="A8" s="44" t="s">
        <v>1115</v>
      </c>
      <c r="B8" s="47" t="s">
        <v>1116</v>
      </c>
      <c r="C8" s="45" t="s">
        <v>1117</v>
      </c>
      <c r="D8" s="45">
        <f t="shared" ref="D8:D15" si="0">ROUND($D$3*E8/$E$3,2)</f>
        <v>6119.85</v>
      </c>
      <c r="E8" s="48">
        <f>SUMIF('数据-基础表'!BB10:BK10,"地上",'数据-基础表'!BB5:BK5)</f>
        <v>23853.78</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379.09</v>
      </c>
      <c r="E10" s="48">
        <f>SUMPRODUCT(('数据-基础表'!BB10:BK10="地下")*('数据-基础表'!BB11:BK11="商业")*('数据-基础表'!BB5:BK5))</f>
        <v>1477.62</v>
      </c>
      <c r="F10" s="2655"/>
      <c r="G10" s="2656"/>
      <c r="H10" s="2656"/>
      <c r="I10" s="2655"/>
      <c r="J10" s="2655"/>
      <c r="K10" s="2655"/>
      <c r="L10" s="2655"/>
      <c r="M10" s="2655"/>
      <c r="N10" s="2655"/>
      <c r="O10" s="2655"/>
      <c r="P10" s="2655"/>
    </row>
    <row r="11" spans="1:16">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1120</v>
      </c>
      <c r="D12" s="45">
        <f t="shared" si="0"/>
        <v>1629.23</v>
      </c>
      <c r="E12" s="48">
        <f>SUMPRODUCT(('数据-基础表'!BB10:BK10="地下")*('数据-基础表'!BB11:BK11="仓储")*('数据-基础表'!BB5:BK5))</f>
        <v>6350.3499999999931</v>
      </c>
      <c r="F12" s="2655"/>
      <c r="G12" s="2656"/>
      <c r="H12" s="2656"/>
      <c r="I12" s="2655"/>
      <c r="J12" s="2655"/>
      <c r="K12" s="2655"/>
      <c r="L12" s="2655"/>
      <c r="M12" s="2655"/>
      <c r="N12" s="2655"/>
      <c r="O12" s="2655"/>
      <c r="P12" s="2655"/>
    </row>
    <row r="13" spans="1:16">
      <c r="A13" s="1645"/>
      <c r="B13" s="1646"/>
      <c r="C13" s="45" t="s">
        <v>1121</v>
      </c>
      <c r="D13" s="45">
        <f t="shared" si="0"/>
        <v>5784.85</v>
      </c>
      <c r="E13" s="48">
        <f>SUMPRODUCT(('数据-基础表'!BB10:BK10="地下")*('数据-基础表'!BB11:BK11="车库")*('数据-基础表'!BB5:BK5))</f>
        <v>22548.009999999973</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13913.02</v>
      </c>
      <c r="E16" s="50">
        <f>SUM(E8:E15)</f>
        <v>54229.759999999966</v>
      </c>
      <c r="F16" s="2655"/>
      <c r="G16" s="2656"/>
      <c r="H16" s="1647" t="s">
        <v>1134</v>
      </c>
      <c r="I16" s="1648"/>
      <c r="J16" s="1138"/>
      <c r="K16" s="3571" t="s">
        <v>1134</v>
      </c>
      <c r="L16" s="3572"/>
      <c r="M16" s="3572"/>
      <c r="N16" s="3572"/>
      <c r="O16" s="3572"/>
      <c r="P16" s="3573"/>
    </row>
    <row r="17" spans="1:19" ht="15">
      <c r="A17" s="1649" t="s">
        <v>1135</v>
      </c>
      <c r="B17" s="1650" t="s">
        <v>1136</v>
      </c>
      <c r="C17" s="1651" t="s">
        <v>1137</v>
      </c>
      <c r="D17" s="1652" t="s">
        <v>1125</v>
      </c>
      <c r="E17" s="1653" t="s">
        <v>1126</v>
      </c>
      <c r="F17" s="1654"/>
      <c r="G17" s="1655"/>
      <c r="H17" s="1656" t="s">
        <v>1138</v>
      </c>
      <c r="I17" s="1657" t="s">
        <v>1123</v>
      </c>
      <c r="J17" s="1138"/>
      <c r="K17" s="3568" t="s">
        <v>1139</v>
      </c>
      <c r="L17" s="3569"/>
      <c r="M17" s="3570"/>
      <c r="N17" s="3568" t="s">
        <v>1140</v>
      </c>
      <c r="O17" s="3569"/>
      <c r="P17" s="3570"/>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3" t="s">
        <v>3392</v>
      </c>
      <c r="D19" s="45">
        <f>ROUND($D$3*E19/$E$3,2)</f>
        <v>6119.85</v>
      </c>
      <c r="E19" s="53">
        <f t="shared" ref="E19:E26" si="1">SUM(F19:G19)</f>
        <v>23853.78</v>
      </c>
      <c r="F19" s="2791">
        <f>'数据-基础表'!I5</f>
        <v>23853.78</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6119.85</v>
      </c>
      <c r="S19" s="1026">
        <f t="shared" si="5"/>
        <v>23853.78</v>
      </c>
    </row>
    <row r="20" spans="1:19">
      <c r="A20" s="1669"/>
      <c r="B20" s="47" t="s">
        <v>1152</v>
      </c>
      <c r="C20" s="3413" t="s">
        <v>3394</v>
      </c>
      <c r="D20" s="45">
        <f t="shared" ref="D20:D26" si="6">ROUND($D$3*E20/$E$3,2)</f>
        <v>379.09</v>
      </c>
      <c r="E20" s="53">
        <f t="shared" si="1"/>
        <v>1477.62</v>
      </c>
      <c r="F20" s="2791"/>
      <c r="G20" s="2791">
        <f>'数据-基础表'!K5</f>
        <v>1477.62</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379.09</v>
      </c>
      <c r="S20" s="1026">
        <f t="shared" si="5"/>
        <v>1477.62</v>
      </c>
    </row>
    <row r="21" spans="1:19">
      <c r="A21" s="1669"/>
      <c r="B21" s="47" t="s">
        <v>1152</v>
      </c>
      <c r="C21" s="3413" t="s">
        <v>3396</v>
      </c>
      <c r="D21" s="45">
        <f t="shared" si="6"/>
        <v>5784.85</v>
      </c>
      <c r="E21" s="53">
        <f t="shared" si="1"/>
        <v>22548.009999999973</v>
      </c>
      <c r="F21" s="2791"/>
      <c r="G21" s="2791">
        <f>'数据-基础表'!M5</f>
        <v>22548.009999999973</v>
      </c>
      <c r="H21" s="669">
        <f t="shared" si="7"/>
        <v>0</v>
      </c>
      <c r="I21" s="48">
        <f t="shared" si="2"/>
        <v>0</v>
      </c>
      <c r="J21" s="1138"/>
      <c r="K21" s="1137">
        <f t="shared" si="3"/>
        <v>0</v>
      </c>
      <c r="L21" s="1025">
        <f t="shared" si="4"/>
        <v>0</v>
      </c>
      <c r="M21" s="1149">
        <f t="shared" si="8"/>
        <v>0</v>
      </c>
      <c r="N21" s="1667"/>
      <c r="O21" s="1668"/>
      <c r="P21" s="1149">
        <f t="shared" si="9"/>
        <v>0</v>
      </c>
      <c r="R21" s="1025">
        <f t="shared" si="5"/>
        <v>5784.85</v>
      </c>
      <c r="S21" s="1026">
        <f t="shared" si="5"/>
        <v>22548.009999999973</v>
      </c>
    </row>
    <row r="22" spans="1:19">
      <c r="A22" s="1669"/>
      <c r="B22" s="47" t="s">
        <v>1152</v>
      </c>
      <c r="C22" s="3413" t="s">
        <v>3398</v>
      </c>
      <c r="D22" s="45">
        <f t="shared" si="6"/>
        <v>1629.23</v>
      </c>
      <c r="E22" s="53">
        <f t="shared" si="1"/>
        <v>6350.3499999999931</v>
      </c>
      <c r="F22" s="2793"/>
      <c r="G22" s="2791">
        <f>'数据-基础表'!O5</f>
        <v>6350.3499999999931</v>
      </c>
      <c r="H22" s="669">
        <f t="shared" si="7"/>
        <v>0</v>
      </c>
      <c r="I22" s="48">
        <f t="shared" si="2"/>
        <v>0</v>
      </c>
      <c r="J22" s="1138"/>
      <c r="K22" s="1137">
        <f t="shared" si="3"/>
        <v>0</v>
      </c>
      <c r="L22" s="1025">
        <f t="shared" si="4"/>
        <v>0</v>
      </c>
      <c r="M22" s="1149">
        <f t="shared" si="8"/>
        <v>0</v>
      </c>
      <c r="N22" s="1667"/>
      <c r="O22" s="1668"/>
      <c r="P22" s="1149">
        <f t="shared" si="9"/>
        <v>0</v>
      </c>
      <c r="R22" s="1025">
        <f t="shared" si="5"/>
        <v>1629.23</v>
      </c>
      <c r="S22" s="1026">
        <f t="shared" si="5"/>
        <v>6350.3499999999931</v>
      </c>
    </row>
    <row r="23" spans="1:19">
      <c r="A23" s="1669"/>
      <c r="B23" s="47" t="s">
        <v>1152</v>
      </c>
      <c r="C23" s="3414"/>
      <c r="D23" s="45">
        <f>ROUND($D$3*E23/$E$3,2)</f>
        <v>0</v>
      </c>
      <c r="E23" s="53">
        <f>SUM(F23:G23)</f>
        <v>0</v>
      </c>
      <c r="F23" s="2793"/>
      <c r="G23" s="2791"/>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13913.02</v>
      </c>
      <c r="E27" s="1140">
        <f>IF(SUM(E19:E26)='数据-基础表'!BA5,SUM(E19:E26),IF(F27="地上面积有误","面积有误","地下面积有误"))</f>
        <v>54229.759999999966</v>
      </c>
      <c r="F27" s="1139">
        <f>IF(SUM(F19:F26)=E8,SUM(F19:F26),"地上面积有误")</f>
        <v>23853.78</v>
      </c>
      <c r="G27" s="1141">
        <f>SUM(G19:G26)</f>
        <v>30375.979999999967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13913.02</v>
      </c>
      <c r="S27" s="1025">
        <f>IF(SUM(S19:S26)=$E$3,SUM(S19:S26),SUM(S19:S26)&amp;"误差"&amp;ROUND(SUM(S19:S26)-E3,2))</f>
        <v>54229.759999999966</v>
      </c>
    </row>
    <row r="28" spans="1:19">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1157</v>
      </c>
      <c r="D31" s="675">
        <f>D27+D30</f>
        <v>13913.02</v>
      </c>
      <c r="E31" s="675">
        <f>E27+E30</f>
        <v>54229.759999999966</v>
      </c>
      <c r="F31" s="676">
        <f>F27+F30</f>
        <v>23853.78</v>
      </c>
      <c r="G31" s="677">
        <f>G27+G30</f>
        <v>30375.979999999967</v>
      </c>
      <c r="H31" s="2655"/>
      <c r="I31" s="2655"/>
      <c r="J31" s="2655"/>
      <c r="K31" s="2655"/>
      <c r="L31" s="2655"/>
      <c r="M31" s="2655"/>
      <c r="N31" s="2655"/>
      <c r="O31" s="2655"/>
      <c r="P31" s="2655"/>
    </row>
    <row r="32" spans="1:19">
      <c r="A32" s="1642"/>
      <c r="B32" s="1642" t="s">
        <v>1158</v>
      </c>
      <c r="C32" s="1642"/>
      <c r="D32" s="1642"/>
      <c r="E32" s="1052">
        <f>SUMIF(C19:C26,"*住宅*",E19:E26)</f>
        <v>23853.78</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9"/>
  <sheetViews>
    <sheetView workbookViewId="0">
      <selection activeCell="F34" sqref="F34"/>
    </sheetView>
  </sheetViews>
  <sheetFormatPr defaultRowHeight="13.5"/>
  <cols>
    <col min="1" max="1" width="9" style="3449"/>
    <col min="2" max="2" width="10.25" style="3449" customWidth="1"/>
    <col min="3" max="5" width="9" style="3449"/>
    <col min="6" max="6" width="14.25" style="3449" customWidth="1"/>
    <col min="7" max="16384" width="9" style="3449"/>
  </cols>
  <sheetData>
    <row r="1" spans="2:6">
      <c r="C1" s="3450" t="s">
        <v>3407</v>
      </c>
      <c r="D1" s="3450" t="s">
        <v>3415</v>
      </c>
      <c r="E1" s="3450" t="s">
        <v>3408</v>
      </c>
      <c r="F1" s="3450"/>
    </row>
    <row r="2" spans="2:6">
      <c r="B2" s="3448" t="s">
        <v>3400</v>
      </c>
      <c r="C2" s="3448">
        <v>9314.83</v>
      </c>
      <c r="D2" s="3448" t="s">
        <v>3416</v>
      </c>
      <c r="E2" s="3448" t="s">
        <v>3409</v>
      </c>
      <c r="F2" s="3451">
        <f>20%+10/20*35%</f>
        <v>0.375</v>
      </c>
    </row>
    <row r="3" spans="2:6">
      <c r="B3" s="3448" t="s">
        <v>3401</v>
      </c>
      <c r="C3" s="3448">
        <v>12340.1</v>
      </c>
      <c r="D3" s="3448" t="s">
        <v>3418</v>
      </c>
      <c r="E3" s="3448" t="s">
        <v>3410</v>
      </c>
      <c r="F3" s="3451">
        <f>20%+12/27*35%</f>
        <v>0.35555555555555551</v>
      </c>
    </row>
    <row r="4" spans="2:6">
      <c r="B4" s="3448" t="s">
        <v>3402</v>
      </c>
      <c r="C4" s="3448">
        <v>22796.58</v>
      </c>
      <c r="D4" s="3448" t="s">
        <v>3419</v>
      </c>
      <c r="E4" s="3448" t="s">
        <v>3410</v>
      </c>
      <c r="F4" s="3451">
        <f>20%+12/24*35%</f>
        <v>0.375</v>
      </c>
    </row>
    <row r="5" spans="2:6">
      <c r="B5" s="3448" t="s">
        <v>3403</v>
      </c>
      <c r="C5" s="3448">
        <v>12843.83</v>
      </c>
      <c r="D5" s="3448" t="s">
        <v>3418</v>
      </c>
      <c r="E5" s="3448" t="s">
        <v>3411</v>
      </c>
      <c r="F5" s="3452">
        <f>20%+17/27*35%</f>
        <v>0.42037037037037039</v>
      </c>
    </row>
    <row r="6" spans="2:6">
      <c r="B6" s="3448" t="s">
        <v>3404</v>
      </c>
      <c r="C6" s="3448">
        <v>25366.37</v>
      </c>
      <c r="D6" s="3448" t="s">
        <v>3418</v>
      </c>
      <c r="E6" s="3448" t="s">
        <v>3412</v>
      </c>
      <c r="F6" s="3452">
        <f>20%+14/27*35%</f>
        <v>0.38148148148148148</v>
      </c>
    </row>
    <row r="7" spans="2:6">
      <c r="B7" s="3448" t="s">
        <v>3405</v>
      </c>
      <c r="C7" s="3448">
        <v>12843.84</v>
      </c>
      <c r="D7" s="3448" t="s">
        <v>3418</v>
      </c>
      <c r="E7" s="3448" t="s">
        <v>3413</v>
      </c>
      <c r="F7" s="3452">
        <f>20%+18/27*35%</f>
        <v>0.43333333333333335</v>
      </c>
    </row>
    <row r="8" spans="2:6">
      <c r="B8" s="3448" t="s">
        <v>3406</v>
      </c>
      <c r="C8" s="3448">
        <v>27421.569999999996</v>
      </c>
      <c r="D8" s="3448" t="s">
        <v>3417</v>
      </c>
      <c r="E8" s="3448" t="s">
        <v>3414</v>
      </c>
      <c r="F8" s="3453">
        <v>0.6</v>
      </c>
    </row>
    <row r="9" spans="2:6">
      <c r="B9" s="3448"/>
      <c r="C9" s="3448">
        <f>SUM(C2:C8)</f>
        <v>122927.12</v>
      </c>
      <c r="D9" s="3448"/>
      <c r="E9" s="3448"/>
      <c r="F9" s="3452">
        <f>ROUND(SUMPRODUCT(F2:F7,C2:C7)/(C9-C8),3)</f>
        <v>0.38800000000000001</v>
      </c>
    </row>
  </sheetData>
  <phoneticPr fontId="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8.375" style="1681" customWidth="1"/>
    <col min="26" max="30" width="6.75" style="1681" customWidth="1"/>
    <col min="31" max="31" width="8" style="1681" customWidth="1"/>
    <col min="32" max="33" width="7.25" style="1681" customWidth="1"/>
    <col min="34" max="34" width="11.1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4">
        <f>项目基本情况!D3</f>
        <v>45009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0.5">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3399</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3385</v>
      </c>
      <c r="D6" s="857">
        <f>SUMIF(项目基本情况!C$12:I$12,C6,项目基本情况!C$14:I$14)</f>
        <v>70</v>
      </c>
      <c r="E6" s="856">
        <f>IF(B6="","",SUMIF(项目基本情况!C$12:I$12,C6,项目基本情况!C$13:I$13))</f>
        <v>69906</v>
      </c>
      <c r="F6" s="64">
        <f>SUMIF(项目基本情况!C$12:I$12,C6,项目基本情况!C$15:I$15)</f>
        <v>68.209999999999994</v>
      </c>
      <c r="G6" s="65">
        <f>IF(ISERROR(ROUND(POWER(1+H6,D6-F6)*(POWER(1+H6,F6)-1)/(POWER(1+H6,D6)-1),3)),0,ROUND(POWER(1+H6,D6-F6)*(POWER(1+H6,F6)-1)/(POWER(1+H6,D6)-1),3))</f>
        <v>0.995</v>
      </c>
      <c r="H6" s="731">
        <v>0.04</v>
      </c>
      <c r="I6" s="731">
        <v>4.4999999999999998E-2</v>
      </c>
      <c r="J6" s="66">
        <v>0.08</v>
      </c>
      <c r="K6" s="1029">
        <f>SUMIF('数据-汇总表'!C$19:C$33,A6,'数据-汇总表'!E$19:E$33)</f>
        <v>23853.78</v>
      </c>
      <c r="L6" s="732">
        <v>4200</v>
      </c>
      <c r="M6" s="67">
        <f t="shared" ref="M6:M14" si="0">ROUND(K6*L6/10000,0)</f>
        <v>10019</v>
      </c>
      <c r="N6" s="730">
        <f>Sheet1!F9</f>
        <v>0.38800000000000001</v>
      </c>
      <c r="O6" s="67">
        <f>IF($N$5="成新度","——",ROUND(M6*N6,0))</f>
        <v>3887</v>
      </c>
      <c r="P6" s="68">
        <f>IF($N$5="成新度","——",M6-O6)</f>
        <v>6132</v>
      </c>
      <c r="Q6" s="733">
        <v>0.15</v>
      </c>
      <c r="R6" s="69">
        <f ca="1">SUMIF('数据-汇总表'!C$19:C$33,A6,'数据-汇总表'!R$19:R$27)</f>
        <v>6119.85</v>
      </c>
      <c r="S6" s="51">
        <f>IF('数据-汇总表'!$I$17="按面积比例",SUMIF('数据-汇总表'!C$19:C$33,A6,'数据-汇总表'!K$19:K$33),SUMIF('数据-汇总表'!C$19:C$33,A6,'数据-汇总表'!N$19:N$33))</f>
        <v>0</v>
      </c>
      <c r="T6" s="1171">
        <f>ROUND($L$14*S6/10000,0)</f>
        <v>0</v>
      </c>
      <c r="U6" s="3424"/>
      <c r="V6" s="70"/>
      <c r="W6" s="70"/>
      <c r="X6" s="1039"/>
      <c r="Y6" s="71"/>
      <c r="Z6" s="72"/>
      <c r="AA6" s="66"/>
      <c r="AB6" s="66"/>
      <c r="AC6" s="1039"/>
      <c r="AD6" s="73"/>
      <c r="AE6" s="1040">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100185876</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地下商业</v>
      </c>
      <c r="B7" s="1712" t="str">
        <f t="shared" ref="B7:B13" si="1">IF(A7=0,"","经营性")</f>
        <v>经营性</v>
      </c>
      <c r="C7" s="1713" t="s">
        <v>673</v>
      </c>
      <c r="D7" s="857">
        <f>SUMIF(项目基本情况!C$12:I$12,C7,项目基本情况!C$14:I$14)</f>
        <v>40</v>
      </c>
      <c r="E7" s="856">
        <f>IF(B7="","",SUMIF(项目基本情况!C$12:I$12,C7,项目基本情况!C$13:I$13))</f>
        <v>58949</v>
      </c>
      <c r="F7" s="64">
        <f>SUMIF(项目基本情况!C$12:I$12,C7,项目基本情况!C$15:I$15)</f>
        <v>38.19</v>
      </c>
      <c r="G7" s="65">
        <f t="shared" ref="G7:G11" si="2">IF(ISERROR(ROUND(POWER(1+H7,D7-F7)*(POWER(1+H7,F7)-1)/(POWER(1+H7,D7)-1),3)),0,ROUND(POWER(1+H7,D7-F7)*(POWER(1+H7,F7)-1)/(POWER(1+H7,D7)-1),3))</f>
        <v>0.98299999999999998</v>
      </c>
      <c r="H7" s="731">
        <v>4.4999999999999998E-2</v>
      </c>
      <c r="I7" s="731">
        <v>0.05</v>
      </c>
      <c r="J7" s="66">
        <v>8.5000000000000006E-2</v>
      </c>
      <c r="K7" s="1029">
        <f>SUMIF('数据-汇总表'!C$19:C$33,A7,'数据-汇总表'!E$19:E$33)</f>
        <v>1477.62</v>
      </c>
      <c r="L7" s="732">
        <v>3500</v>
      </c>
      <c r="M7" s="67">
        <f t="shared" si="0"/>
        <v>517</v>
      </c>
      <c r="N7" s="730">
        <f>Sheet1!F8</f>
        <v>0.6</v>
      </c>
      <c r="O7" s="67">
        <f t="shared" ref="O7:O14" si="3">IF($N$5="成新度","——",ROUND(M7*N7,0))</f>
        <v>310</v>
      </c>
      <c r="P7" s="68">
        <f t="shared" ref="P7:P14" si="4">IF($N$5="成新度","——",M7-O7)</f>
        <v>207</v>
      </c>
      <c r="Q7" s="733">
        <v>0.1</v>
      </c>
      <c r="R7" s="69">
        <f ca="1">SUMIF('数据-汇总表'!C$19:C$33,A7,'数据-汇总表'!R$19:R$27)</f>
        <v>379.09</v>
      </c>
      <c r="S7" s="51">
        <f>IF('数据-汇总表'!$I$17="按面积比例",SUMIF('数据-汇总表'!C$19:C$33,A7,'数据-汇总表'!K$19:K$33),SUMIF('数据-汇总表'!C$19:C$33,A7,'数据-汇总表'!N$19:N$33))</f>
        <v>0</v>
      </c>
      <c r="T7" s="1171">
        <f t="shared" ref="T7:T13" si="5">ROUND($L$14*S7/10000,0)</f>
        <v>0</v>
      </c>
      <c r="U7" s="3478">
        <v>2.5</v>
      </c>
      <c r="V7" s="70">
        <v>2.5000000000000001E-2</v>
      </c>
      <c r="W7" s="70">
        <v>0.1</v>
      </c>
      <c r="X7" s="1039"/>
      <c r="Y7" s="71">
        <v>1</v>
      </c>
      <c r="Z7" s="72"/>
      <c r="AA7" s="66"/>
      <c r="AB7" s="66"/>
      <c r="AC7" s="1039"/>
      <c r="AD7" s="73"/>
      <c r="AE7" s="1040">
        <f t="shared" ref="AE7:AE13" ca="1" si="6">IF(AN7="",0,SUMIF(INDIRECT("'"&amp;AN7&amp;"'"&amp;"!E:E"),$AE$5,INDIRECT("'"&amp;AN7&amp;"'"&amp;"!F:F")))</f>
        <v>36.932499999999997</v>
      </c>
      <c r="AF7" s="1347"/>
      <c r="AG7" s="138">
        <f t="shared" ref="AG7:AG13" si="7">IF(AF7="",0,AE7-AF7)</f>
        <v>0</v>
      </c>
      <c r="AH7" s="3479">
        <f>K7</f>
        <v>1477.62</v>
      </c>
      <c r="AI7" s="76">
        <v>365</v>
      </c>
      <c r="AJ7" s="77"/>
      <c r="AK7" s="78">
        <v>0.01</v>
      </c>
      <c r="AL7" s="79">
        <v>1E-3</v>
      </c>
      <c r="AM7" s="3480">
        <v>0.01</v>
      </c>
      <c r="AN7" s="1714" t="s">
        <v>3472</v>
      </c>
      <c r="AO7" s="52">
        <f t="shared" ref="AO7:AO13" ca="1" si="8">SUMIF(INDIRECT("'"&amp;AN7&amp;"'"&amp;"!A:A"),"总价",INDIRECT("'"&amp;AN7&amp;"'"&amp;"!B:B"))</f>
        <v>2169</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3335</v>
      </c>
      <c r="D8" s="857">
        <f>SUMIF(项目基本情况!C$12:I$12,C8,项目基本情况!C$14:I$14)</f>
        <v>50</v>
      </c>
      <c r="E8" s="856">
        <f>IF(B8="","",SUMIF(项目基本情况!C$12:I$12,C8,项目基本情况!C$13:I$13))</f>
        <v>62601</v>
      </c>
      <c r="F8" s="64">
        <f>SUMIF(项目基本情况!C$12:I$12,C8,项目基本情况!C$15:I$15)</f>
        <v>48.19</v>
      </c>
      <c r="G8" s="65">
        <f t="shared" si="2"/>
        <v>0.99</v>
      </c>
      <c r="H8" s="731">
        <v>4.4999999999999998E-2</v>
      </c>
      <c r="I8" s="731">
        <v>0.05</v>
      </c>
      <c r="J8" s="66">
        <v>8.5000000000000006E-2</v>
      </c>
      <c r="K8" s="1029">
        <f>SUMIF('数据-汇总表'!C$19:C$33,A8,'数据-汇总表'!E$19:E$33)</f>
        <v>22548.009999999973</v>
      </c>
      <c r="L8" s="732">
        <f>L7</f>
        <v>3500</v>
      </c>
      <c r="M8" s="67">
        <f>ROUND(K8*L8/10000,0)</f>
        <v>7892</v>
      </c>
      <c r="N8" s="730">
        <f>N7</f>
        <v>0.6</v>
      </c>
      <c r="O8" s="67">
        <f t="shared" si="3"/>
        <v>4735</v>
      </c>
      <c r="P8" s="68">
        <f t="shared" si="4"/>
        <v>3157</v>
      </c>
      <c r="Q8" s="733">
        <v>0.05</v>
      </c>
      <c r="R8" s="69">
        <f ca="1">SUMIF('数据-汇总表'!C$19:C$33,A8,'数据-汇总表'!R$19:R$27)</f>
        <v>5784.85</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t="str">
        <f>'数据-汇总表'!C22</f>
        <v>地下仓储</v>
      </c>
      <c r="B9" s="1712" t="str">
        <f t="shared" si="1"/>
        <v>经营性</v>
      </c>
      <c r="C9" s="1713" t="s">
        <v>3336</v>
      </c>
      <c r="D9" s="857">
        <f>SUMIF(项目基本情况!C$12:I$12,C9,项目基本情况!C$14:I$14)</f>
        <v>50</v>
      </c>
      <c r="E9" s="856">
        <f>IF(B9="","",SUMIF(项目基本情况!C$12:I$12,C9,项目基本情况!C$13:I$13))</f>
        <v>62601</v>
      </c>
      <c r="F9" s="64">
        <f>SUMIF(项目基本情况!C$12:I$12,C9,项目基本情况!C$15:I$15)</f>
        <v>48.19</v>
      </c>
      <c r="G9" s="65">
        <f t="shared" si="2"/>
        <v>0.99099999999999999</v>
      </c>
      <c r="H9" s="731">
        <v>0.05</v>
      </c>
      <c r="I9" s="731">
        <v>5.5E-2</v>
      </c>
      <c r="J9" s="66">
        <v>8.5000000000000006E-2</v>
      </c>
      <c r="K9" s="1029">
        <f>SUMIF('数据-汇总表'!C$19:C$33,A9,'数据-汇总表'!E$19:E$33)</f>
        <v>6350.3499999999931</v>
      </c>
      <c r="L9" s="732">
        <f>L8</f>
        <v>3500</v>
      </c>
      <c r="M9" s="67">
        <f t="shared" si="0"/>
        <v>2223</v>
      </c>
      <c r="N9" s="730">
        <f>N8</f>
        <v>0.6</v>
      </c>
      <c r="O9" s="67">
        <f t="shared" si="3"/>
        <v>1334</v>
      </c>
      <c r="P9" s="68">
        <f t="shared" si="4"/>
        <v>889</v>
      </c>
      <c r="Q9" s="81">
        <v>0.05</v>
      </c>
      <c r="R9" s="69">
        <f ca="1">SUMIF('数据-汇总表'!C$19:C$33,A9,'数据-汇总表'!R$19:R$27)</f>
        <v>1629.23</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f>L9</f>
        <v>3500</v>
      </c>
      <c r="M14" s="67">
        <f t="shared" si="0"/>
        <v>0</v>
      </c>
      <c r="N14" s="83">
        <f>N9</f>
        <v>0.6</v>
      </c>
      <c r="O14" s="67">
        <f t="shared" si="3"/>
        <v>0</v>
      </c>
      <c r="P14" s="68">
        <f t="shared" si="4"/>
        <v>0</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0.99199999999999999</v>
      </c>
      <c r="H16" s="90">
        <f>ROUND(SUMPRODUCT(H6:H13,K6:K13)/SUMPRODUCT((H6:H13&gt;0)*(K6:K13)),3)</f>
        <v>4.2999999999999997E-2</v>
      </c>
      <c r="I16" s="91"/>
      <c r="J16" s="91"/>
      <c r="K16" s="92">
        <f>SUM(K6:K15)</f>
        <v>54229.759999999966</v>
      </c>
      <c r="L16" s="93">
        <f>ROUND(M16*10000/SUM(K6:K14),0)</f>
        <v>3808</v>
      </c>
      <c r="M16" s="93">
        <f>SUM(M6:M14)</f>
        <v>20651</v>
      </c>
      <c r="N16" s="94">
        <f>ROUND(SUMPRODUCT(M6:M14,N6:N14)/M16,3)</f>
        <v>0.497</v>
      </c>
      <c r="O16" s="93">
        <f>SUM(O6:O14)</f>
        <v>10266</v>
      </c>
      <c r="P16" s="93">
        <f>SUM(P6:P14)</f>
        <v>10385</v>
      </c>
      <c r="Q16" s="95">
        <f>ROUND(SUMPRODUCT(Q6:Q13,K6:K13)/SUMPRODUCT((Q6:Q13&gt;0)*(K6:K13)),2)</f>
        <v>0.1</v>
      </c>
      <c r="R16" s="1033">
        <f ca="1">SUM(R6:R13)</f>
        <v>13913.02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2300</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2.5</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B20*N16</f>
        <v>1.2424999999999999</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1.2424999999999999</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1.2575000000000001</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f ca="1">成本法!C10+成本法!C9</f>
        <v>990</v>
      </c>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165</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35</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0.03</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3985</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0.05</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29</v>
      </c>
      <c r="C53" s="2657" t="s">
        <v>1245</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83" t="s">
        <v>2281</v>
      </c>
      <c r="B1" s="3584"/>
      <c r="C1" s="3584"/>
      <c r="D1" s="3584"/>
      <c r="E1" s="3584"/>
      <c r="F1" s="3584"/>
      <c r="G1" s="358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8"/>
      <c r="I2" s="798"/>
      <c r="J2" s="798"/>
      <c r="K2" s="798"/>
      <c r="L2" s="798"/>
      <c r="M2" s="798"/>
      <c r="N2" s="798"/>
      <c r="O2" s="798"/>
      <c r="P2" s="798"/>
      <c r="Q2" s="798"/>
      <c r="R2" s="798"/>
    </row>
    <row r="3" spans="1:29" ht="54">
      <c r="A3" s="2439" t="s">
        <v>2279</v>
      </c>
      <c r="B3" s="2461" t="s">
        <v>2251</v>
      </c>
      <c r="C3" s="3456" t="s">
        <v>3438</v>
      </c>
      <c r="D3" s="2462"/>
      <c r="E3" s="2440" t="s">
        <v>2279</v>
      </c>
      <c r="F3" s="2463" t="s">
        <v>2252</v>
      </c>
      <c r="G3" s="2464" t="s">
        <v>2280</v>
      </c>
      <c r="H3" s="798"/>
      <c r="I3" s="798"/>
      <c r="J3" s="798"/>
      <c r="K3" s="798"/>
      <c r="L3" s="798"/>
      <c r="M3" s="798"/>
      <c r="N3" s="798"/>
      <c r="O3" s="798"/>
      <c r="P3" s="798"/>
      <c r="Q3" s="798"/>
      <c r="R3" s="798"/>
    </row>
    <row r="4" spans="1:29" ht="41.25">
      <c r="A4" s="2440"/>
      <c r="B4" s="323" t="s">
        <v>2253</v>
      </c>
      <c r="C4" s="3457" t="s">
        <v>3439</v>
      </c>
      <c r="D4" s="2462"/>
      <c r="E4" s="2465"/>
      <c r="F4" s="1372" t="s">
        <v>2254</v>
      </c>
      <c r="G4" s="2466" t="s">
        <v>2255</v>
      </c>
      <c r="H4" s="798"/>
      <c r="I4" s="798"/>
      <c r="J4" s="798"/>
      <c r="K4" s="798"/>
      <c r="L4" s="798"/>
      <c r="M4" s="798"/>
      <c r="N4" s="798"/>
      <c r="O4" s="798"/>
      <c r="P4" s="798"/>
      <c r="Q4" s="798"/>
      <c r="R4" s="798"/>
    </row>
    <row r="5" spans="1:29" ht="41.25">
      <c r="A5" s="2440"/>
      <c r="B5" s="323" t="s">
        <v>2256</v>
      </c>
      <c r="C5" s="3457" t="s">
        <v>3440</v>
      </c>
      <c r="D5" s="2462"/>
      <c r="E5" s="2465"/>
      <c r="F5" s="323" t="s">
        <v>2257</v>
      </c>
      <c r="G5" s="2466" t="s">
        <v>2258</v>
      </c>
      <c r="H5" s="798"/>
      <c r="I5" s="798"/>
      <c r="J5" s="798"/>
      <c r="K5" s="798"/>
      <c r="L5" s="798"/>
      <c r="M5" s="798"/>
      <c r="N5" s="798"/>
      <c r="O5" s="798"/>
      <c r="P5" s="798"/>
      <c r="Q5" s="798"/>
      <c r="R5" s="798"/>
    </row>
    <row r="6" spans="1:29" ht="54">
      <c r="A6" s="2440"/>
      <c r="B6" s="323" t="s">
        <v>2259</v>
      </c>
      <c r="C6" s="3458" t="s">
        <v>3441</v>
      </c>
      <c r="D6" s="2462"/>
      <c r="E6" s="2465"/>
      <c r="F6" s="323" t="s">
        <v>2260</v>
      </c>
      <c r="G6" s="2466" t="s">
        <v>2261</v>
      </c>
      <c r="H6" s="798"/>
      <c r="I6" s="798"/>
      <c r="J6" s="798"/>
      <c r="K6" s="798"/>
      <c r="L6" s="798"/>
      <c r="M6" s="798"/>
      <c r="N6" s="798"/>
      <c r="O6" s="798"/>
      <c r="P6" s="798"/>
      <c r="Q6" s="798"/>
      <c r="R6" s="798"/>
    </row>
    <row r="7" spans="1:29" ht="27.75" thickBot="1">
      <c r="A7" s="2440"/>
      <c r="B7" s="323" t="s">
        <v>2257</v>
      </c>
      <c r="C7" s="3458" t="s">
        <v>3442</v>
      </c>
      <c r="D7" s="2467"/>
      <c r="E7" s="2468"/>
      <c r="F7" s="2469" t="s">
        <v>2262</v>
      </c>
      <c r="G7" s="2470" t="s">
        <v>2263</v>
      </c>
      <c r="H7" s="798"/>
      <c r="I7" s="798"/>
      <c r="J7" s="798"/>
      <c r="K7" s="798"/>
      <c r="L7" s="798"/>
      <c r="M7" s="798"/>
      <c r="N7" s="798"/>
      <c r="O7" s="798"/>
      <c r="P7" s="798"/>
      <c r="Q7" s="798"/>
      <c r="R7" s="798"/>
    </row>
    <row r="8" spans="1:29" ht="27">
      <c r="A8" s="2440"/>
      <c r="B8" s="323" t="s">
        <v>2260</v>
      </c>
      <c r="C8" s="3458" t="s">
        <v>3443</v>
      </c>
      <c r="D8" s="2467"/>
      <c r="E8" s="2467"/>
      <c r="F8" s="2471"/>
      <c r="G8" s="2471"/>
      <c r="H8" s="798"/>
      <c r="I8" s="798"/>
      <c r="J8" s="798"/>
      <c r="K8" s="798"/>
      <c r="L8" s="798"/>
      <c r="M8" s="798"/>
      <c r="N8" s="798"/>
      <c r="O8" s="798"/>
      <c r="P8" s="798"/>
      <c r="Q8" s="798"/>
      <c r="R8" s="798"/>
    </row>
    <row r="9" spans="1:29" ht="40.5">
      <c r="A9" s="2440"/>
      <c r="B9" s="323" t="s">
        <v>2264</v>
      </c>
      <c r="C9" s="3457" t="s">
        <v>3444</v>
      </c>
      <c r="D9" s="2462"/>
      <c r="E9" s="2467"/>
      <c r="F9" s="2471"/>
      <c r="G9" s="2471"/>
      <c r="H9" s="798"/>
      <c r="I9" s="798"/>
      <c r="J9" s="798"/>
      <c r="K9" s="798"/>
      <c r="L9" s="798"/>
      <c r="M9" s="798"/>
      <c r="N9" s="798"/>
      <c r="O9" s="798"/>
      <c r="P9" s="798"/>
      <c r="Q9" s="798"/>
      <c r="R9" s="798"/>
    </row>
    <row r="10" spans="1:29" s="2477" customFormat="1" ht="15" thickBot="1">
      <c r="A10" s="2441"/>
      <c r="B10" s="2472" t="s">
        <v>2265</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2282</v>
      </c>
      <c r="B13" s="2480"/>
      <c r="C13" s="2480"/>
      <c r="D13" s="2478"/>
      <c r="E13" s="2480"/>
      <c r="F13" s="2480"/>
      <c r="G13" s="2480"/>
    </row>
    <row r="14" spans="1:29" ht="15" thickBot="1">
      <c r="A14" s="2490"/>
      <c r="B14" s="2490"/>
      <c r="C14" s="2491" t="s">
        <v>2266</v>
      </c>
      <c r="D14" s="2462"/>
      <c r="E14" s="2492"/>
      <c r="F14" s="2492"/>
      <c r="G14" s="2458" t="s">
        <v>2267</v>
      </c>
    </row>
    <row r="15" spans="1:29" ht="51">
      <c r="A15" s="2442" t="s">
        <v>2268</v>
      </c>
      <c r="B15" s="2493" t="s">
        <v>2251</v>
      </c>
      <c r="C15" s="2494" t="str">
        <f>C3</f>
        <v>估价对象周边居住用地比例、居住小区规模和社区发展完善程度，综合评价居住社区成熟度较好</v>
      </c>
      <c r="D15" s="2462"/>
      <c r="E15" s="2443" t="s">
        <v>2269</v>
      </c>
      <c r="F15" s="2493" t="s">
        <v>2270</v>
      </c>
      <c r="G15" s="2495" t="str">
        <f>G3</f>
        <v>估价对象位于XX开发区，园区建设成熟度XX，产业集聚程度XX</v>
      </c>
    </row>
    <row r="16" spans="1:29" ht="38.25">
      <c r="A16" s="2444"/>
      <c r="B16" s="2496" t="s">
        <v>2253</v>
      </c>
      <c r="C16" s="2497" t="str">
        <f>C4</f>
        <v>估价对象位于XX商圈，周边商业氛围成熟，人流量大，商业繁华度好</v>
      </c>
      <c r="D16" s="2462"/>
      <c r="E16" s="2445"/>
      <c r="F16" s="2498" t="s">
        <v>2254</v>
      </c>
      <c r="G16" s="2499" t="str">
        <f>G4</f>
        <v>估价对象周边道路状况、公共交通通达情况、停车便捷程度，综合评价交通便捷度较好</v>
      </c>
    </row>
    <row r="17" spans="1:18" ht="38.25">
      <c r="A17" s="2444"/>
      <c r="B17" s="2496" t="s">
        <v>2256</v>
      </c>
      <c r="C17" s="2497" t="str">
        <f>C5</f>
        <v>估价对象位于XX商圈，周边办公楼项目较多，入驻率高，办公集聚程度较好</v>
      </c>
      <c r="D17" s="2467"/>
      <c r="E17" s="2445"/>
      <c r="F17" s="2498" t="s">
        <v>2271</v>
      </c>
      <c r="G17" s="2500"/>
    </row>
    <row r="18" spans="1:18" ht="38.25">
      <c r="A18" s="2444"/>
      <c r="B18" s="2498" t="s">
        <v>2259</v>
      </c>
      <c r="C18" s="2499" t="str">
        <f>C6</f>
        <v>估价对象周边道路状况、公共交通通达情况、停车便捷程度，综合评价交通便捷度较好</v>
      </c>
      <c r="D18" s="2467"/>
      <c r="E18" s="2445"/>
      <c r="F18" s="2498" t="s">
        <v>2262</v>
      </c>
      <c r="G18" s="2499" t="str">
        <f>G7</f>
        <v>该园区内是否有污染型企业，绿化情况，卫生条件，整体环境状况判断</v>
      </c>
    </row>
    <row r="19" spans="1:18" ht="25.5">
      <c r="A19" s="2444"/>
      <c r="B19" s="2498" t="s">
        <v>2272</v>
      </c>
      <c r="C19" s="2500"/>
      <c r="D19" s="2462"/>
      <c r="E19" s="2445"/>
      <c r="F19" s="323" t="s">
        <v>2257</v>
      </c>
      <c r="G19" s="2499" t="str">
        <f>G5</f>
        <v>估价对象所在区域公共配套设施齐备情况</v>
      </c>
    </row>
    <row r="20" spans="1:18" ht="25.5">
      <c r="A20" s="2444"/>
      <c r="B20" s="2498" t="s">
        <v>2273</v>
      </c>
      <c r="C20" s="2497" t="str">
        <f>C9</f>
        <v>区域自然环境：；人文环境；综合评价环境状况一般</v>
      </c>
      <c r="D20" s="2467"/>
      <c r="E20" s="2445"/>
      <c r="F20" s="323" t="s">
        <v>2260</v>
      </c>
      <c r="G20" s="2499" t="str">
        <f>G6</f>
        <v>估价对象所在区域基础设施水平</v>
      </c>
    </row>
    <row r="21" spans="1:18" ht="25.5">
      <c r="A21" s="2444"/>
      <c r="B21" s="323" t="s">
        <v>2257</v>
      </c>
      <c r="C21" s="2499" t="str">
        <f>C7</f>
        <v>估价对象所在区域公共配套设施齐备情况</v>
      </c>
      <c r="D21" s="2462"/>
      <c r="E21" s="2445"/>
      <c r="F21" s="2498" t="s">
        <v>2274</v>
      </c>
      <c r="G21" s="2501"/>
    </row>
    <row r="22" spans="1:18" ht="13.5" customHeight="1">
      <c r="A22" s="2444"/>
      <c r="B22" s="323" t="s">
        <v>2260</v>
      </c>
      <c r="C22" s="2499" t="str">
        <f>C8</f>
        <v>估价对象所在区域基础设施水平</v>
      </c>
      <c r="D22" s="2462"/>
      <c r="E22" s="2445"/>
      <c r="F22" s="2498" t="s">
        <v>2265</v>
      </c>
      <c r="G22" s="2500"/>
    </row>
    <row r="23" spans="1:18" s="798" customFormat="1" ht="15" thickBot="1">
      <c r="A23" s="2444"/>
      <c r="B23" s="2498" t="s">
        <v>2274</v>
      </c>
      <c r="C23" s="2501"/>
      <c r="D23" s="1740"/>
      <c r="E23" s="2446"/>
      <c r="F23" s="2502" t="s">
        <v>2275</v>
      </c>
      <c r="G23" s="2503"/>
      <c r="H23" s="2487"/>
      <c r="I23" s="2488"/>
      <c r="J23" s="2487"/>
      <c r="K23" s="2487"/>
      <c r="L23" s="2488"/>
      <c r="M23" s="2487"/>
      <c r="N23" s="2487"/>
      <c r="O23" s="2488"/>
      <c r="P23" s="2487"/>
      <c r="Q23" s="2487"/>
      <c r="R23" s="2489"/>
    </row>
    <row r="24" spans="1:18" s="798" customFormat="1" ht="15" thickBot="1">
      <c r="A24" s="2447"/>
      <c r="B24" s="2502" t="s">
        <v>2276</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54229.759999999966</v>
      </c>
      <c r="C1" s="2682"/>
      <c r="D1" s="2682"/>
      <c r="E1" s="2682"/>
      <c r="F1" s="2682"/>
      <c r="G1" s="2683"/>
      <c r="H1" s="2684"/>
      <c r="I1" s="2684"/>
      <c r="J1" s="2684"/>
      <c r="K1" s="2684"/>
    </row>
    <row r="2" spans="1:11" ht="16.5">
      <c r="A2" s="2508" t="s">
        <v>653</v>
      </c>
      <c r="B2" s="2508">
        <f>SUM(C14:C23)</f>
        <v>13913.02</v>
      </c>
      <c r="C2" s="2682"/>
      <c r="D2" s="2682"/>
      <c r="E2" s="2682"/>
      <c r="F2" s="2682"/>
      <c r="G2" s="2683"/>
      <c r="H2" s="2684"/>
      <c r="I2" s="2684"/>
      <c r="J2" s="2684"/>
      <c r="K2" s="2684"/>
    </row>
    <row r="3" spans="1:11" ht="16.5">
      <c r="A3" s="2508" t="s">
        <v>662</v>
      </c>
      <c r="B3" s="2510">
        <f>项目基本情况!D3</f>
        <v>45009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143961</v>
      </c>
      <c r="C5" s="2508">
        <f ca="1">IF(B5=D14,结果表!H102,ROUND(B5*10000/$B$1,0))</f>
        <v>26546</v>
      </c>
      <c r="D5" s="2508">
        <f ca="1">ROUND(B5*10000/$B$2,0)</f>
        <v>103472</v>
      </c>
      <c r="E5" s="2682"/>
      <c r="F5" s="2683"/>
      <c r="G5" s="2683"/>
      <c r="H5" s="2684"/>
      <c r="I5" s="2684"/>
      <c r="J5" s="2684"/>
      <c r="K5" s="2684"/>
    </row>
    <row r="6" spans="1:11" ht="16.5">
      <c r="A6" s="2508" t="s">
        <v>656</v>
      </c>
      <c r="B6" s="2508">
        <f ca="1">SUM(G14:G23)</f>
        <v>143961</v>
      </c>
      <c r="C6" s="2508">
        <f ca="1">IF(B6=G14,结果表!H108,ROUND(B6*10000/$B$1,0))</f>
        <v>26546</v>
      </c>
      <c r="D6" s="2508">
        <f ca="1">ROUND(B6*10000/$B$2,0)</f>
        <v>103472</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3358</v>
      </c>
      <c r="D10" s="2508" t="s">
        <v>3359</v>
      </c>
      <c r="E10" s="3437"/>
      <c r="F10" s="3441" t="s">
        <v>3360</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54229.759999999966</v>
      </c>
      <c r="C14" s="2514">
        <f>结果表!C118</f>
        <v>13913.02</v>
      </c>
      <c r="D14" s="2514">
        <f ca="1">结果表!H118</f>
        <v>143961</v>
      </c>
      <c r="E14" s="2514">
        <f ca="1">ROUND(D14*10000/B14,0)</f>
        <v>26546</v>
      </c>
      <c r="F14" s="2514">
        <f ca="1">ROUND(D14*10000/C14,0)</f>
        <v>103472</v>
      </c>
      <c r="G14" s="2514">
        <f ca="1">D14</f>
        <v>143961</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133" sqref="D13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c r="D1" s="1746"/>
      <c r="E1" s="1746"/>
      <c r="F1" s="1748" t="s">
        <v>1262</v>
      </c>
      <c r="G1" s="1560" t="s">
        <v>3974</v>
      </c>
      <c r="H1" s="1749" t="str">
        <f>IF(G1="现房","——","估价对象范围")</f>
        <v>估价对象范围</v>
      </c>
      <c r="I1" s="1750" t="s">
        <v>3975</v>
      </c>
    </row>
    <row r="2" spans="1:12" ht="21.75" customHeight="1" thickBot="1">
      <c r="A2" s="3619" t="str">
        <f>项目基本情况!S2</f>
        <v>北京市昌平区东小口马连店1803-610地块R2二类居住用地出让国有建设用地使用权及在建建筑物房地产</v>
      </c>
      <c r="B2" s="3620"/>
      <c r="C2" s="3620"/>
      <c r="D2" s="3620"/>
      <c r="E2" s="3620"/>
      <c r="F2" s="3620"/>
      <c r="G2" s="3620"/>
      <c r="H2" s="3620"/>
      <c r="I2" s="3621"/>
    </row>
    <row r="3" spans="1:12" ht="12.75">
      <c r="A3" s="3623" t="s">
        <v>1263</v>
      </c>
      <c r="B3" s="3624"/>
      <c r="C3" s="3624"/>
      <c r="D3" s="3624"/>
      <c r="E3" s="3624"/>
      <c r="F3" s="3624"/>
      <c r="G3" s="3624"/>
      <c r="H3" s="3624"/>
      <c r="I3" s="3624"/>
    </row>
    <row r="4" spans="1:12" ht="14.25">
      <c r="A4" s="1753" t="s">
        <v>1264</v>
      </c>
      <c r="B4" s="1754" t="s">
        <v>1265</v>
      </c>
      <c r="C4" s="1755" t="s">
        <v>3976</v>
      </c>
      <c r="D4" s="1755" t="s">
        <v>3977</v>
      </c>
      <c r="E4" s="3625" t="s">
        <v>1266</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99" t="s">
        <v>1267</v>
      </c>
      <c r="B5" s="3586">
        <v>25</v>
      </c>
      <c r="C5" s="3602"/>
      <c r="D5" s="3622"/>
      <c r="E5" s="131" t="s">
        <v>1268</v>
      </c>
      <c r="F5" s="1756"/>
      <c r="G5" s="1756"/>
      <c r="H5" s="1756"/>
      <c r="I5" s="1372"/>
    </row>
    <row r="6" spans="1:12" ht="12.75">
      <c r="A6" s="3599"/>
      <c r="B6" s="3586"/>
      <c r="C6" s="3603"/>
      <c r="D6" s="3622"/>
      <c r="E6" s="131" t="s">
        <v>1269</v>
      </c>
      <c r="F6" s="1756"/>
      <c r="G6" s="1756"/>
      <c r="H6" s="1756"/>
      <c r="I6" s="1372"/>
    </row>
    <row r="7" spans="1:12" ht="12.75">
      <c r="A7" s="3599"/>
      <c r="B7" s="3586"/>
      <c r="C7" s="3604"/>
      <c r="D7" s="3622"/>
      <c r="E7" s="131" t="s">
        <v>1270</v>
      </c>
      <c r="F7" s="1756"/>
      <c r="G7" s="1756"/>
      <c r="H7" s="1756"/>
      <c r="I7" s="1372"/>
    </row>
    <row r="8" spans="1:12" ht="12.75">
      <c r="A8" s="3599" t="s">
        <v>1271</v>
      </c>
      <c r="B8" s="3586">
        <v>15</v>
      </c>
      <c r="C8" s="3602"/>
      <c r="D8" s="3622"/>
      <c r="E8" s="131" t="s">
        <v>1272</v>
      </c>
      <c r="F8" s="1756"/>
      <c r="G8" s="1756"/>
      <c r="H8" s="1756"/>
      <c r="I8" s="1372"/>
    </row>
    <row r="9" spans="1:12" ht="12.75">
      <c r="A9" s="3599"/>
      <c r="B9" s="3586"/>
      <c r="C9" s="3604"/>
      <c r="D9" s="3622"/>
      <c r="E9" s="131" t="s">
        <v>1273</v>
      </c>
      <c r="F9" s="1756"/>
      <c r="G9" s="1756"/>
      <c r="H9" s="1756"/>
      <c r="I9" s="1372"/>
    </row>
    <row r="10" spans="1:12" ht="12.75">
      <c r="A10" s="3599" t="s">
        <v>1274</v>
      </c>
      <c r="B10" s="3586">
        <v>15</v>
      </c>
      <c r="C10" s="3602"/>
      <c r="D10" s="3622"/>
      <c r="E10" s="131" t="s">
        <v>1275</v>
      </c>
      <c r="F10" s="1756"/>
      <c r="G10" s="1756"/>
      <c r="H10" s="1756"/>
      <c r="I10" s="1372"/>
    </row>
    <row r="11" spans="1:12" ht="12.75">
      <c r="A11" s="3599"/>
      <c r="B11" s="3586"/>
      <c r="C11" s="3604"/>
      <c r="D11" s="3622"/>
      <c r="E11" s="131" t="s">
        <v>1276</v>
      </c>
      <c r="F11" s="1756"/>
      <c r="G11" s="1756"/>
      <c r="H11" s="1756"/>
      <c r="I11" s="1372"/>
    </row>
    <row r="12" spans="1:12" ht="12.75">
      <c r="A12" s="3599" t="s">
        <v>1277</v>
      </c>
      <c r="B12" s="3586">
        <v>15</v>
      </c>
      <c r="C12" s="3602"/>
      <c r="D12" s="3622"/>
      <c r="E12" s="131" t="s">
        <v>1278</v>
      </c>
      <c r="F12" s="1756"/>
      <c r="G12" s="1756"/>
      <c r="H12" s="1756"/>
      <c r="I12" s="1372"/>
    </row>
    <row r="13" spans="1:12" ht="12.75">
      <c r="A13" s="3599"/>
      <c r="B13" s="3586"/>
      <c r="C13" s="3604"/>
      <c r="D13" s="3622"/>
      <c r="E13" s="131" t="s">
        <v>1279</v>
      </c>
      <c r="F13" s="1756"/>
      <c r="G13" s="1756"/>
      <c r="H13" s="1756"/>
      <c r="I13" s="1372"/>
    </row>
    <row r="14" spans="1:12" ht="12.75">
      <c r="A14" s="3599" t="s">
        <v>1280</v>
      </c>
      <c r="B14" s="3586">
        <v>30</v>
      </c>
      <c r="C14" s="3602">
        <v>5</v>
      </c>
      <c r="D14" s="3622">
        <v>5</v>
      </c>
      <c r="E14" s="131" t="s">
        <v>1281</v>
      </c>
      <c r="F14" s="1756"/>
      <c r="G14" s="1756"/>
      <c r="H14" s="1756"/>
      <c r="I14" s="1372"/>
    </row>
    <row r="15" spans="1:12" ht="12.75">
      <c r="A15" s="3599"/>
      <c r="B15" s="3586"/>
      <c r="C15" s="3603"/>
      <c r="D15" s="3622"/>
      <c r="E15" s="131" t="s">
        <v>1282</v>
      </c>
      <c r="F15" s="1756"/>
      <c r="G15" s="1756"/>
      <c r="H15" s="1756"/>
      <c r="I15" s="1372"/>
    </row>
    <row r="16" spans="1:12" ht="12.75">
      <c r="A16" s="3599"/>
      <c r="B16" s="3586"/>
      <c r="C16" s="3604"/>
      <c r="D16" s="3622"/>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609" t="s">
        <v>2130</v>
      </c>
      <c r="F18" s="3610"/>
      <c r="G18" s="3610"/>
      <c r="H18" s="3610"/>
      <c r="I18" s="3610"/>
      <c r="K18" s="302" t="s">
        <v>1288</v>
      </c>
      <c r="L18" s="302">
        <f>IF(C1="",'数据-汇总表'!E3,SUMIF(项目类型,C1,'数据-汇总表'!E17:E26)+SUMIF(项目类型,C1,'数据-汇总表'!I17:I26))</f>
        <v>54229.759999999966</v>
      </c>
      <c r="M18" s="302">
        <f>IF(C1="",'数据-汇总表'!E3,SUMIF(项目类型,C1,'数据-汇总表'!E17:E26))</f>
        <v>54229.759999999966</v>
      </c>
    </row>
    <row r="19" spans="1:36" ht="15">
      <c r="A19" s="1760" t="s">
        <v>1289</v>
      </c>
      <c r="B19" s="1761" t="s">
        <v>1290</v>
      </c>
      <c r="C19" s="134">
        <f ca="1">SUMIF(INDIRECT("'"&amp;C4&amp;"'"&amp;"!A:A"),结果表!B19,INDIRECT("'"&amp;C4&amp;"'"&amp;"!B:B"))</f>
        <v>148364</v>
      </c>
      <c r="D19" s="135">
        <f ca="1">SUMIF(INDIRECT("'"&amp;D4&amp;"'"&amp;"!A:A"),结果表!B19,INDIRECT("'"&amp;D4&amp;"'"&amp;"!B:B"))</f>
        <v>139557</v>
      </c>
      <c r="E19" s="1760" t="s">
        <v>1291</v>
      </c>
      <c r="F19" s="1761" t="s">
        <v>1290</v>
      </c>
      <c r="G19" s="136">
        <f ca="1">ROUND(C19*$C$18+D19*$D$18,0)</f>
        <v>143961</v>
      </c>
      <c r="H19" s="1762" t="s">
        <v>1292</v>
      </c>
      <c r="I19" s="129"/>
      <c r="K19" s="302" t="s">
        <v>1293</v>
      </c>
      <c r="L19" s="302">
        <f>IF(C1="",'数据-汇总表'!D3,SUMIF(项目类型,C1,'数据-汇总表'!D17:D26)+SUMIF(项目类型,C1,'数据-汇总表'!H17:H27))</f>
        <v>13913.02</v>
      </c>
      <c r="M19" s="302">
        <f>IF(C1="",'数据-汇总表'!D3,SUMIF(项目类型,C1,'数据-汇总表'!D17:D26))</f>
        <v>13913.02</v>
      </c>
    </row>
    <row r="20" spans="1:36" ht="15">
      <c r="A20" s="1763"/>
      <c r="B20" s="1025" t="s">
        <v>1294</v>
      </c>
      <c r="C20" s="137">
        <f ca="1">SUMIF(INDIRECT("'"&amp;C4&amp;"'"&amp;"!A:A"),结果表!B20,INDIRECT("'"&amp;C4&amp;"'"&amp;"!B:B"))</f>
        <v>27358</v>
      </c>
      <c r="D20" s="138">
        <f ca="1">SUMIF(INDIRECT("'"&amp;D4&amp;"'"&amp;"!A:A"),结果表!B20,INDIRECT("'"&amp;D4&amp;"'"&amp;"!B:B"))</f>
        <v>25734</v>
      </c>
      <c r="E20" s="1763"/>
      <c r="F20" s="1025" t="s">
        <v>1294</v>
      </c>
      <c r="G20" s="139">
        <f ca="1">ROUND(C20*$C$18+D20*$D$18,0)</f>
        <v>26546</v>
      </c>
      <c r="H20" s="807" t="s">
        <v>1295</v>
      </c>
      <c r="I20" s="129"/>
    </row>
    <row r="21" spans="1:36" ht="15" customHeight="1" thickBot="1">
      <c r="A21" s="827"/>
      <c r="B21" s="1764" t="s">
        <v>1296</v>
      </c>
      <c r="C21" s="718">
        <f ca="1">ROUND(C19*10000/L19,0)</f>
        <v>106637</v>
      </c>
      <c r="D21" s="719">
        <f ca="1">ROUND(D19*10000/L19,0)</f>
        <v>100307</v>
      </c>
      <c r="E21" s="827"/>
      <c r="F21" s="1764" t="s">
        <v>1296</v>
      </c>
      <c r="G21" s="140">
        <f ca="1">ROUND(G19*10000/L19,0)</f>
        <v>103472</v>
      </c>
      <c r="H21" s="1765" t="s">
        <v>1295</v>
      </c>
      <c r="I21" s="129"/>
    </row>
    <row r="22" spans="1:36" ht="15" thickBot="1">
      <c r="A22" s="1687" t="s">
        <v>1297</v>
      </c>
      <c r="B22" s="1766"/>
      <c r="C22" s="1767"/>
      <c r="D22" s="720">
        <f ca="1">IF(C19&lt;D19,D19/C19-1,C19/D19-1)</f>
        <v>6.3106830900635513E-2</v>
      </c>
      <c r="E22" s="129"/>
      <c r="F22" s="129"/>
      <c r="G22" s="129"/>
      <c r="H22" s="129"/>
      <c r="I22" s="129"/>
    </row>
    <row r="23" spans="1:36" ht="13.5" thickBot="1">
      <c r="A23" s="1746"/>
      <c r="B23" s="1746"/>
      <c r="C23" s="1746"/>
      <c r="D23" s="1746"/>
      <c r="E23" s="129"/>
      <c r="F23" s="129"/>
      <c r="G23" s="129"/>
      <c r="H23" s="129"/>
      <c r="I23" s="129"/>
    </row>
    <row r="24" spans="1:36" ht="14.25">
      <c r="A24" s="3593" t="s">
        <v>1298</v>
      </c>
      <c r="B24" s="1761" t="s">
        <v>1290</v>
      </c>
      <c r="C24" s="136">
        <f>IF(B30=0,0,D30)</f>
        <v>0</v>
      </c>
      <c r="D24" s="1768"/>
      <c r="E24" s="129"/>
      <c r="F24" s="129"/>
      <c r="G24" s="129"/>
      <c r="H24" s="129"/>
      <c r="I24" s="129"/>
    </row>
    <row r="25" spans="1:36" ht="14.25">
      <c r="A25" s="3594"/>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1304</v>
      </c>
      <c r="B32" s="1773"/>
      <c r="C32" s="144">
        <f ca="1">IF(D32="总价",G19-C24,G20-C25)</f>
        <v>143961</v>
      </c>
      <c r="D32" s="1774" t="s">
        <v>3978</v>
      </c>
      <c r="E32" s="129"/>
      <c r="F32" s="129"/>
      <c r="G32" s="129"/>
      <c r="H32" s="129"/>
      <c r="I32" s="129"/>
    </row>
    <row r="33" spans="1:15" ht="15">
      <c r="A33" s="785" t="s">
        <v>1305</v>
      </c>
      <c r="B33" s="1775"/>
      <c r="C33" s="1776" t="s">
        <v>3979</v>
      </c>
      <c r="D33" s="1777" t="s">
        <v>3976</v>
      </c>
      <c r="E33" s="1778" t="s">
        <v>1306</v>
      </c>
      <c r="F33" s="1779" t="str">
        <f>IF(D32="楼面单价","取值（单价）","取值（总价）")</f>
        <v>取值（总价）</v>
      </c>
      <c r="G33" s="129"/>
      <c r="H33" s="129"/>
      <c r="I33" s="129"/>
    </row>
    <row r="34" spans="1:15" ht="15">
      <c r="A34" s="1780"/>
      <c r="B34" s="1781" t="s">
        <v>1307</v>
      </c>
      <c r="C34" s="148">
        <f ca="1">IF(C33="自定义",F34,C32-C35)</f>
        <v>130285</v>
      </c>
      <c r="D34" s="860">
        <f ca="1">IF(C33="自定义",ROUND(C34/C32,3),IF(C33="收益比率",SUMIF(INDIRECT("'"&amp;D33&amp;"'"&amp;"!b:b"),"土地收益比率",INDIRECT("'"&amp;D33&amp;"'"&amp;"!c:c")),SUMIF(INDIRECT("'"&amp;D33&amp;"'"&amp;"!b:b"),"土地成本比率",INDIRECT("'"&amp;D33&amp;"'"&amp;"!c:c"))))</f>
        <v>0.90500000000000003</v>
      </c>
      <c r="E34" s="1782" t="s">
        <v>1308</v>
      </c>
      <c r="F34" s="1329"/>
      <c r="G34" s="129"/>
      <c r="H34" s="129"/>
      <c r="I34" s="129"/>
    </row>
    <row r="35" spans="1:15" ht="15.75" thickBot="1">
      <c r="A35" s="1783"/>
      <c r="B35" s="1784" t="s">
        <v>1309</v>
      </c>
      <c r="C35" s="1169">
        <f ca="1">IF(C33="自定义",F35,ROUND(C32*D35,0))</f>
        <v>13676</v>
      </c>
      <c r="D35" s="1170">
        <f ca="1">IF(C33="自定义",ROUND(C35/C32,3),IF(C33="收益比率",SUMIF(INDIRECT("'"&amp;D33&amp;"'"&amp;"!b:b"),"建筑物收益比率",INDIRECT("'"&amp;D33&amp;"'"&amp;"!c:c")),SUMIF(INDIRECT("'"&amp;D33&amp;"'"&amp;"!b:b"),"建筑物成本比率",INDIRECT("'"&amp;D33&amp;"'"&amp;"!c:c"))))</f>
        <v>9.5000000000000001E-2</v>
      </c>
      <c r="E35" s="1785" t="s">
        <v>1310</v>
      </c>
      <c r="F35" s="154"/>
      <c r="G35" s="129"/>
      <c r="H35" s="129"/>
      <c r="I35" s="129"/>
    </row>
    <row r="36" spans="1:15" ht="15.75" thickBot="1">
      <c r="A36" s="3613" t="s">
        <v>1311</v>
      </c>
      <c r="B36" s="1786" t="s">
        <v>1312</v>
      </c>
      <c r="C36" s="145"/>
      <c r="D36" s="1787"/>
      <c r="E36" s="1788"/>
      <c r="F36" s="1789"/>
      <c r="G36" s="129"/>
      <c r="H36" s="129"/>
      <c r="I36" s="129"/>
    </row>
    <row r="37" spans="1:15" ht="15.75" thickBot="1">
      <c r="A37" s="3614"/>
      <c r="B37" s="1673" t="s">
        <v>1313</v>
      </c>
      <c r="C37" s="147"/>
      <c r="D37" s="1138"/>
      <c r="E37" s="1138"/>
      <c r="F37" s="1789"/>
      <c r="G37" s="129"/>
      <c r="H37" s="129"/>
      <c r="I37" s="129"/>
    </row>
    <row r="38" spans="1:15" ht="15.75" thickBot="1">
      <c r="A38" s="3615"/>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90" t="s">
        <v>1325</v>
      </c>
      <c r="B45" s="3591"/>
      <c r="C45" s="3592"/>
      <c r="D45" s="155">
        <f ca="1">ROUND(H101*F45,0)</f>
        <v>143961</v>
      </c>
      <c r="E45" s="156" t="s">
        <v>1326</v>
      </c>
      <c r="F45" s="157">
        <v>1</v>
      </c>
      <c r="G45" s="158" t="s">
        <v>1327</v>
      </c>
      <c r="H45" s="129"/>
      <c r="I45" s="129"/>
      <c r="J45" s="3668" t="s">
        <v>1328</v>
      </c>
      <c r="K45" s="3668"/>
      <c r="L45" s="3668"/>
      <c r="M45" s="3668"/>
      <c r="N45" s="3668"/>
      <c r="O45" s="3668"/>
    </row>
    <row r="46" spans="1:15" ht="14.25" customHeight="1">
      <c r="A46" s="3587" t="s">
        <v>1329</v>
      </c>
      <c r="B46" s="3588"/>
      <c r="C46" s="3588"/>
      <c r="D46" s="3588"/>
      <c r="E46" s="3588"/>
      <c r="F46" s="3588"/>
      <c r="G46" s="3589"/>
      <c r="H46" s="1805"/>
      <c r="I46" s="159"/>
      <c r="J46" s="2519">
        <v>1</v>
      </c>
      <c r="K46" s="3649" t="s">
        <v>1330</v>
      </c>
      <c r="L46" s="3649"/>
      <c r="M46" s="3669"/>
      <c r="N46" s="3669"/>
      <c r="O46" s="3669"/>
    </row>
    <row r="47" spans="1:15" ht="12" customHeight="1">
      <c r="A47" s="160" t="s">
        <v>1331</v>
      </c>
      <c r="B47" s="161"/>
      <c r="C47" s="162"/>
      <c r="D47" s="1086" t="s">
        <v>1332</v>
      </c>
      <c r="E47" s="302" t="s">
        <v>1333</v>
      </c>
      <c r="F47" s="163" t="s">
        <v>1334</v>
      </c>
      <c r="G47" s="2542" t="s">
        <v>1335</v>
      </c>
      <c r="H47" s="2543"/>
      <c r="I47" s="159"/>
      <c r="J47" s="2519">
        <v>2</v>
      </c>
      <c r="K47" s="3649" t="s">
        <v>1336</v>
      </c>
      <c r="L47" s="3649"/>
      <c r="M47" s="3670">
        <f>'数据-取费表'!B2</f>
        <v>45009</v>
      </c>
      <c r="N47" s="3670"/>
      <c r="O47" s="3670"/>
    </row>
    <row r="48" spans="1:15" ht="25.5">
      <c r="A48" s="3618" t="s">
        <v>1337</v>
      </c>
      <c r="B48" s="3601"/>
      <c r="C48" s="3601"/>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1338</v>
      </c>
      <c r="H48" s="2546"/>
      <c r="I48" s="1805"/>
      <c r="J48" s="2519">
        <v>3</v>
      </c>
      <c r="K48" s="3649" t="s">
        <v>1339</v>
      </c>
      <c r="L48" s="3649"/>
      <c r="M48" s="3671">
        <f ca="1">H101</f>
        <v>143961</v>
      </c>
      <c r="N48" s="3671"/>
      <c r="O48" s="3671"/>
    </row>
    <row r="49" spans="1:35" ht="25.5" customHeight="1">
      <c r="A49" s="2331" t="s">
        <v>1340</v>
      </c>
      <c r="B49" s="3585" t="s">
        <v>1341</v>
      </c>
      <c r="C49" s="3585"/>
      <c r="D49" s="1589">
        <v>0</v>
      </c>
      <c r="E49" s="324" t="s">
        <v>1342</v>
      </c>
      <c r="F49" s="2422" t="s">
        <v>28</v>
      </c>
      <c r="G49" s="3655"/>
      <c r="H49" s="2308" t="s">
        <v>2133</v>
      </c>
      <c r="I49" s="2309"/>
      <c r="J49" s="2519">
        <v>4</v>
      </c>
      <c r="K49" s="3649" t="str">
        <f>IF(项目基本情况!E8="房地产抵押价值","房地产抵押价值","抵押担保权已注销时的房地产抵押价值")</f>
        <v>房地产抵押价值</v>
      </c>
      <c r="L49" s="3649"/>
      <c r="M49" s="3671">
        <f ca="1">IF(项目基本情况!E8="房地产抵押价值",H107,H109)</f>
        <v>143961</v>
      </c>
      <c r="N49" s="3671"/>
      <c r="O49" s="3671"/>
    </row>
    <row r="50" spans="1:35" ht="25.5" customHeight="1">
      <c r="A50" s="2547"/>
      <c r="B50" s="3585" t="s">
        <v>1343</v>
      </c>
      <c r="C50" s="3585"/>
      <c r="D50" s="2548"/>
      <c r="E50" s="332"/>
      <c r="F50" s="2422"/>
      <c r="G50" s="3656"/>
      <c r="H50" s="2310" t="s">
        <v>2134</v>
      </c>
      <c r="I50" s="2309"/>
      <c r="J50" s="3668" t="s">
        <v>1344</v>
      </c>
      <c r="K50" s="3668"/>
      <c r="L50" s="3668"/>
      <c r="M50" s="3668"/>
      <c r="N50" s="3668"/>
      <c r="O50" s="3668"/>
    </row>
    <row r="51" spans="1:35" ht="20.45" customHeight="1">
      <c r="A51" s="2549"/>
      <c r="B51" s="3585" t="s">
        <v>1345</v>
      </c>
      <c r="C51" s="3585"/>
      <c r="D51" s="1086"/>
      <c r="E51" s="327"/>
      <c r="F51" s="2422"/>
      <c r="G51" s="3657"/>
      <c r="H51" s="2310" t="s">
        <v>2135</v>
      </c>
      <c r="I51" s="2309"/>
      <c r="J51" s="2520" t="s">
        <v>1346</v>
      </c>
      <c r="K51" s="3649" t="s">
        <v>1347</v>
      </c>
      <c r="L51" s="3649"/>
      <c r="M51" s="2520" t="s">
        <v>1348</v>
      </c>
      <c r="N51" s="2520" t="s">
        <v>1349</v>
      </c>
      <c r="O51" s="2520" t="s">
        <v>1350</v>
      </c>
    </row>
    <row r="52" spans="1:35" ht="24" customHeight="1">
      <c r="A52" s="2333" t="s">
        <v>1351</v>
      </c>
      <c r="B52" s="3585" t="s">
        <v>1352</v>
      </c>
      <c r="C52" s="3585"/>
      <c r="D52" s="1086">
        <f ca="1">ROUND(D45*'数据-取费表'!B41/(1+'数据-取费表'!C42),0)</f>
        <v>7541</v>
      </c>
      <c r="E52" s="2332" t="s">
        <v>1353</v>
      </c>
      <c r="F52" s="2550">
        <f>'数据-取费表'!B41</f>
        <v>5.5000000000000007E-2</v>
      </c>
      <c r="G52" s="2551"/>
      <c r="H52" s="2540"/>
      <c r="I52" s="1806"/>
      <c r="J52" s="2519">
        <v>1</v>
      </c>
      <c r="K52" s="3650" t="s">
        <v>1354</v>
      </c>
      <c r="L52" s="3650"/>
      <c r="M52" s="2521" t="b">
        <f>D48</f>
        <v>0</v>
      </c>
      <c r="N52" s="2519" t="str">
        <f>E48</f>
        <v>销售额×税（费）率</v>
      </c>
      <c r="O52" s="2522">
        <f>F48</f>
        <v>5.5000000000000007E-2</v>
      </c>
    </row>
    <row r="53" spans="1:35" ht="12" customHeight="1">
      <c r="A53" s="2333" t="s">
        <v>1355</v>
      </c>
      <c r="B53" s="3611" t="s">
        <v>2286</v>
      </c>
      <c r="C53" s="3612"/>
      <c r="D53" s="1086">
        <f ca="1">ROUND(D45*'数据-取费表'!B41/(1+'数据-取费表'!C42),0)</f>
        <v>7541</v>
      </c>
      <c r="E53" s="2332" t="s">
        <v>1353</v>
      </c>
      <c r="F53" s="2550">
        <f>'数据-取费表'!B41</f>
        <v>5.5000000000000007E-2</v>
      </c>
      <c r="G53" s="2551"/>
      <c r="H53" s="2540"/>
      <c r="I53" s="1806"/>
      <c r="J53" s="2519">
        <v>2</v>
      </c>
      <c r="K53" s="3650" t="s">
        <v>1356</v>
      </c>
      <c r="L53" s="3650"/>
      <c r="M53" s="2521">
        <f t="shared" ref="M53:O54" ca="1" si="0">D55</f>
        <v>72</v>
      </c>
      <c r="N53" s="2519" t="str">
        <f t="shared" si="0"/>
        <v>销售额×税（费）率</v>
      </c>
      <c r="O53" s="2522" t="str">
        <f t="shared" si="0"/>
        <v>免征</v>
      </c>
    </row>
    <row r="54" spans="1:35" ht="12" customHeight="1">
      <c r="A54" s="2333" t="s">
        <v>1357</v>
      </c>
      <c r="B54" s="3611" t="s">
        <v>2287</v>
      </c>
      <c r="C54" s="3612"/>
      <c r="D54" s="1086">
        <f ca="1">C68</f>
        <v>7541</v>
      </c>
      <c r="E54" s="327" t="s">
        <v>1358</v>
      </c>
      <c r="F54" s="2550">
        <f>'数据-取费表'!B41</f>
        <v>5.5000000000000007E-2</v>
      </c>
      <c r="G54" s="2551"/>
      <c r="H54" s="2552"/>
      <c r="I54" s="1806"/>
      <c r="J54" s="2519">
        <v>3</v>
      </c>
      <c r="K54" s="3650" t="s">
        <v>1359</v>
      </c>
      <c r="L54" s="3650"/>
      <c r="M54" s="2521">
        <f t="shared" ca="1" si="0"/>
        <v>81612</v>
      </c>
      <c r="N54" s="2519" t="str">
        <f t="shared" si="0"/>
        <v>增值额×税（费）率</v>
      </c>
      <c r="O54" s="2523" t="str">
        <f t="shared" si="0"/>
        <v>免征</v>
      </c>
    </row>
    <row r="55" spans="1:35" ht="24" customHeight="1">
      <c r="A55" s="3600" t="s">
        <v>1360</v>
      </c>
      <c r="B55" s="3601"/>
      <c r="C55" s="3601"/>
      <c r="D55" s="2322">
        <f ca="1">IF(H55="个人住宅",0,ROUND(D45*I55,0))</f>
        <v>72</v>
      </c>
      <c r="E55" s="2332" t="s">
        <v>1361</v>
      </c>
      <c r="F55" s="2550" t="str">
        <f>IF(H55="正常",I55,"免征")</f>
        <v>免征</v>
      </c>
      <c r="G55" s="2551"/>
      <c r="H55" s="2546"/>
      <c r="I55" s="165">
        <f>'数据-取费表'!B49</f>
        <v>5.0000000000000001E-4</v>
      </c>
      <c r="J55" s="2519">
        <f>IF(H59="非个人房产","",4)</f>
        <v>4</v>
      </c>
      <c r="K55" s="3650" t="str">
        <f>IF(H59="非个人房产","——","个人所得税")</f>
        <v>个人所得税</v>
      </c>
      <c r="L55" s="3650"/>
      <c r="M55" s="2524">
        <f ca="1">D59</f>
        <v>1371</v>
      </c>
      <c r="N55" s="2038" t="str">
        <f>E59</f>
        <v>差额计税</v>
      </c>
      <c r="O55" s="2525">
        <f>F59</f>
        <v>0.01</v>
      </c>
    </row>
    <row r="56" spans="1:35" ht="24.75">
      <c r="A56" s="3600" t="s">
        <v>1362</v>
      </c>
      <c r="B56" s="3601"/>
      <c r="C56" s="3601"/>
      <c r="D56" s="2322">
        <f ca="1">IF(H56="个人住宅",D57,D58)</f>
        <v>81612</v>
      </c>
      <c r="E56" s="2332" t="s">
        <v>1363</v>
      </c>
      <c r="F56" s="2550" t="str">
        <f>IF(H56="正常",F58,"免征")</f>
        <v>免征</v>
      </c>
      <c r="G56" s="2553" t="s">
        <v>1364</v>
      </c>
      <c r="H56" s="2554"/>
      <c r="I56" s="1807"/>
      <c r="J56" s="2519" t="str">
        <f>IF(项目基本情况!K6="上海银行",IF(J55="",4,J55+1),"")</f>
        <v/>
      </c>
      <c r="K56" s="3673" t="str">
        <f>IF(项目基本情况!K6="上海银行","其他处置费用","")</f>
        <v/>
      </c>
      <c r="L56" s="3674"/>
      <c r="M56" s="2521" t="str">
        <f>IF(项目基本情况!K6="上海银行",M69,"")</f>
        <v/>
      </c>
      <c r="N56" s="3673" t="str">
        <f>IF(项目基本情况!K6="上海银行","包含处置中涉及的律师、诉讼、拍卖、评估等费用","")</f>
        <v/>
      </c>
      <c r="O56" s="3676"/>
    </row>
    <row r="57" spans="1:35" ht="12.75">
      <c r="A57" s="2333" t="s">
        <v>1340</v>
      </c>
      <c r="B57" s="3611" t="s">
        <v>1365</v>
      </c>
      <c r="C57" s="3612"/>
      <c r="D57" s="1589">
        <v>0</v>
      </c>
      <c r="E57" s="324" t="s">
        <v>1342</v>
      </c>
      <c r="F57" s="302"/>
      <c r="G57" s="2551"/>
      <c r="H57" s="2555"/>
      <c r="I57" s="1807"/>
      <c r="J57" s="3650">
        <f>IF(AND(J55="",J56=""),4,IF(项目基本情况!K6="上海银行",结果表!J56+1,结果表!J55+1))</f>
        <v>5</v>
      </c>
      <c r="K57" s="3650" t="s">
        <v>1366</v>
      </c>
      <c r="L57" s="2526" t="s">
        <v>1367</v>
      </c>
      <c r="M57" s="2527"/>
      <c r="N57" s="2528">
        <f ca="1">SUMIF(M52:M56,"&lt;9e307")</f>
        <v>83055</v>
      </c>
      <c r="O57" s="2529"/>
      <c r="P57" s="2686">
        <f ca="1">N57/M49</f>
        <v>0.57692708441869678</v>
      </c>
    </row>
    <row r="58" spans="1:35" ht="24.75">
      <c r="A58" s="2333" t="s">
        <v>1351</v>
      </c>
      <c r="B58" s="3611" t="s">
        <v>1368</v>
      </c>
      <c r="C58" s="3585"/>
      <c r="D58" s="2322">
        <f ca="1">IF(H58="转让取得",C81,C97)</f>
        <v>81612</v>
      </c>
      <c r="E58" s="2332" t="s">
        <v>1363</v>
      </c>
      <c r="F58" s="302" t="s">
        <v>28</v>
      </c>
      <c r="G58" s="2551"/>
      <c r="H58" s="2554"/>
      <c r="I58" s="1807"/>
      <c r="J58" s="3650"/>
      <c r="K58" s="3650"/>
      <c r="L58" s="2526" t="s">
        <v>1369</v>
      </c>
      <c r="M58" s="2530"/>
      <c r="N58" s="2531" t="str">
        <f ca="1">NUMBERSTRING(INT(N57*10000),2)&amp;"元整"</f>
        <v>捌亿叁仟零伍拾伍万元整</v>
      </c>
      <c r="O58" s="2532"/>
    </row>
    <row r="59" spans="1:35" ht="24.75" thickBot="1">
      <c r="A59" s="3653" t="s">
        <v>1370</v>
      </c>
      <c r="B59" s="3654"/>
      <c r="C59" s="3654"/>
      <c r="D59" s="2556">
        <f ca="1">IF(H59="非个人房产","——",IF(H59="个人住宅（满五唯一有凭证）",0,IF(H59="个人其他（无凭证）",ROUND(D45*F59,0),ROUND(C67*F59,0))))</f>
        <v>1371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2"/>
      <c r="I59" s="2311" t="s">
        <v>2136</v>
      </c>
      <c r="J59" s="3651">
        <f>J57+1</f>
        <v>6</v>
      </c>
      <c r="K59" s="3650" t="s">
        <v>1371</v>
      </c>
      <c r="L59" s="2519" t="s">
        <v>1367</v>
      </c>
      <c r="M59" s="2533"/>
      <c r="N59" s="2534">
        <f ca="1">M49-N57</f>
        <v>60906</v>
      </c>
      <c r="O59" s="2535"/>
    </row>
    <row r="60" spans="1:35" ht="12" customHeight="1">
      <c r="A60" s="1808"/>
      <c r="B60" s="1746"/>
      <c r="C60" s="1746"/>
      <c r="D60" s="1746"/>
      <c r="E60" s="1577"/>
      <c r="F60" s="1807"/>
      <c r="G60" s="1807"/>
      <c r="H60" s="1809"/>
      <c r="I60" s="129"/>
      <c r="J60" s="3652"/>
      <c r="K60" s="3650"/>
      <c r="L60" s="2526" t="s">
        <v>1369</v>
      </c>
      <c r="M60" s="2530"/>
      <c r="N60" s="2531" t="str">
        <f ca="1">NUMBERSTRING(INT(N59*10000),2)&amp;"元整"</f>
        <v>陆亿零玖佰零陆万元整</v>
      </c>
      <c r="O60" s="2532"/>
    </row>
    <row r="61" spans="1:35" ht="13.5" thickBot="1">
      <c r="A61" s="3598" t="s">
        <v>1372</v>
      </c>
      <c r="B61" s="3598"/>
      <c r="C61" s="3598"/>
      <c r="D61" s="3598"/>
      <c r="E61" s="3598"/>
      <c r="F61" s="1807"/>
      <c r="G61" s="1807"/>
      <c r="H61" s="1809"/>
      <c r="I61" s="129"/>
      <c r="J61" s="2519">
        <f>J59+1</f>
        <v>7</v>
      </c>
      <c r="K61" s="3650" t="s">
        <v>1373</v>
      </c>
      <c r="L61" s="3650"/>
      <c r="M61" s="2536"/>
      <c r="N61" s="2537">
        <f ca="1">ROUND(N59*10000/'数据-汇总表'!E3,0)</f>
        <v>11231</v>
      </c>
      <c r="O61" s="2538"/>
    </row>
    <row r="62" spans="1:35" ht="12.75">
      <c r="A62" s="3616" t="s">
        <v>1374</v>
      </c>
      <c r="B62" s="3617"/>
      <c r="C62" s="2019"/>
      <c r="D62" s="2019" t="s">
        <v>1375</v>
      </c>
      <c r="E62" s="166" t="s">
        <v>1376</v>
      </c>
      <c r="F62" s="1807"/>
      <c r="G62" s="1807"/>
      <c r="H62" s="1809"/>
      <c r="I62" s="129"/>
    </row>
    <row r="63" spans="1:35" ht="12.75">
      <c r="A63" s="173" t="s">
        <v>330</v>
      </c>
      <c r="B63" s="167" t="s">
        <v>1377</v>
      </c>
      <c r="C63" s="2560">
        <f ca="1">ROUND((C64+C65)/(1+'数据-取费表'!C42),0)</f>
        <v>137106</v>
      </c>
      <c r="D63" s="167"/>
      <c r="E63" s="168"/>
      <c r="F63" s="1807"/>
      <c r="G63" s="1807"/>
      <c r="H63" s="1809"/>
      <c r="I63" s="129"/>
      <c r="J63" s="3675" t="s">
        <v>1378</v>
      </c>
      <c r="K63" s="1331" t="s">
        <v>1379</v>
      </c>
      <c r="L63" s="1331">
        <f ca="1">IF(M49&gt;10000,M49*0.5%,IF(AND(M49&gt;1000,M49&lt;=10000),M49*1%,IF(AND(M49&gt;100,M49&lt;=1000),M49*3%,IF(AND(M49&gt;10,M49&lt;=100),M49*5%,M49*8%))))</f>
        <v>719.80500000000006</v>
      </c>
      <c r="M63" s="302">
        <f ca="1">ROUND(L63,1)</f>
        <v>719.8</v>
      </c>
      <c r="N63" s="2539"/>
      <c r="Z63" s="1751"/>
      <c r="AI63" s="1752"/>
    </row>
    <row r="64" spans="1:35" ht="14.25" customHeight="1">
      <c r="A64" s="169" t="s">
        <v>325</v>
      </c>
      <c r="B64" s="170" t="s">
        <v>1380</v>
      </c>
      <c r="C64" s="2561">
        <f ca="1">D45</f>
        <v>143961</v>
      </c>
      <c r="D64" s="170" t="s">
        <v>26</v>
      </c>
      <c r="E64" s="172"/>
      <c r="F64" s="1807"/>
      <c r="G64" s="1807"/>
      <c r="H64" s="1809"/>
      <c r="I64" s="129"/>
      <c r="J64" s="3675"/>
      <c r="K64" s="1331" t="s">
        <v>1381</v>
      </c>
      <c r="L64" s="1331">
        <f ca="1">IF(M49&gt;2000,M49*0.5%,IF(AND(M49&gt;1000,M49&lt;=2000),M49*0.6%,IF(AND(M49&gt;500,M49&lt;=1000),M49*0.7%,IF(AND(M49&gt;200,M49&lt;=500),M49*0.8%,IF(AND(M49&gt;100,M49&lt;=200),M49*0.9%,IF(AND(M49&gt;50,M49&lt;=100),M49*1%,IF(AND(M49&gt;20,M49&lt;=50),M49*1.5%,IF(AND(M49&gt;10,M49&lt;=20),M49*2%,IF(AND(M49&gt;1,M49&lt;=10),M49*2.5%)))))))))</f>
        <v>719.80500000000006</v>
      </c>
      <c r="M64" s="302">
        <f t="shared" ref="M64:M65" ca="1" si="1">ROUND(L64,1)</f>
        <v>719.8</v>
      </c>
      <c r="N64" s="2540" t="s">
        <v>1382</v>
      </c>
      <c r="Z64" s="1751"/>
      <c r="AI64" s="1752"/>
    </row>
    <row r="65" spans="1:35" ht="14.25" customHeight="1">
      <c r="A65" s="169" t="s">
        <v>326</v>
      </c>
      <c r="B65" s="170" t="s">
        <v>1383</v>
      </c>
      <c r="C65" s="2562"/>
      <c r="D65" s="170"/>
      <c r="E65" s="172"/>
      <c r="F65" s="1807"/>
      <c r="G65" s="1807"/>
      <c r="H65" s="1809"/>
      <c r="I65" s="129"/>
      <c r="J65" s="3675"/>
      <c r="K65" s="1331" t="s">
        <v>1384</v>
      </c>
      <c r="L65" s="1331">
        <f ca="1">IF(M49&gt;1000,M49*0.1%,IF(AND(M49&gt;500,M49&lt;=1000),M49*0.5%,IF(AND(M49&gt;50,M49&lt;=500),M49*1%,IF(AND(M49&gt;1,M49&lt;=50),M49*1.5%))))</f>
        <v>143.96100000000001</v>
      </c>
      <c r="M65" s="302">
        <f t="shared" ca="1" si="1"/>
        <v>144</v>
      </c>
      <c r="N65" s="2540" t="s">
        <v>1382</v>
      </c>
      <c r="Z65" s="1751"/>
      <c r="AI65" s="1752"/>
    </row>
    <row r="66" spans="1:35" ht="14.25" customHeight="1">
      <c r="A66" s="173" t="s">
        <v>327</v>
      </c>
      <c r="B66" s="174" t="s">
        <v>1385</v>
      </c>
      <c r="C66" s="2563"/>
      <c r="D66" s="174" t="s">
        <v>26</v>
      </c>
      <c r="E66" s="1337" t="s">
        <v>671</v>
      </c>
      <c r="F66" s="1807"/>
      <c r="G66" s="1807"/>
      <c r="H66" s="1809"/>
      <c r="I66" s="129"/>
      <c r="J66" s="3675"/>
      <c r="K66" s="1331" t="s">
        <v>1386</v>
      </c>
      <c r="L66" s="1331">
        <f ca="1">M49*0.5%</f>
        <v>719.80500000000006</v>
      </c>
      <c r="M66" s="302">
        <f ca="1">IF(L66&gt;0.5,0.5,ROUND(L66,0))</f>
        <v>0.5</v>
      </c>
      <c r="N66" s="2540" t="s">
        <v>1387</v>
      </c>
      <c r="Z66" s="1751"/>
      <c r="AI66" s="1752"/>
    </row>
    <row r="67" spans="1:35" ht="14.25" customHeight="1">
      <c r="A67" s="173" t="s">
        <v>328</v>
      </c>
      <c r="B67" s="174" t="s">
        <v>1388</v>
      </c>
      <c r="C67" s="2564">
        <f ca="1">C63-C66</f>
        <v>137106</v>
      </c>
      <c r="D67" s="170" t="s">
        <v>26</v>
      </c>
      <c r="E67" s="172"/>
      <c r="F67" s="1807"/>
      <c r="G67" s="1807"/>
      <c r="H67" s="1809"/>
      <c r="I67" s="129"/>
      <c r="J67" s="3675"/>
      <c r="K67" s="1331" t="s">
        <v>1389</v>
      </c>
      <c r="L67" s="1331">
        <f ca="1">IF(M49&gt;=10000,(8.25+(M49-10000)*0.01%),IF(AND(M49&gt;=8000,M49&lt;10000),(7.85+(M49-8000)*0.02%),IF(AND(M49&gt;=5000,M49&lt;8000),(6.65+(M49-5000)*0.04%),IF(AND(M49&gt;=2000,M49&lt;5000),(4.25+(PM49-2000)*0.08%),IF(AND(M49&gt;=1000,M49&lt;2000),(2.75+(M49-1000)*0.15%),IF(AND(M49&gt;=100,M49&lt;1000),(0.5+(M49-100)*0.25%),IF(AND(M49&gt;0,M49&lt;100),M49*0.5%)))))))</f>
        <v>21.646100000000001</v>
      </c>
      <c r="M67" s="302">
        <f ca="1">ROUND(L67*0.9,1)</f>
        <v>19.5</v>
      </c>
      <c r="N67" s="2539"/>
      <c r="Z67" s="1751"/>
      <c r="AI67" s="1752"/>
    </row>
    <row r="68" spans="1:35" ht="14.25" customHeight="1" thickBot="1">
      <c r="A68" s="176" t="s">
        <v>329</v>
      </c>
      <c r="B68" s="177" t="s">
        <v>1390</v>
      </c>
      <c r="C68" s="2565">
        <f ca="1">IF(C67&lt;=0,0,ROUND(C67*D68,0))</f>
        <v>7541</v>
      </c>
      <c r="D68" s="2566">
        <f>'数据-取费表'!B41</f>
        <v>5.5000000000000007E-2</v>
      </c>
      <c r="E68" s="178"/>
      <c r="F68" s="1807"/>
      <c r="G68" s="1807"/>
      <c r="H68" s="1809"/>
      <c r="I68" s="129"/>
      <c r="J68" s="3675"/>
      <c r="K68" s="1331" t="s">
        <v>1391</v>
      </c>
      <c r="L68" s="1331">
        <f ca="1">IF(M49&gt;10000,M49*0.5%,IF(AND(M49&gt;5000,M49&lt;=10000),M49*1%,IF(AND(M49&gt;1000,M49&lt;=5000),M49*2%,IF(AND(M49&gt;200,M49&lt;=1000),M49*3%,M49*5%))))</f>
        <v>719.80500000000006</v>
      </c>
      <c r="M68" s="302">
        <f ca="1">ROUND(L68,1)</f>
        <v>719.8</v>
      </c>
      <c r="N68" s="2539"/>
      <c r="Z68" s="1751"/>
      <c r="AI68" s="1752"/>
    </row>
    <row r="69" spans="1:35" s="1771" customFormat="1" ht="16.5" customHeight="1">
      <c r="A69" s="1810"/>
      <c r="B69" s="1811"/>
      <c r="C69" s="1812"/>
      <c r="D69" s="1813"/>
      <c r="E69" s="1814"/>
      <c r="F69" s="1577"/>
      <c r="G69" s="1577"/>
      <c r="H69" s="1576"/>
      <c r="I69" s="1746"/>
      <c r="J69" s="3675"/>
      <c r="K69" s="1331" t="s">
        <v>1392</v>
      </c>
      <c r="L69" s="1331"/>
      <c r="M69" s="302">
        <f ca="1">ROUND(SUM(M63:M68),0)</f>
        <v>2323</v>
      </c>
      <c r="N69" s="2541">
        <f ca="1">M69/M49</f>
        <v>1.6136314696341369E-2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7" t="s">
        <v>1393</v>
      </c>
      <c r="B70" s="3638"/>
      <c r="C70" s="3638"/>
      <c r="D70" s="3638"/>
      <c r="E70" s="3638"/>
      <c r="F70" s="3638"/>
      <c r="G70" s="3638"/>
      <c r="H70" s="3638"/>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6" t="s">
        <v>1374</v>
      </c>
      <c r="B71" s="3617"/>
      <c r="C71" s="2019"/>
      <c r="D71" s="2019"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f ca="1">ROUND(D45/(1+'数据-取费表'!C42),0)</f>
        <v>137106</v>
      </c>
      <c r="D72" s="170" t="s">
        <v>26</v>
      </c>
      <c r="E72" s="2329"/>
      <c r="F72" s="2328"/>
      <c r="G72" s="2328"/>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f ca="1">C74+C78</f>
        <v>686</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611" t="s">
        <v>1401</v>
      </c>
      <c r="F76" s="3585"/>
      <c r="G76" s="3585"/>
      <c r="H76" s="36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2322" t="s">
        <v>1403</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f ca="1">ROUND(D45*D78/(1+'数据-取费表'!C42),0)</f>
        <v>686</v>
      </c>
      <c r="D78" s="2573">
        <f>'数据-取费表'!B43</f>
        <v>5.000000000000001E-3</v>
      </c>
      <c r="E78" s="3595" t="s">
        <v>1405</v>
      </c>
      <c r="F78" s="3596"/>
      <c r="G78" s="3596"/>
      <c r="H78" s="360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f ca="1">C72-C73</f>
        <v>136420</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f ca="1">IF(C79&lt;=0,0,C79/C73)</f>
        <v>198.86297376093293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f ca="1">ROUND(IF(C79&lt;=0,0,IF(C80&gt;=200%,C79*60%-C73*35%,IF(C80&gt;=100%,C79*50%-C73*15%,IF(C80&gt;=50%,C79*40%-C73*5%,IF(C80&lt;50%,C79*30%,0))))),0)</f>
        <v>81612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7" t="s">
        <v>1409</v>
      </c>
      <c r="B83" s="3638"/>
      <c r="C83" s="3638"/>
      <c r="D83" s="3638"/>
      <c r="E83" s="3638"/>
      <c r="F83" s="3638"/>
      <c r="G83" s="3638"/>
      <c r="H83" s="36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6" t="s">
        <v>1374</v>
      </c>
      <c r="B84" s="3617"/>
      <c r="C84" s="2019"/>
      <c r="D84" s="2019"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f ca="1">ROUND(D45/(1+'数据-取费表'!C42),0)</f>
        <v>137106</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f ca="1">IF(H88="仅含出让金",C87+C90+C91+C92+C93+C94,C87+C91+C92+C93+C94)</f>
        <v>686</v>
      </c>
      <c r="D86" s="2577"/>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2325"/>
      <c r="G88" s="194" t="s">
        <v>1413</v>
      </c>
      <c r="H88" s="1823"/>
      <c r="I88" s="1820"/>
      <c r="J88" s="2517"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2325"/>
      <c r="G90" s="3677" t="s">
        <v>2128</v>
      </c>
      <c r="H90" s="3678"/>
      <c r="I90" s="1820"/>
      <c r="J90" s="2517"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595" t="s">
        <v>1418</v>
      </c>
      <c r="F91" s="3596"/>
      <c r="G91" s="359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595" t="s">
        <v>1421</v>
      </c>
      <c r="F92" s="3596"/>
      <c r="G92" s="3596"/>
      <c r="H92" s="3605"/>
      <c r="I92" s="1820"/>
      <c r="J92" s="2518"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f ca="1">ROUND(D45*D93/(1+'数据-取费表'!C42),0)</f>
        <v>686</v>
      </c>
      <c r="D93" s="2573">
        <f>'数据-取费表'!B43</f>
        <v>5.000000000000001E-3</v>
      </c>
      <c r="E93" s="3595" t="s">
        <v>1405</v>
      </c>
      <c r="F93" s="3596"/>
      <c r="G93" s="3596"/>
      <c r="H93" s="360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606" t="s">
        <v>1425</v>
      </c>
      <c r="F94" s="3607"/>
      <c r="G94" s="3607"/>
      <c r="H94" s="360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f ca="1">ROUND(C85-C86,0)</f>
        <v>136420</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f ca="1">IF(C95&lt;=0,0,C95/C86)</f>
        <v>198.86297376093293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f ca="1">ROUND(IF(C95&lt;=0,0,IF(C96&gt;=200%,C95*60%-C86*35%,IF(C96&gt;=100%,C95*50%-C86*15%,IF(C96&gt;=50%,C95*40%-C86*5%,IF(C96&lt;50%,C95*30%,0))))),0)</f>
        <v>81612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79" t="s">
        <v>1427</v>
      </c>
      <c r="B100" s="3580"/>
      <c r="C100" s="3580"/>
      <c r="D100" s="3597"/>
      <c r="E100" s="3580" t="s">
        <v>1428</v>
      </c>
      <c r="F100" s="3580"/>
      <c r="G100" s="3580"/>
      <c r="H100" s="3597"/>
      <c r="I100" s="129"/>
    </row>
    <row r="101" spans="1:35" ht="18.75" customHeight="1">
      <c r="A101" s="3658" t="s">
        <v>1429</v>
      </c>
      <c r="B101" s="3659"/>
      <c r="C101" s="2581" t="str">
        <f>C4</f>
        <v>成本法</v>
      </c>
      <c r="D101" s="2582" t="str">
        <f>D4</f>
        <v>假设开发法</v>
      </c>
      <c r="E101" s="3672" t="s">
        <v>1430</v>
      </c>
      <c r="F101" s="3629"/>
      <c r="G101" s="1826" t="s">
        <v>1431</v>
      </c>
      <c r="H101" s="2591">
        <f ca="1">H118</f>
        <v>143961</v>
      </c>
      <c r="I101" s="129"/>
    </row>
    <row r="102" spans="1:35" ht="18.75" customHeight="1">
      <c r="A102" s="3631" t="s">
        <v>1432</v>
      </c>
      <c r="B102" s="2580" t="s">
        <v>1431</v>
      </c>
      <c r="C102" s="2581">
        <f ca="1">IF(D32="楼面单价",ROUND(C19,0),C19)</f>
        <v>148364</v>
      </c>
      <c r="D102" s="2582">
        <f ca="1">IF(D32="楼面单价",ROUND(D19,0),D19)</f>
        <v>139557</v>
      </c>
      <c r="E102" s="3672"/>
      <c r="F102" s="3629"/>
      <c r="G102" s="1826" t="s">
        <v>1433</v>
      </c>
      <c r="H102" s="2551">
        <f ca="1">I118</f>
        <v>26546</v>
      </c>
      <c r="I102" s="129"/>
    </row>
    <row r="103" spans="1:35" ht="42.75" customHeight="1">
      <c r="A103" s="3631"/>
      <c r="B103" s="2580" t="s">
        <v>1433</v>
      </c>
      <c r="C103" s="2583">
        <f ca="1">C20</f>
        <v>27358</v>
      </c>
      <c r="D103" s="2584">
        <f ca="1">D20</f>
        <v>25734</v>
      </c>
      <c r="E103" s="3666" t="s">
        <v>1434</v>
      </c>
      <c r="F103" s="3667"/>
      <c r="G103" s="1827" t="s">
        <v>1435</v>
      </c>
      <c r="H103" s="2591">
        <f>IF(D36="正常操作",H104+H105+H106,H105+H106)</f>
        <v>0</v>
      </c>
      <c r="I103" s="129"/>
    </row>
    <row r="104" spans="1:35" ht="18.75" customHeight="1">
      <c r="A104" s="3631" t="s">
        <v>1436</v>
      </c>
      <c r="B104" s="2585" t="s">
        <v>1431</v>
      </c>
      <c r="C104" s="2586">
        <f ca="1">H118</f>
        <v>143961</v>
      </c>
      <c r="D104" s="2587"/>
      <c r="E104" s="1673" t="s">
        <v>1437</v>
      </c>
      <c r="F104" s="1665"/>
      <c r="G104" s="1827" t="s">
        <v>1435</v>
      </c>
      <c r="H104" s="2592">
        <f>IF(D36="同一抵押权人同一抵押物续贷",C36&amp;"（续贷，未扣减，详见特别提示）",C36)</f>
        <v>0</v>
      </c>
      <c r="I104" s="129"/>
    </row>
    <row r="105" spans="1:35" ht="18.75" customHeight="1" thickBot="1">
      <c r="A105" s="3632"/>
      <c r="B105" s="2588" t="s">
        <v>1433</v>
      </c>
      <c r="C105" s="2589">
        <f ca="1">I118</f>
        <v>26546</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628" t="str">
        <f>IF(项目基本情况!E8="已注销","——","3.房地产抵押价值")</f>
        <v>3.房地产抵押价值</v>
      </c>
      <c r="F107" s="3629"/>
      <c r="G107" s="1826" t="s">
        <v>1431</v>
      </c>
      <c r="H107" s="2591">
        <f ca="1">IF(E107="——","——",H101-H103)</f>
        <v>143961</v>
      </c>
      <c r="I107" s="129"/>
    </row>
    <row r="108" spans="1:35" ht="18.75" customHeight="1">
      <c r="A108" s="129"/>
      <c r="B108" s="129"/>
      <c r="C108" s="129"/>
      <c r="D108" s="129"/>
      <c r="E108" s="3628"/>
      <c r="F108" s="3629"/>
      <c r="G108" s="1826" t="s">
        <v>1433</v>
      </c>
      <c r="H108" s="2551">
        <f ca="1">IF(H107=H101,H102,ROUND(H107*10000/'数据-汇总表'!E3,0))</f>
        <v>26546</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629"/>
      <c r="G109" s="1826" t="s">
        <v>1431</v>
      </c>
      <c r="H109" s="2594" t="str">
        <f>IF(E109="——","——",H101-H105-H106)</f>
        <v>——</v>
      </c>
      <c r="I109" s="129"/>
    </row>
    <row r="110" spans="1:35" ht="18.75" customHeight="1">
      <c r="A110" s="129"/>
      <c r="B110" s="129"/>
      <c r="C110" s="129"/>
      <c r="D110" s="129"/>
      <c r="E110" s="3628"/>
      <c r="F110" s="3629"/>
      <c r="G110" s="1826" t="s">
        <v>1433</v>
      </c>
      <c r="H110" s="2551" t="str">
        <f>IF(H109="——","——",ROUND(H109*10000/'数据-汇总表'!E3,0))</f>
        <v>——</v>
      </c>
      <c r="I110" s="129"/>
    </row>
    <row r="111" spans="1:35" ht="18.75" customHeight="1">
      <c r="A111" s="129"/>
      <c r="B111" s="129"/>
      <c r="C111" s="129"/>
      <c r="D111" s="129"/>
      <c r="E111" s="3660" t="str">
        <f>IF(项目基本情况!E9="抵押净值",IF(OR(项目基本情况!E8="已注销",项目基本情况!E8="房地产抵押价值"),"4.抵押净值","5.抵押净值"),"——")</f>
        <v>——</v>
      </c>
      <c r="F111" s="3630"/>
      <c r="G111" s="1826" t="s">
        <v>1431</v>
      </c>
      <c r="H111" s="2591" t="str">
        <f>IF(E111="——","——",N59)</f>
        <v>——</v>
      </c>
      <c r="I111" s="129"/>
    </row>
    <row r="112" spans="1:35" ht="18.75" customHeight="1" thickBot="1">
      <c r="A112" s="129"/>
      <c r="B112" s="129"/>
      <c r="C112" s="129"/>
      <c r="D112" s="129"/>
      <c r="E112" s="3661"/>
      <c r="F112" s="3662"/>
      <c r="G112" s="1829" t="s">
        <v>1433</v>
      </c>
      <c r="H112" s="2595" t="str">
        <f>IF(E111="——","——",N61)</f>
        <v>——</v>
      </c>
      <c r="I112" s="129"/>
    </row>
    <row r="113" spans="1:27" ht="18.75" customHeight="1">
      <c r="A113" s="129"/>
      <c r="B113" s="129"/>
      <c r="C113" s="129"/>
      <c r="D113" s="129"/>
      <c r="E113" s="3633" t="s">
        <v>1439</v>
      </c>
      <c r="F113" s="3633"/>
      <c r="G113" s="3633"/>
      <c r="H113" s="3633"/>
      <c r="I113" s="129"/>
    </row>
    <row r="114" spans="1:27" ht="3.75" customHeight="1">
      <c r="A114" s="1746"/>
      <c r="B114" s="1746"/>
      <c r="C114" s="1746"/>
      <c r="D114" s="1746"/>
      <c r="E114" s="1808"/>
      <c r="F114" s="1808"/>
      <c r="G114" s="1808"/>
      <c r="H114" s="1808"/>
      <c r="I114" s="1746"/>
    </row>
    <row r="115" spans="1:27" ht="18.75" customHeight="1">
      <c r="A115" s="3643" t="s">
        <v>1441</v>
      </c>
      <c r="B115" s="3644"/>
      <c r="C115" s="3644"/>
      <c r="D115" s="3644"/>
      <c r="E115" s="3644"/>
      <c r="F115" s="3644"/>
      <c r="G115" s="3644"/>
      <c r="H115" s="3644"/>
      <c r="I115" s="3645"/>
    </row>
    <row r="116" spans="1:27" ht="27" customHeight="1">
      <c r="A116" s="3599" t="s">
        <v>1442</v>
      </c>
      <c r="B116" s="3634" t="s">
        <v>1443</v>
      </c>
      <c r="C116" s="3634" t="s">
        <v>1444</v>
      </c>
      <c r="D116" s="3647" t="s">
        <v>1445</v>
      </c>
      <c r="E116" s="3648"/>
      <c r="F116" s="3642" t="s">
        <v>1446</v>
      </c>
      <c r="G116" s="3642"/>
      <c r="H116" s="3599" t="s">
        <v>1447</v>
      </c>
      <c r="I116" s="3599"/>
    </row>
    <row r="117" spans="1:27" ht="18.75" customHeight="1">
      <c r="A117" s="3599"/>
      <c r="B117" s="3635"/>
      <c r="C117" s="3635"/>
      <c r="D117" s="2327" t="s">
        <v>1448</v>
      </c>
      <c r="E117" s="2327" t="s">
        <v>1449</v>
      </c>
      <c r="F117" s="2327" t="s">
        <v>1448</v>
      </c>
      <c r="G117" s="2327" t="s">
        <v>1450</v>
      </c>
      <c r="H117" s="2327" t="s">
        <v>1448</v>
      </c>
      <c r="I117" s="2327" t="s">
        <v>1450</v>
      </c>
    </row>
    <row r="118" spans="1:27" ht="24.75" customHeight="1">
      <c r="A118" s="2596" t="str">
        <f>项目基本情况!S2</f>
        <v>北京市昌平区东小口马连店1803-610地块R2二类居住用地出让国有建设用地使用权及在建建筑物房地产</v>
      </c>
      <c r="B118" s="2327">
        <f>M18</f>
        <v>54229.759999999966</v>
      </c>
      <c r="C118" s="2327">
        <f>M19</f>
        <v>13913.02</v>
      </c>
      <c r="D118" s="2327">
        <f ca="1">ROUND(IF(D32="总价",C34,E118*B118/10000),0)</f>
        <v>130285</v>
      </c>
      <c r="E118" s="2327">
        <f ca="1">ROUND(IF(C33="自定义",IF(D32="楼面单价",C34,D118*10000/B118),I118-G118),0)</f>
        <v>24024</v>
      </c>
      <c r="F118" s="2327">
        <f ca="1">ROUND(IF(D32="总价",C35,G118*B118/10000),0)</f>
        <v>13676</v>
      </c>
      <c r="G118" s="2327">
        <f ca="1">ROUND(IF(D32="楼面单价",C35,F118*10000/B118),0)</f>
        <v>2522</v>
      </c>
      <c r="H118" s="2327">
        <f ca="1">ROUND(IF(D32="总价",C32,I118*B118/10000),0)</f>
        <v>143961</v>
      </c>
      <c r="I118" s="2327">
        <f ca="1">ROUND(IF(D32="楼面单价",C32,H118*10000/B118),0)</f>
        <v>26546</v>
      </c>
    </row>
    <row r="119" spans="1:27" ht="18.75" customHeight="1">
      <c r="A119" s="3599" t="s">
        <v>1451</v>
      </c>
      <c r="B119" s="3599"/>
      <c r="C119" s="3599"/>
      <c r="D119" s="3639" t="str">
        <f ca="1">NUMBERSTRING(INT(D118*10000),2)&amp;"元整"</f>
        <v>壹拾叁亿零贰佰捌拾伍万元整</v>
      </c>
      <c r="E119" s="3641"/>
      <c r="F119" s="3639" t="str">
        <f ca="1">NUMBERSTRING(INT(F118*10000),2)&amp;"元整"</f>
        <v>壹亿叁仟陆佰柒拾陆万元整</v>
      </c>
      <c r="G119" s="3641"/>
      <c r="H119" s="3639" t="str">
        <f ca="1">NUMBERSTRING(INT(H118*10000),2)&amp;"元整"</f>
        <v>壹拾肆亿叁仟玖佰陆拾壹万元整</v>
      </c>
      <c r="I119" s="3641"/>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9" t="s">
        <v>1451</v>
      </c>
      <c r="B121" s="3640"/>
      <c r="C121" s="3641"/>
      <c r="D121" s="3639" t="str">
        <f>IF(D120=0,"零元整",NUMBERSTRING(INT(D120*10000),2)&amp;"元整")</f>
        <v>零元整</v>
      </c>
      <c r="E121" s="3640"/>
      <c r="F121" s="3640"/>
      <c r="G121" s="3640"/>
      <c r="H121" s="3640"/>
      <c r="I121" s="3641"/>
      <c r="AA121" s="724"/>
    </row>
    <row r="122" spans="1:27" ht="18.75" customHeight="1">
      <c r="A122" s="3630" t="str">
        <f>IF(项目基本情况!B9="房地产市场价值","",MID(E107,3,LEN(E107)-2))</f>
        <v>房地产抵押价值</v>
      </c>
      <c r="B122" s="3630"/>
      <c r="C122" s="3630"/>
      <c r="D122" s="3663">
        <f ca="1">H107</f>
        <v>143961</v>
      </c>
      <c r="E122" s="3664"/>
      <c r="F122" s="3664"/>
      <c r="G122" s="3664"/>
      <c r="H122" s="3664"/>
      <c r="I122" s="3665"/>
      <c r="AA122" s="724"/>
    </row>
    <row r="123" spans="1:27" ht="18.75" customHeight="1">
      <c r="A123" s="3599" t="s">
        <v>1451</v>
      </c>
      <c r="B123" s="3599"/>
      <c r="C123" s="3599"/>
      <c r="D123" s="3639" t="str">
        <f ca="1">NUMBERSTRING(INT(D122*10000),2)&amp;"元整"</f>
        <v>壹拾肆亿叁仟玖佰陆拾壹万元整</v>
      </c>
      <c r="E123" s="3640"/>
      <c r="F123" s="3640"/>
      <c r="G123" s="3640"/>
      <c r="H123" s="3640"/>
      <c r="I123" s="3641"/>
      <c r="AA123" s="724"/>
    </row>
    <row r="124" spans="1:27" ht="18.75" customHeight="1">
      <c r="A124" s="3630" t="str">
        <f>IF(项目基本情况!B9="房地产市场价值","",MID(E109,3,LEN(E109)-2))</f>
        <v/>
      </c>
      <c r="B124" s="3630"/>
      <c r="C124" s="3630"/>
      <c r="D124" s="3663" t="str">
        <f>H109</f>
        <v>——</v>
      </c>
      <c r="E124" s="3664"/>
      <c r="F124" s="3664"/>
      <c r="G124" s="3664"/>
      <c r="H124" s="3664"/>
      <c r="I124" s="3665"/>
      <c r="AA124" s="724"/>
    </row>
    <row r="125" spans="1:27" ht="18.75" customHeight="1">
      <c r="A125" s="3599" t="s">
        <v>1451</v>
      </c>
      <c r="B125" s="3599"/>
      <c r="C125" s="3599"/>
      <c r="D125" s="3639" t="e">
        <f>NUMBERSTRING(INT(D124*10000),2)&amp;"元整"</f>
        <v>#VALUE!</v>
      </c>
      <c r="E125" s="3640"/>
      <c r="F125" s="3640"/>
      <c r="G125" s="3640"/>
      <c r="H125" s="3640"/>
      <c r="I125" s="3641"/>
      <c r="AA125" s="724"/>
    </row>
    <row r="126" spans="1:27" ht="18.75" customHeight="1">
      <c r="A126" s="3630" t="str">
        <f>IF(项目基本情况!B9="房地产市场价值","",MID(E111,3,LEN(E111)-2))</f>
        <v/>
      </c>
      <c r="B126" s="3630"/>
      <c r="C126" s="3630"/>
      <c r="D126" s="3663" t="str">
        <f>H111</f>
        <v>——</v>
      </c>
      <c r="E126" s="3664"/>
      <c r="F126" s="3664"/>
      <c r="G126" s="3664"/>
      <c r="H126" s="3664"/>
      <c r="I126" s="3665"/>
      <c r="AA126" s="724"/>
    </row>
    <row r="127" spans="1:27" ht="18.75" customHeight="1">
      <c r="A127" s="3599" t="s">
        <v>1451</v>
      </c>
      <c r="B127" s="3599"/>
      <c r="C127" s="3599"/>
      <c r="D127" s="3639" t="e">
        <f>NUMBERSTRING(INT(D126*10000),2)&amp;"元整"</f>
        <v>#VALUE!</v>
      </c>
      <c r="E127" s="3640"/>
      <c r="F127" s="3640"/>
      <c r="G127" s="3640"/>
      <c r="H127" s="3640"/>
      <c r="I127" s="3641"/>
      <c r="AA127" s="724"/>
    </row>
    <row r="128" spans="1:27" ht="21.75" customHeight="1">
      <c r="A128" s="3646" t="s">
        <v>1452</v>
      </c>
      <c r="B128" s="3646"/>
      <c r="C128" s="3646"/>
      <c r="D128" s="3646"/>
      <c r="E128" s="3646"/>
      <c r="F128" s="3646"/>
      <c r="G128" s="3646"/>
      <c r="H128" s="3646"/>
      <c r="I128" s="3646"/>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6" t="str">
        <f>项目基本情况!B1</f>
        <v>北京市昌平区东小口马连店1803-610地块R2二类居住用地出让国有建设用地使用权及在建建筑物房地产抵押价值预评估</v>
      </c>
      <c r="C37" s="3496"/>
      <c r="D37" s="3496"/>
      <c r="E37" s="3496"/>
      <c r="F37" s="3496"/>
      <c r="G37" s="3496"/>
      <c r="H37" s="3496"/>
      <c r="I37" s="349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85" zoomScaleNormal="60" zoomScaleSheetLayoutView="85" workbookViewId="0">
      <selection activeCell="C11" sqref="C11"/>
    </sheetView>
  </sheetViews>
  <sheetFormatPr defaultColWidth="9" defaultRowHeight="14.25"/>
  <cols>
    <col min="1" max="1" width="14.375" style="357" customWidth="1"/>
    <col min="2" max="2" width="15.75" style="357" customWidth="1"/>
    <col min="3" max="3" width="17.12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f>F65</f>
        <v>106460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1463</v>
      </c>
      <c r="B3" s="557">
        <f>ROUND(IF(D3="",B2*10000/'数据-汇总表'!E3,B2*10000/D3),0)</f>
        <v>19631</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1768</v>
      </c>
      <c r="B4" s="356"/>
      <c r="C4" s="3683" t="s">
        <v>1769</v>
      </c>
      <c r="D4" s="3695"/>
      <c r="E4" s="3696" t="s">
        <v>1770</v>
      </c>
      <c r="F4" s="3697"/>
      <c r="G4" s="3683" t="s">
        <v>1771</v>
      </c>
      <c r="H4" s="3695"/>
      <c r="I4" s="3683" t="s">
        <v>1772</v>
      </c>
      <c r="J4" s="3695"/>
      <c r="K4" s="558" t="s">
        <v>1773</v>
      </c>
      <c r="L4" s="2711"/>
      <c r="M4" s="2712"/>
      <c r="N4" s="2712"/>
      <c r="O4" s="2712"/>
      <c r="P4" s="3698" t="s">
        <v>1774</v>
      </c>
      <c r="Q4" s="3699"/>
      <c r="R4" s="3704" t="s">
        <v>1770</v>
      </c>
      <c r="S4" s="3705"/>
      <c r="T4" s="3704" t="s">
        <v>1771</v>
      </c>
      <c r="U4" s="3705"/>
      <c r="V4" s="3691" t="s">
        <v>1772</v>
      </c>
      <c r="W4" s="3691"/>
      <c r="X4" s="1354"/>
      <c r="Y4" s="3704" t="s">
        <v>1774</v>
      </c>
      <c r="Z4" s="3705"/>
      <c r="AA4" s="3692" t="s">
        <v>1770</v>
      </c>
      <c r="AB4" s="3693" t="s">
        <v>1771</v>
      </c>
      <c r="AC4" s="3692" t="s">
        <v>1772</v>
      </c>
    </row>
    <row r="5" spans="1:30" ht="51.75" customHeight="1">
      <c r="A5" s="358"/>
      <c r="B5" s="359"/>
      <c r="C5" s="3712" t="s">
        <v>1672</v>
      </c>
      <c r="D5" s="3713"/>
      <c r="E5" s="3719" t="str">
        <f>土地!A3</f>
        <v>北京市昌平区朱辛庄新区二期土地一级开发项目CP01-0801-0028地块R2二类居住用地</v>
      </c>
      <c r="F5" s="3720"/>
      <c r="G5" s="3712" t="str">
        <f>土地!A12</f>
        <v>北京市海淀区西北旺镇HD00-0403街区永丰产业基地(新)F2地块HD00-0403-0019、0018地块R2二类居住用地、F3其他类多功能用地</v>
      </c>
      <c r="H5" s="3713"/>
      <c r="I5" s="3712" t="str">
        <f>土地!A9</f>
        <v>北京市昌平区中关村生命科学园三期及“北四村”棚户区改造土地开发A地块CP02-0101-6004、6005地块R2二类居住用地</v>
      </c>
      <c r="J5" s="3713"/>
      <c r="K5" s="558"/>
      <c r="L5" s="2711"/>
      <c r="M5" s="2712"/>
      <c r="N5" s="2712"/>
      <c r="O5" s="2712"/>
      <c r="P5" s="3700"/>
      <c r="Q5" s="3701"/>
      <c r="R5" s="3706"/>
      <c r="S5" s="3707"/>
      <c r="T5" s="3706"/>
      <c r="U5" s="3707"/>
      <c r="V5" s="3691"/>
      <c r="W5" s="3691"/>
      <c r="X5" s="1354"/>
      <c r="Y5" s="3706"/>
      <c r="Z5" s="3707"/>
      <c r="AA5" s="3693"/>
      <c r="AB5" s="3693"/>
      <c r="AC5" s="3693"/>
    </row>
    <row r="6" spans="1:30" ht="15.75" thickBot="1">
      <c r="A6" s="360"/>
      <c r="B6" s="361"/>
      <c r="C6" s="3710" t="s">
        <v>1676</v>
      </c>
      <c r="D6" s="3711"/>
      <c r="E6" s="3717" t="s">
        <v>1676</v>
      </c>
      <c r="F6" s="3718"/>
      <c r="G6" s="3710" t="s">
        <v>1676</v>
      </c>
      <c r="H6" s="3711"/>
      <c r="I6" s="3710" t="s">
        <v>1676</v>
      </c>
      <c r="J6" s="3711"/>
      <c r="K6" s="558" t="s">
        <v>1677</v>
      </c>
      <c r="L6" s="2711"/>
      <c r="M6" s="2712"/>
      <c r="N6" s="2712"/>
      <c r="O6" s="2712"/>
      <c r="P6" s="3702"/>
      <c r="Q6" s="3703"/>
      <c r="R6" s="3706"/>
      <c r="S6" s="3707"/>
      <c r="T6" s="3708"/>
      <c r="U6" s="3709"/>
      <c r="V6" s="3691"/>
      <c r="W6" s="3691"/>
      <c r="X6" s="1354"/>
      <c r="Y6" s="3708"/>
      <c r="Z6" s="3709"/>
      <c r="AA6" s="3694"/>
      <c r="AB6" s="3694"/>
      <c r="AC6" s="3694"/>
    </row>
    <row r="7" spans="1:30" s="108" customFormat="1" ht="15.75" thickBot="1">
      <c r="A7" s="362" t="s">
        <v>1678</v>
      </c>
      <c r="B7" s="363"/>
      <c r="C7" s="364">
        <f>'数据-取费表'!B2</f>
        <v>45009</v>
      </c>
      <c r="D7" s="365">
        <v>100</v>
      </c>
      <c r="E7" s="366">
        <f>土地!AC3</f>
        <v>45008.000497685185</v>
      </c>
      <c r="F7" s="367">
        <f>SUMIF(69:69,YEAR(E7)&amp;"-"&amp;INT((MONTH(E7)+2)/3),70:70)</f>
        <v>100</v>
      </c>
      <c r="G7" s="1972">
        <f>土地!AC12</f>
        <v>44827.000497685185</v>
      </c>
      <c r="H7" s="365">
        <f>SUMIF(69:69,YEAR(G7)&amp;"-"&amp;INT((MONTH(G7)+2)/3),70:70)</f>
        <v>99</v>
      </c>
      <c r="I7" s="1972">
        <f>土地!AC9</f>
        <v>44827.000497685185</v>
      </c>
      <c r="J7" s="365">
        <f>SUMIF(69:69,YEAR(I7)&amp;"-"&amp;INT((MONTH(I7)+2)/3),70:70)</f>
        <v>99</v>
      </c>
      <c r="K7" s="559"/>
      <c r="L7" s="2713"/>
      <c r="M7" s="2714"/>
      <c r="N7" s="2714"/>
      <c r="O7" s="2714"/>
      <c r="P7" s="3714" t="s">
        <v>1679</v>
      </c>
      <c r="Q7" s="3716"/>
      <c r="R7" s="700" t="s">
        <v>14</v>
      </c>
      <c r="S7" s="701">
        <f t="shared" ref="S7:S15" si="0">F7</f>
        <v>100</v>
      </c>
      <c r="T7" s="700" t="s">
        <v>14</v>
      </c>
      <c r="U7" s="701">
        <f t="shared" ref="U7:U15" si="1">H7</f>
        <v>99</v>
      </c>
      <c r="V7" s="700" t="s">
        <v>14</v>
      </c>
      <c r="W7" s="701">
        <f t="shared" ref="W7:W15" si="2">J7</f>
        <v>99</v>
      </c>
      <c r="X7" s="702"/>
      <c r="Y7" s="3714" t="s">
        <v>1679</v>
      </c>
      <c r="Z7" s="3715"/>
      <c r="AA7" s="703">
        <f>D7/F7</f>
        <v>1</v>
      </c>
      <c r="AB7" s="703">
        <f>D7/H7</f>
        <v>1.0101010101010102</v>
      </c>
      <c r="AC7" s="703">
        <f>D7/J7</f>
        <v>1.0101010101010102</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59"/>
      <c r="L8" s="2713"/>
      <c r="M8" s="2714"/>
      <c r="N8" s="2714"/>
      <c r="O8" s="2714"/>
      <c r="P8" s="3714" t="s">
        <v>1682</v>
      </c>
      <c r="Q8" s="3715"/>
      <c r="R8" s="700" t="s">
        <v>14</v>
      </c>
      <c r="S8" s="701">
        <f t="shared" si="0"/>
        <v>100</v>
      </c>
      <c r="T8" s="700" t="s">
        <v>14</v>
      </c>
      <c r="U8" s="701">
        <f t="shared" si="1"/>
        <v>100</v>
      </c>
      <c r="V8" s="700" t="s">
        <v>14</v>
      </c>
      <c r="W8" s="701">
        <f t="shared" si="2"/>
        <v>100</v>
      </c>
      <c r="X8" s="702"/>
      <c r="Y8" s="3714" t="s">
        <v>1682</v>
      </c>
      <c r="Z8" s="3715"/>
      <c r="AA8" s="703">
        <f t="shared" ref="AA8:AA45" si="3">D8/F8</f>
        <v>1</v>
      </c>
      <c r="AB8" s="703">
        <f t="shared" ref="AB8:AB45" si="4">D8/H8</f>
        <v>1</v>
      </c>
      <c r="AC8" s="703">
        <f t="shared" ref="AC8:AC45" si="5">D8/J8</f>
        <v>1</v>
      </c>
    </row>
    <row r="9" spans="1:30" s="108" customFormat="1">
      <c r="A9" s="369" t="s">
        <v>1683</v>
      </c>
      <c r="B9" s="63" t="s">
        <v>1684</v>
      </c>
      <c r="C9" s="1975" t="s">
        <v>3385</v>
      </c>
      <c r="D9" s="126">
        <v>100</v>
      </c>
      <c r="E9" s="1975" t="s">
        <v>3385</v>
      </c>
      <c r="F9" s="126">
        <f>SUMIF(74:74,E9,75:75)-SUMIF(74:74,C9,75:75)+100</f>
        <v>100</v>
      </c>
      <c r="G9" s="1975" t="s">
        <v>3385</v>
      </c>
      <c r="H9" s="126">
        <f>SUMIF(74:74,G9,75:75)-SUMIF(74:74,C9,75:75)+100</f>
        <v>100</v>
      </c>
      <c r="I9" s="1975" t="s">
        <v>3385</v>
      </c>
      <c r="J9" s="126">
        <f>SUMIF(74:74,I9,75:75)-SUMIF(74:74,C9,75:75)+100</f>
        <v>100</v>
      </c>
      <c r="K9" s="559"/>
      <c r="L9" s="2713"/>
      <c r="M9" s="2714"/>
      <c r="N9" s="2714"/>
      <c r="O9" s="2768"/>
      <c r="P9" s="3686"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30" s="378" customFormat="1" ht="27">
      <c r="A10" s="374"/>
      <c r="B10" s="375" t="s">
        <v>1687</v>
      </c>
      <c r="C10" s="383">
        <f>项目基本情况!C15</f>
        <v>68.209999999999994</v>
      </c>
      <c r="D10" s="127">
        <v>100</v>
      </c>
      <c r="E10" s="416"/>
      <c r="F10" s="127">
        <f>ROUND(100/'数据-取费表'!G16,0)</f>
        <v>101</v>
      </c>
      <c r="G10" s="414"/>
      <c r="H10" s="127">
        <f>ROUND(100/'数据-取费表'!G16,0)</f>
        <v>101</v>
      </c>
      <c r="I10" s="414"/>
      <c r="J10" s="127">
        <f>ROUND(100/'数据-取费表'!G16,0)</f>
        <v>101</v>
      </c>
      <c r="K10" s="619"/>
      <c r="L10" s="2715"/>
      <c r="M10" s="2716"/>
      <c r="N10" s="2716"/>
      <c r="O10" s="2769"/>
      <c r="P10" s="3686"/>
      <c r="Q10" s="1342" t="str">
        <f t="shared" si="6"/>
        <v>土地使用年限（年）</v>
      </c>
      <c r="R10" s="700" t="s">
        <v>14</v>
      </c>
      <c r="S10" s="701">
        <f t="shared" si="0"/>
        <v>101</v>
      </c>
      <c r="T10" s="700" t="s">
        <v>14</v>
      </c>
      <c r="U10" s="701">
        <f t="shared" si="1"/>
        <v>101</v>
      </c>
      <c r="V10" s="700" t="s">
        <v>14</v>
      </c>
      <c r="W10" s="701">
        <f t="shared" si="2"/>
        <v>101</v>
      </c>
      <c r="X10" s="702"/>
      <c r="Y10" s="3586"/>
      <c r="Z10" s="52" t="str">
        <f t="shared" si="7"/>
        <v>土地使用年限（年）</v>
      </c>
      <c r="AA10" s="703">
        <f t="shared" si="3"/>
        <v>0.99009900990099009</v>
      </c>
      <c r="AB10" s="703">
        <f t="shared" si="4"/>
        <v>0.99009900990099009</v>
      </c>
      <c r="AC10" s="703">
        <f t="shared" si="5"/>
        <v>0.99009900990099009</v>
      </c>
    </row>
    <row r="11" spans="1:30" ht="15">
      <c r="A11" s="379"/>
      <c r="B11" s="375" t="s">
        <v>1688</v>
      </c>
      <c r="C11" s="380">
        <f>'数据-汇总表'!I7</f>
        <v>2.8</v>
      </c>
      <c r="D11" s="127">
        <v>100</v>
      </c>
      <c r="E11" s="380">
        <v>2.5</v>
      </c>
      <c r="F11" s="127">
        <f>LOOKUP(E11,79:79,80:80)-LOOKUP(C11,79:79,80:80)+100</f>
        <v>100</v>
      </c>
      <c r="G11" s="381">
        <v>2.4</v>
      </c>
      <c r="H11" s="127">
        <f>LOOKUP(G11,79:79,80:80)-LOOKUP(C11,79:79,80:80)+100</f>
        <v>100</v>
      </c>
      <c r="I11" s="380">
        <v>2.8</v>
      </c>
      <c r="J11" s="127">
        <f>LOOKUP(I11,79:79,80:80)-LOOKUP(C11,79:79,80:80)+100</f>
        <v>100</v>
      </c>
      <c r="K11" s="620">
        <v>2</v>
      </c>
      <c r="L11" s="2717"/>
      <c r="M11" s="2712"/>
      <c r="N11" s="2712"/>
      <c r="O11" s="2770"/>
      <c r="P11" s="3686"/>
      <c r="Q11" s="1342"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703">
        <f t="shared" si="5"/>
        <v>1</v>
      </c>
    </row>
    <row r="12" spans="1:30" s="108" customFormat="1" ht="15">
      <c r="A12" s="382"/>
      <c r="B12" s="1891" t="s">
        <v>1869</v>
      </c>
      <c r="C12" s="3491" t="s">
        <v>3957</v>
      </c>
      <c r="D12" s="384">
        <v>100</v>
      </c>
      <c r="E12" s="3495" t="s">
        <v>3973</v>
      </c>
      <c r="F12" s="127">
        <f>SUMIF(81:81,E12,82:82)-SUMIF(81:81,C12,82:82)+100</f>
        <v>105</v>
      </c>
      <c r="G12" s="3495" t="s">
        <v>3973</v>
      </c>
      <c r="H12" s="127">
        <f>SUMIF(81:81,G12,82:82)-SUMIF(81:81,C12,82:82)+100</f>
        <v>105</v>
      </c>
      <c r="I12" s="3495" t="s">
        <v>3973</v>
      </c>
      <c r="J12" s="127">
        <f>SUMIF(81:81,I12,82:82)-SUMIF(81:81,C12,82:82)+100</f>
        <v>105</v>
      </c>
      <c r="K12" s="619"/>
      <c r="L12" s="2713"/>
      <c r="M12" s="2714"/>
      <c r="N12" s="2714"/>
      <c r="O12" s="2768"/>
      <c r="P12" s="3686"/>
      <c r="Q12" s="1342" t="str">
        <f t="shared" si="6"/>
        <v>配建</v>
      </c>
      <c r="R12" s="700" t="s">
        <v>14</v>
      </c>
      <c r="S12" s="701">
        <f t="shared" si="0"/>
        <v>105</v>
      </c>
      <c r="T12" s="700" t="s">
        <v>14</v>
      </c>
      <c r="U12" s="701">
        <f t="shared" si="1"/>
        <v>105</v>
      </c>
      <c r="V12" s="700" t="s">
        <v>14</v>
      </c>
      <c r="W12" s="701">
        <f t="shared" si="2"/>
        <v>105</v>
      </c>
      <c r="X12" s="702"/>
      <c r="Y12" s="3586"/>
      <c r="Z12" s="52" t="str">
        <f t="shared" si="7"/>
        <v>配建</v>
      </c>
      <c r="AA12" s="703">
        <f>D12/F12</f>
        <v>0.95238095238095233</v>
      </c>
      <c r="AB12" s="703">
        <f>D12/H12</f>
        <v>0.95238095238095233</v>
      </c>
      <c r="AC12" s="703">
        <f>D12/J12</f>
        <v>0.95238095238095233</v>
      </c>
    </row>
    <row r="13" spans="1:30" ht="15">
      <c r="A13" s="379"/>
      <c r="B13" s="3494"/>
      <c r="C13" s="3492"/>
      <c r="D13" s="386">
        <v>100</v>
      </c>
      <c r="E13" s="497"/>
      <c r="F13" s="127">
        <f>SUMIF(83:83,E13,84:84)-SUMIF(83:83,C13,84:84)+100</f>
        <v>100</v>
      </c>
      <c r="G13" s="621"/>
      <c r="H13" s="386">
        <f>SUMIF(83:83,G13,84:84)-SUMIF(83:83,C13,84:84)+100</f>
        <v>100</v>
      </c>
      <c r="I13" s="621"/>
      <c r="J13" s="386">
        <f>SUMIF(83:83,I13,84:84)-SUMIF(83:83,C13,84:84)+100</f>
        <v>100</v>
      </c>
      <c r="K13" s="619"/>
      <c r="L13" s="2718"/>
      <c r="M13" s="2712"/>
      <c r="N13" s="2712"/>
      <c r="O13" s="2770"/>
      <c r="P13" s="3686"/>
      <c r="Q13" s="1342">
        <f t="shared" si="6"/>
        <v>0</v>
      </c>
      <c r="R13" s="700" t="s">
        <v>14</v>
      </c>
      <c r="S13" s="701">
        <f t="shared" si="0"/>
        <v>100</v>
      </c>
      <c r="T13" s="700" t="s">
        <v>14</v>
      </c>
      <c r="U13" s="701">
        <f t="shared" si="1"/>
        <v>100</v>
      </c>
      <c r="V13" s="700" t="s">
        <v>14</v>
      </c>
      <c r="W13" s="701">
        <f t="shared" si="2"/>
        <v>100</v>
      </c>
      <c r="X13" s="702"/>
      <c r="Y13" s="3586"/>
      <c r="Z13" s="52">
        <f t="shared" si="7"/>
        <v>0</v>
      </c>
      <c r="AA13" s="703">
        <f>D13/F13</f>
        <v>1</v>
      </c>
      <c r="AB13" s="703">
        <f>D13/H13</f>
        <v>1</v>
      </c>
      <c r="AC13" s="703">
        <f>D13/J13</f>
        <v>1</v>
      </c>
    </row>
    <row r="14" spans="1:30" ht="15.75" thickBot="1">
      <c r="A14" s="387"/>
      <c r="B14" s="1893">
        <v>111</v>
      </c>
      <c r="C14" s="388"/>
      <c r="D14" s="389">
        <v>100</v>
      </c>
      <c r="E14" s="497"/>
      <c r="F14" s="389">
        <f>SUMIF(85:85,E14,86:86)-SUMIF(85:85,C14,86:86)+100</f>
        <v>100</v>
      </c>
      <c r="G14" s="621"/>
      <c r="H14" s="389">
        <f>SUMIF(85:85,G14,86:86)-SUMIF(85:85,C14,86:86)+100</f>
        <v>100</v>
      </c>
      <c r="I14" s="621"/>
      <c r="J14" s="389">
        <f>SUMIF(85:85,I14,86:86)-SUMIF(85:85,C14,86:86)+100</f>
        <v>100</v>
      </c>
      <c r="K14" s="619"/>
      <c r="L14" s="2718"/>
      <c r="M14" s="2712"/>
      <c r="N14" s="2712"/>
      <c r="O14" s="2770"/>
      <c r="P14" s="3686"/>
      <c r="Q14" s="1342">
        <f t="shared" si="6"/>
        <v>111</v>
      </c>
      <c r="R14" s="700" t="s">
        <v>14</v>
      </c>
      <c r="S14" s="701">
        <f t="shared" si="0"/>
        <v>100</v>
      </c>
      <c r="T14" s="700" t="s">
        <v>14</v>
      </c>
      <c r="U14" s="701">
        <f t="shared" si="1"/>
        <v>100</v>
      </c>
      <c r="V14" s="700" t="s">
        <v>14</v>
      </c>
      <c r="W14" s="701">
        <f t="shared" si="2"/>
        <v>100</v>
      </c>
      <c r="X14" s="702"/>
      <c r="Y14" s="3586"/>
      <c r="Z14" s="52">
        <f t="shared" si="7"/>
        <v>111</v>
      </c>
      <c r="AA14" s="703">
        <f>D14/F14</f>
        <v>1</v>
      </c>
      <c r="AB14" s="703">
        <f>D14/H14</f>
        <v>1</v>
      </c>
      <c r="AC14" s="703">
        <f>D14/J14</f>
        <v>1</v>
      </c>
    </row>
    <row r="15" spans="1:30" ht="76.5" customHeight="1">
      <c r="A15" s="391" t="s">
        <v>1689</v>
      </c>
      <c r="B15" s="61" t="s">
        <v>1256</v>
      </c>
      <c r="C15" s="1894" t="str">
        <f>估价对象房地状况!C15</f>
        <v>估价对象周边居住用地比例、居住小区规模和社区发展完善程度，综合评价居住社区成熟度较好</v>
      </c>
      <c r="D15" s="392">
        <v>100</v>
      </c>
      <c r="E15" s="393"/>
      <c r="F15" s="392">
        <f>SUMIF(87:87,E16,88:88)-SUMIF(87:87,C16,88:88)+100</f>
        <v>95</v>
      </c>
      <c r="G15" s="393"/>
      <c r="H15" s="392">
        <f>SUMIF(87:87,G16,88:88)-SUMIF(87:87,C16,88:88)+100</f>
        <v>95</v>
      </c>
      <c r="I15" s="395"/>
      <c r="J15" s="392">
        <f>SUMIF(87:87,I16,88:88)-SUMIF(87:87,C16,88:88)+100</f>
        <v>95</v>
      </c>
      <c r="K15" s="620">
        <v>5</v>
      </c>
      <c r="L15" s="2718"/>
      <c r="M15" s="2712"/>
      <c r="N15" s="2712"/>
      <c r="O15" s="2770"/>
      <c r="P15" s="3687" t="s">
        <v>1690</v>
      </c>
      <c r="Q15" s="1351" t="str">
        <f t="shared" si="6"/>
        <v>居住社区成熟度</v>
      </c>
      <c r="R15" s="704" t="s">
        <v>14</v>
      </c>
      <c r="S15" s="705">
        <f t="shared" si="0"/>
        <v>95</v>
      </c>
      <c r="T15" s="704" t="s">
        <v>14</v>
      </c>
      <c r="U15" s="705">
        <f t="shared" si="1"/>
        <v>95</v>
      </c>
      <c r="V15" s="704" t="s">
        <v>14</v>
      </c>
      <c r="W15" s="705">
        <f t="shared" si="2"/>
        <v>95</v>
      </c>
      <c r="X15" s="1354"/>
      <c r="Y15" s="3687" t="s">
        <v>1690</v>
      </c>
      <c r="Z15" s="1355" t="str">
        <f t="shared" si="7"/>
        <v>居住社区成熟度</v>
      </c>
      <c r="AA15" s="1352">
        <f t="shared" si="3"/>
        <v>1.0526315789473684</v>
      </c>
      <c r="AB15" s="1352">
        <f t="shared" si="4"/>
        <v>1.0526315789473684</v>
      </c>
      <c r="AC15" s="1352">
        <f t="shared" si="5"/>
        <v>1.0526315789473684</v>
      </c>
    </row>
    <row r="16" spans="1:30" ht="15">
      <c r="A16" s="379"/>
      <c r="B16" s="397"/>
      <c r="C16" s="398" t="s">
        <v>3447</v>
      </c>
      <c r="D16" s="399"/>
      <c r="E16" s="1896" t="s">
        <v>3449</v>
      </c>
      <c r="F16" s="399"/>
      <c r="G16" s="1896" t="s">
        <v>3449</v>
      </c>
      <c r="H16" s="401"/>
      <c r="I16" s="1896" t="s">
        <v>3449</v>
      </c>
      <c r="J16" s="399"/>
      <c r="K16" s="619"/>
      <c r="L16" s="2718"/>
      <c r="M16" s="2712"/>
      <c r="N16" s="2712"/>
      <c r="O16" s="2770"/>
      <c r="P16" s="3688"/>
      <c r="Q16" s="1351"/>
      <c r="R16" s="704"/>
      <c r="S16" s="705"/>
      <c r="T16" s="704"/>
      <c r="U16" s="705"/>
      <c r="V16" s="704"/>
      <c r="W16" s="705"/>
      <c r="X16" s="1354"/>
      <c r="Y16" s="3688"/>
      <c r="Z16" s="1355"/>
      <c r="AA16" s="1352">
        <v>1</v>
      </c>
      <c r="AB16" s="1352">
        <v>1</v>
      </c>
      <c r="AC16" s="1352">
        <v>1</v>
      </c>
    </row>
    <row r="17" spans="1:29" ht="61.5" hidden="1" customHeight="1">
      <c r="A17" s="379"/>
      <c r="B17" s="402" t="s">
        <v>1776</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688"/>
      <c r="Q17" s="1351" t="str">
        <f>B17</f>
        <v>商业繁华度</v>
      </c>
      <c r="R17" s="704" t="s">
        <v>14</v>
      </c>
      <c r="S17" s="705">
        <f>F17</f>
        <v>100</v>
      </c>
      <c r="T17" s="704" t="s">
        <v>14</v>
      </c>
      <c r="U17" s="705">
        <f>H17</f>
        <v>100</v>
      </c>
      <c r="V17" s="704" t="s">
        <v>14</v>
      </c>
      <c r="W17" s="705">
        <f>J17</f>
        <v>100</v>
      </c>
      <c r="X17" s="1354"/>
      <c r="Y17" s="3688"/>
      <c r="Z17" s="1355" t="str">
        <f>Q17</f>
        <v>商业繁华度</v>
      </c>
      <c r="AA17" s="1352">
        <f t="shared" si="3"/>
        <v>1</v>
      </c>
      <c r="AB17" s="1352">
        <f t="shared" si="4"/>
        <v>1</v>
      </c>
      <c r="AC17" s="1352">
        <f t="shared" si="5"/>
        <v>1</v>
      </c>
    </row>
    <row r="18" spans="1:29" ht="15" hidden="1">
      <c r="A18" s="379"/>
      <c r="B18" s="407"/>
      <c r="C18" s="1899"/>
      <c r="D18" s="401"/>
      <c r="E18" s="1901"/>
      <c r="F18" s="401"/>
      <c r="G18" s="1901"/>
      <c r="H18" s="399"/>
      <c r="I18" s="1900"/>
      <c r="J18" s="399"/>
      <c r="K18" s="619"/>
      <c r="L18" s="2718"/>
      <c r="M18" s="2712"/>
      <c r="N18" s="2712"/>
      <c r="O18" s="2770"/>
      <c r="P18" s="3688"/>
      <c r="Q18" s="1351"/>
      <c r="R18" s="704"/>
      <c r="S18" s="705"/>
      <c r="T18" s="704"/>
      <c r="U18" s="705"/>
      <c r="V18" s="704"/>
      <c r="W18" s="705"/>
      <c r="X18" s="1354"/>
      <c r="Y18" s="3688"/>
      <c r="Z18" s="1355"/>
      <c r="AA18" s="1352">
        <v>1</v>
      </c>
      <c r="AB18" s="1352">
        <v>1</v>
      </c>
      <c r="AC18" s="1352">
        <v>1</v>
      </c>
    </row>
    <row r="19" spans="1:29" ht="61.5" hidden="1" customHeight="1">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688"/>
      <c r="Q19" s="1351" t="str">
        <f>B19</f>
        <v>办公集聚程度</v>
      </c>
      <c r="R19" s="704" t="s">
        <v>14</v>
      </c>
      <c r="S19" s="705">
        <f>F19</f>
        <v>100</v>
      </c>
      <c r="T19" s="704" t="s">
        <v>14</v>
      </c>
      <c r="U19" s="705">
        <f>H19</f>
        <v>100</v>
      </c>
      <c r="V19" s="704" t="s">
        <v>14</v>
      </c>
      <c r="W19" s="705">
        <f>J19</f>
        <v>100</v>
      </c>
      <c r="X19" s="1354"/>
      <c r="Y19" s="3688"/>
      <c r="Z19" s="1355" t="str">
        <f>Q19</f>
        <v>办公集聚程度</v>
      </c>
      <c r="AA19" s="1352">
        <f t="shared" si="3"/>
        <v>1</v>
      </c>
      <c r="AB19" s="1352">
        <f t="shared" si="4"/>
        <v>1</v>
      </c>
      <c r="AC19" s="1352">
        <f t="shared" si="5"/>
        <v>1</v>
      </c>
    </row>
    <row r="20" spans="1:29" ht="15" hidden="1">
      <c r="A20" s="379"/>
      <c r="B20" s="407"/>
      <c r="C20" s="398"/>
      <c r="D20" s="399"/>
      <c r="E20" s="1896"/>
      <c r="F20" s="399"/>
      <c r="G20" s="1896"/>
      <c r="H20" s="399"/>
      <c r="I20" s="1895"/>
      <c r="J20" s="399"/>
      <c r="K20" s="619"/>
      <c r="L20" s="2718"/>
      <c r="M20" s="2712"/>
      <c r="N20" s="2712"/>
      <c r="O20" s="2770"/>
      <c r="P20" s="3688"/>
      <c r="Q20" s="1351"/>
      <c r="R20" s="704"/>
      <c r="S20" s="705"/>
      <c r="T20" s="704"/>
      <c r="U20" s="705"/>
      <c r="V20" s="704"/>
      <c r="W20" s="705"/>
      <c r="X20" s="1354"/>
      <c r="Y20" s="3688"/>
      <c r="Z20" s="1355"/>
      <c r="AA20" s="1352">
        <v>1</v>
      </c>
      <c r="AB20" s="1352">
        <v>1</v>
      </c>
      <c r="AC20" s="1352">
        <v>1</v>
      </c>
    </row>
    <row r="21" spans="1:29" ht="75.75" customHeight="1">
      <c r="A21" s="379"/>
      <c r="B21" s="402" t="s">
        <v>1832</v>
      </c>
      <c r="C21" s="1898" t="str">
        <f>估价对象房地状况!C18</f>
        <v>估价对象周边道路状况、公共交通通达情况、停车便捷程度，综合评价交通便捷度较好</v>
      </c>
      <c r="D21" s="401">
        <v>100</v>
      </c>
      <c r="E21" s="403"/>
      <c r="F21" s="406">
        <f>SUMIF(93:93,E22,94:94)-SUMIF(93:93,C22,94:94)+100</f>
        <v>95</v>
      </c>
      <c r="G21" s="403"/>
      <c r="H21" s="401">
        <f>SUMIF(93:93,G22,94:94)-SUMIF(93:93,C22,94:94)+100</f>
        <v>95</v>
      </c>
      <c r="I21" s="405"/>
      <c r="J21" s="401">
        <f>SUMIF(93:93,I22,94:94)-SUMIF(93:93,C22,94:94)+100</f>
        <v>95</v>
      </c>
      <c r="K21" s="620">
        <v>5</v>
      </c>
      <c r="L21" s="2718"/>
      <c r="M21" s="2712"/>
      <c r="N21" s="2712"/>
      <c r="O21" s="2770"/>
      <c r="P21" s="3688"/>
      <c r="Q21" s="1351" t="str">
        <f>B21</f>
        <v>交通便捷度</v>
      </c>
      <c r="R21" s="704" t="s">
        <v>14</v>
      </c>
      <c r="S21" s="705">
        <f>F21</f>
        <v>95</v>
      </c>
      <c r="T21" s="704" t="s">
        <v>14</v>
      </c>
      <c r="U21" s="705">
        <f>H21</f>
        <v>95</v>
      </c>
      <c r="V21" s="704" t="s">
        <v>14</v>
      </c>
      <c r="W21" s="705">
        <f>J21</f>
        <v>95</v>
      </c>
      <c r="X21" s="1354"/>
      <c r="Y21" s="3688"/>
      <c r="Z21" s="1355" t="str">
        <f>Q21</f>
        <v>交通便捷度</v>
      </c>
      <c r="AA21" s="1352">
        <f t="shared" si="3"/>
        <v>1.0526315789473684</v>
      </c>
      <c r="AB21" s="1352">
        <f t="shared" si="4"/>
        <v>1.0526315789473684</v>
      </c>
      <c r="AC21" s="1352">
        <f t="shared" si="5"/>
        <v>1.0526315789473684</v>
      </c>
    </row>
    <row r="22" spans="1:29" ht="15">
      <c r="A22" s="379"/>
      <c r="B22" s="1130"/>
      <c r="C22" s="398" t="s">
        <v>3447</v>
      </c>
      <c r="D22" s="401"/>
      <c r="E22" s="1896" t="s">
        <v>3449</v>
      </c>
      <c r="F22" s="399"/>
      <c r="G22" s="1896" t="s">
        <v>3449</v>
      </c>
      <c r="H22" s="399"/>
      <c r="I22" s="1896" t="s">
        <v>3449</v>
      </c>
      <c r="J22" s="399"/>
      <c r="K22" s="619"/>
      <c r="L22" s="2718"/>
      <c r="M22" s="2712"/>
      <c r="N22" s="2712"/>
      <c r="O22" s="2770"/>
      <c r="P22" s="3688"/>
      <c r="Q22" s="1351"/>
      <c r="R22" s="704"/>
      <c r="S22" s="705"/>
      <c r="T22" s="704"/>
      <c r="U22" s="705"/>
      <c r="V22" s="704"/>
      <c r="W22" s="705"/>
      <c r="X22" s="1354"/>
      <c r="Y22" s="3688"/>
      <c r="Z22" s="1355"/>
      <c r="AA22" s="1352">
        <v>1</v>
      </c>
      <c r="AB22" s="1352">
        <v>1</v>
      </c>
      <c r="AC22" s="1352">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v>2</v>
      </c>
      <c r="L23" s="2718"/>
      <c r="M23" s="2712"/>
      <c r="N23" s="2712"/>
      <c r="O23" s="2770"/>
      <c r="P23" s="3688"/>
      <c r="Q23" s="1351" t="str">
        <f t="shared" ref="Q23:Q37" si="8">B23</f>
        <v>区域土地利用方向</v>
      </c>
      <c r="R23" s="704" t="s">
        <v>14</v>
      </c>
      <c r="S23" s="705">
        <f>F23</f>
        <v>100</v>
      </c>
      <c r="T23" s="704" t="s">
        <v>14</v>
      </c>
      <c r="U23" s="705">
        <f>H23</f>
        <v>100</v>
      </c>
      <c r="V23" s="704" t="s">
        <v>14</v>
      </c>
      <c r="W23" s="705">
        <f>J23</f>
        <v>100</v>
      </c>
      <c r="X23" s="1354"/>
      <c r="Y23" s="3688"/>
      <c r="Z23" s="1355" t="str">
        <f>Q23</f>
        <v>区域土地利用方向</v>
      </c>
      <c r="AA23" s="1352">
        <f t="shared" si="3"/>
        <v>1</v>
      </c>
      <c r="AB23" s="1352">
        <f t="shared" si="4"/>
        <v>1</v>
      </c>
      <c r="AC23" s="1352">
        <f t="shared" si="5"/>
        <v>1</v>
      </c>
    </row>
    <row r="24" spans="1:29" ht="15">
      <c r="A24" s="358"/>
      <c r="B24" s="407"/>
      <c r="C24" s="564"/>
      <c r="D24" s="399"/>
      <c r="E24" s="1896"/>
      <c r="F24" s="399"/>
      <c r="G24" s="1895"/>
      <c r="H24" s="399"/>
      <c r="I24" s="1895"/>
      <c r="J24" s="399"/>
      <c r="K24" s="739"/>
      <c r="L24" s="2718"/>
      <c r="M24" s="2712"/>
      <c r="N24" s="2712"/>
      <c r="O24" s="2770"/>
      <c r="P24" s="3688"/>
      <c r="Q24" s="1351"/>
      <c r="R24" s="704"/>
      <c r="S24" s="705"/>
      <c r="T24" s="704"/>
      <c r="U24" s="705"/>
      <c r="V24" s="704"/>
      <c r="W24" s="705"/>
      <c r="X24" s="1354"/>
      <c r="Y24" s="3688"/>
      <c r="Z24" s="1355"/>
      <c r="AA24" s="1352"/>
      <c r="AB24" s="1352"/>
      <c r="AC24" s="1352"/>
    </row>
    <row r="25" spans="1:29" ht="48" customHeight="1">
      <c r="A25" s="358"/>
      <c r="B25" s="1130" t="s">
        <v>1871</v>
      </c>
      <c r="C25" s="1953" t="str">
        <f>估价对象房地状况!C20</f>
        <v>区域自然环境：；人文环境；综合评价环境状况一般</v>
      </c>
      <c r="D25" s="401">
        <v>100</v>
      </c>
      <c r="E25" s="403"/>
      <c r="F25" s="401">
        <f>SUMIF(97:97,E26,98:98)-SUMIF(97:97,C26,98:98)+100</f>
        <v>97</v>
      </c>
      <c r="G25" s="403"/>
      <c r="H25" s="401">
        <f>SUMIF(97:97,G26,98:98)-SUMIF(97:97,C26,98:98)+100</f>
        <v>103</v>
      </c>
      <c r="I25" s="405"/>
      <c r="J25" s="401">
        <f>SUMIF(97:97,I26,98:98)-SUMIF(97:97,C26,98:98)+100</f>
        <v>97</v>
      </c>
      <c r="K25" s="620">
        <v>3</v>
      </c>
      <c r="L25" s="2718"/>
      <c r="M25" s="2712">
        <f ca="1">结果表!G19</f>
        <v>143961</v>
      </c>
      <c r="N25" s="2712"/>
      <c r="O25" s="2770"/>
      <c r="P25" s="3688"/>
      <c r="Q25" s="1351" t="str">
        <f t="shared" si="8"/>
        <v>自然及人文环境状况</v>
      </c>
      <c r="R25" s="704" t="s">
        <v>14</v>
      </c>
      <c r="S25" s="705">
        <f>F25</f>
        <v>97</v>
      </c>
      <c r="T25" s="704" t="s">
        <v>14</v>
      </c>
      <c r="U25" s="705">
        <f>H25</f>
        <v>103</v>
      </c>
      <c r="V25" s="704" t="s">
        <v>14</v>
      </c>
      <c r="W25" s="705">
        <f>J25</f>
        <v>97</v>
      </c>
      <c r="X25" s="1354"/>
      <c r="Y25" s="3688"/>
      <c r="Z25" s="1355" t="str">
        <f>Q25</f>
        <v>自然及人文环境状况</v>
      </c>
      <c r="AA25" s="1352">
        <f t="shared" si="3"/>
        <v>1.0309278350515463</v>
      </c>
      <c r="AB25" s="1352">
        <f t="shared" si="4"/>
        <v>0.970873786407767</v>
      </c>
      <c r="AC25" s="1352">
        <f t="shared" si="5"/>
        <v>1.0309278350515463</v>
      </c>
    </row>
    <row r="26" spans="1:29" ht="15">
      <c r="A26" s="358"/>
      <c r="B26" s="407"/>
      <c r="C26" s="398" t="s">
        <v>3449</v>
      </c>
      <c r="D26" s="399"/>
      <c r="E26" s="1902" t="s">
        <v>3969</v>
      </c>
      <c r="F26" s="399"/>
      <c r="G26" s="1902" t="s">
        <v>3447</v>
      </c>
      <c r="H26" s="399"/>
      <c r="I26" s="1902" t="s">
        <v>3969</v>
      </c>
      <c r="J26" s="399"/>
      <c r="K26" s="619"/>
      <c r="L26" s="2718"/>
      <c r="M26" s="2712"/>
      <c r="N26" s="2712"/>
      <c r="O26" s="2770"/>
      <c r="P26" s="3688"/>
      <c r="Q26" s="1351"/>
      <c r="R26" s="704"/>
      <c r="S26" s="705"/>
      <c r="T26" s="704"/>
      <c r="U26" s="705"/>
      <c r="V26" s="704"/>
      <c r="W26" s="705"/>
      <c r="X26" s="1354"/>
      <c r="Y26" s="3688"/>
      <c r="Z26" s="1355"/>
      <c r="AA26" s="1352">
        <v>1</v>
      </c>
      <c r="AB26" s="1352">
        <v>1</v>
      </c>
      <c r="AC26" s="1352">
        <v>1</v>
      </c>
    </row>
    <row r="27" spans="1:29" s="108" customFormat="1" ht="42.75">
      <c r="A27" s="596"/>
      <c r="B27" s="1130" t="s">
        <v>1777</v>
      </c>
      <c r="C27" s="1898" t="str">
        <f>估价对象房地状况!C21</f>
        <v>估价对象所在区域公共配套设施齐备情况</v>
      </c>
      <c r="D27" s="401">
        <v>100</v>
      </c>
      <c r="E27" s="403"/>
      <c r="F27" s="401">
        <f>SUMIF(99:99,E28,100:100)-SUMIF(99:99,C28,100:100)+100</f>
        <v>95</v>
      </c>
      <c r="G27" s="403"/>
      <c r="H27" s="401">
        <f>SUMIF(99:99,G28,100:100)-SUMIF(99:99,C28,100:100)+100</f>
        <v>100</v>
      </c>
      <c r="I27" s="405"/>
      <c r="J27" s="401">
        <f>SUMIF(99:99,I28,100:100)-SUMIF(99:99,C28,100:100)+100</f>
        <v>95</v>
      </c>
      <c r="K27" s="620">
        <v>5</v>
      </c>
      <c r="L27" s="2713"/>
      <c r="M27" s="2714"/>
      <c r="N27" s="2714"/>
      <c r="O27" s="2768"/>
      <c r="P27" s="3688"/>
      <c r="Q27" s="1342" t="str">
        <f t="shared" si="8"/>
        <v>公共配套设施</v>
      </c>
      <c r="R27" s="700" t="s">
        <v>14</v>
      </c>
      <c r="S27" s="701">
        <f>F27</f>
        <v>95</v>
      </c>
      <c r="T27" s="700" t="s">
        <v>14</v>
      </c>
      <c r="U27" s="701">
        <f>H27</f>
        <v>100</v>
      </c>
      <c r="V27" s="700" t="s">
        <v>14</v>
      </c>
      <c r="W27" s="701">
        <f>J27</f>
        <v>95</v>
      </c>
      <c r="X27" s="702"/>
      <c r="Y27" s="3688"/>
      <c r="Z27" s="52" t="str">
        <f>Q27</f>
        <v>公共配套设施</v>
      </c>
      <c r="AA27" s="1352">
        <f>D27/F27</f>
        <v>1.0526315789473684</v>
      </c>
      <c r="AB27" s="1352">
        <f>D27/H27</f>
        <v>1</v>
      </c>
      <c r="AC27" s="1352">
        <f>D27/J27</f>
        <v>1.0526315789473684</v>
      </c>
    </row>
    <row r="28" spans="1:29" s="108" customFormat="1" ht="15">
      <c r="A28" s="596"/>
      <c r="B28" s="407"/>
      <c r="C28" s="1976" t="s">
        <v>3449</v>
      </c>
      <c r="D28" s="399"/>
      <c r="E28" s="1902" t="s">
        <v>3969</v>
      </c>
      <c r="F28" s="399"/>
      <c r="G28" s="1902" t="s">
        <v>3449</v>
      </c>
      <c r="H28" s="399"/>
      <c r="I28" s="1902" t="s">
        <v>3969</v>
      </c>
      <c r="J28" s="399"/>
      <c r="K28" s="619"/>
      <c r="L28" s="2713"/>
      <c r="M28" s="2714"/>
      <c r="N28" s="2714"/>
      <c r="O28" s="2768"/>
      <c r="P28" s="3688"/>
      <c r="Q28" s="1342"/>
      <c r="R28" s="700"/>
      <c r="S28" s="701"/>
      <c r="T28" s="700"/>
      <c r="U28" s="701"/>
      <c r="V28" s="700"/>
      <c r="W28" s="701"/>
      <c r="X28" s="702"/>
      <c r="Y28" s="3688"/>
      <c r="Z28" s="52"/>
      <c r="AA28" s="1352">
        <v>1</v>
      </c>
      <c r="AB28" s="1352">
        <v>1</v>
      </c>
      <c r="AC28" s="1352">
        <v>1</v>
      </c>
    </row>
    <row r="29" spans="1:29" s="108" customFormat="1" ht="28.5">
      <c r="A29" s="596"/>
      <c r="B29" s="1130"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v>1</v>
      </c>
      <c r="L29" s="2713"/>
      <c r="M29" s="2714"/>
      <c r="N29" s="2714"/>
      <c r="O29" s="2768"/>
      <c r="P29" s="3688"/>
      <c r="Q29" s="1342" t="str">
        <f t="shared" ref="Q29" si="9">B29</f>
        <v>基础设施水平</v>
      </c>
      <c r="R29" s="700" t="s">
        <v>14</v>
      </c>
      <c r="S29" s="701">
        <f>F29</f>
        <v>100</v>
      </c>
      <c r="T29" s="700" t="s">
        <v>14</v>
      </c>
      <c r="U29" s="701">
        <f>H29</f>
        <v>100</v>
      </c>
      <c r="V29" s="700" t="s">
        <v>14</v>
      </c>
      <c r="W29" s="701">
        <f>J29</f>
        <v>100</v>
      </c>
      <c r="X29" s="702"/>
      <c r="Y29" s="3688"/>
      <c r="Z29" s="52" t="str">
        <f>Q29</f>
        <v>基础设施水平</v>
      </c>
      <c r="AA29" s="1352">
        <f>D29/F29</f>
        <v>1</v>
      </c>
      <c r="AB29" s="1352">
        <f>D29/H29</f>
        <v>1</v>
      </c>
      <c r="AC29" s="1352">
        <f>D29/J29</f>
        <v>1</v>
      </c>
    </row>
    <row r="30" spans="1:29" s="108" customFormat="1" ht="15">
      <c r="A30" s="596"/>
      <c r="B30" s="407"/>
      <c r="C30" s="1976" t="s">
        <v>3448</v>
      </c>
      <c r="D30" s="399"/>
      <c r="E30" s="1976" t="s">
        <v>3448</v>
      </c>
      <c r="F30" s="399"/>
      <c r="G30" s="1976" t="s">
        <v>3448</v>
      </c>
      <c r="H30" s="399"/>
      <c r="I30" s="1976" t="s">
        <v>3448</v>
      </c>
      <c r="J30" s="399"/>
      <c r="K30" s="619"/>
      <c r="L30" s="2713"/>
      <c r="M30" s="2714"/>
      <c r="N30" s="2714"/>
      <c r="O30" s="2768"/>
      <c r="P30" s="3688"/>
      <c r="Q30" s="1342"/>
      <c r="R30" s="700"/>
      <c r="S30" s="701"/>
      <c r="T30" s="700"/>
      <c r="U30" s="701"/>
      <c r="V30" s="700"/>
      <c r="W30" s="701"/>
      <c r="X30" s="702"/>
      <c r="Y30" s="3688"/>
      <c r="Z30" s="52"/>
      <c r="AA30" s="1352">
        <v>1</v>
      </c>
      <c r="AB30" s="1352">
        <v>1</v>
      </c>
      <c r="AC30" s="1352">
        <v>1</v>
      </c>
    </row>
    <row r="31" spans="1:29" ht="15">
      <c r="A31" s="379"/>
      <c r="B31" s="407" t="s">
        <v>1779</v>
      </c>
      <c r="C31" s="564"/>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68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8"/>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688"/>
      <c r="Q32" s="1351" t="str">
        <f t="shared" si="8"/>
        <v>毗邻道路的类型与等级</v>
      </c>
      <c r="R32" s="704" t="s">
        <v>14</v>
      </c>
      <c r="S32" s="705">
        <f t="shared" si="10"/>
        <v>100</v>
      </c>
      <c r="T32" s="704" t="s">
        <v>14</v>
      </c>
      <c r="U32" s="705">
        <f t="shared" si="11"/>
        <v>100</v>
      </c>
      <c r="V32" s="704" t="s">
        <v>14</v>
      </c>
      <c r="W32" s="705">
        <f t="shared" si="12"/>
        <v>100</v>
      </c>
      <c r="X32" s="1354"/>
      <c r="Y32" s="3688"/>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1"/>
      <c r="L33" s="2718"/>
      <c r="M33" s="2712"/>
      <c r="N33" s="2712"/>
      <c r="O33" s="2770"/>
      <c r="P33" s="3688"/>
      <c r="Q33" s="1351"/>
      <c r="R33" s="704"/>
      <c r="S33" s="705"/>
      <c r="T33" s="704"/>
      <c r="U33" s="705"/>
      <c r="V33" s="704"/>
      <c r="W33" s="705"/>
      <c r="X33" s="1354"/>
      <c r="Y33" s="3688"/>
      <c r="Z33" s="1355"/>
      <c r="AA33" s="1352">
        <v>1</v>
      </c>
      <c r="AB33" s="1352">
        <v>1</v>
      </c>
      <c r="AC33" s="1352">
        <v>1</v>
      </c>
    </row>
    <row r="34" spans="1:29" ht="15">
      <c r="A34" s="379"/>
      <c r="B34" s="375" t="s">
        <v>1872</v>
      </c>
      <c r="C34" s="564"/>
      <c r="D34" s="386">
        <v>100</v>
      </c>
      <c r="E34" s="581"/>
      <c r="F34" s="386">
        <f>SUMIF(107:107,E34,108:108)-SUMIF(107:107,C34,108:108)+100</f>
        <v>100</v>
      </c>
      <c r="G34" s="581"/>
      <c r="H34" s="386">
        <f>SUMIF(107:107,G34,108:108)-SUMIF(107:107,C34,108:108)+100</f>
        <v>100</v>
      </c>
      <c r="I34" s="564"/>
      <c r="J34" s="386">
        <f>SUMIF(107:107,I34,108:108)-SUMIF(107:107,C34,108:108)+100</f>
        <v>100</v>
      </c>
      <c r="K34" s="560"/>
      <c r="L34" s="2718"/>
      <c r="M34" s="2712"/>
      <c r="N34" s="2712"/>
      <c r="O34" s="2770"/>
      <c r="P34" s="3688"/>
      <c r="Q34" s="1351" t="str">
        <f t="shared" si="8"/>
        <v>土地级别</v>
      </c>
      <c r="R34" s="704" t="s">
        <v>14</v>
      </c>
      <c r="S34" s="705">
        <f t="shared" si="10"/>
        <v>100</v>
      </c>
      <c r="T34" s="704" t="s">
        <v>14</v>
      </c>
      <c r="U34" s="705">
        <f t="shared" si="11"/>
        <v>100</v>
      </c>
      <c r="V34" s="704" t="s">
        <v>14</v>
      </c>
      <c r="W34" s="705">
        <f t="shared" si="12"/>
        <v>100</v>
      </c>
      <c r="X34" s="1354"/>
      <c r="Y34" s="3688"/>
      <c r="Z34" s="1355" t="str">
        <f t="shared" si="13"/>
        <v>土地级别</v>
      </c>
      <c r="AA34" s="1352">
        <f t="shared" si="3"/>
        <v>1</v>
      </c>
      <c r="AB34" s="1352">
        <f t="shared" si="4"/>
        <v>1</v>
      </c>
      <c r="AC34" s="1352">
        <f t="shared" si="5"/>
        <v>1</v>
      </c>
    </row>
    <row r="35" spans="1:29" ht="15">
      <c r="A35" s="358"/>
      <c r="B35" s="1132">
        <v>111</v>
      </c>
      <c r="C35" s="621"/>
      <c r="D35" s="386">
        <v>100</v>
      </c>
      <c r="E35" s="427"/>
      <c r="F35" s="386">
        <f>SUMIF(109:109,E35,110:110)-SUMIF(109:109,C35,110:110)+100</f>
        <v>100</v>
      </c>
      <c r="G35" s="427"/>
      <c r="H35" s="386">
        <f>SUMIF(109:109,G35,110:110)-SUMIF(109:109,C35,110:110)+100</f>
        <v>100</v>
      </c>
      <c r="I35" s="621"/>
      <c r="J35" s="386">
        <f>SUMIF(109:109,I35,110:110)-SUMIF(109:109,C35,110:110)+100</f>
        <v>100</v>
      </c>
      <c r="K35" s="561"/>
      <c r="L35" s="2718"/>
      <c r="M35" s="2712"/>
      <c r="N35" s="2712"/>
      <c r="O35" s="2770"/>
      <c r="P35" s="3688"/>
      <c r="Q35" s="1351">
        <f t="shared" si="8"/>
        <v>111</v>
      </c>
      <c r="R35" s="704" t="s">
        <v>14</v>
      </c>
      <c r="S35" s="705">
        <f t="shared" si="10"/>
        <v>100</v>
      </c>
      <c r="T35" s="704" t="s">
        <v>14</v>
      </c>
      <c r="U35" s="705">
        <f t="shared" si="11"/>
        <v>100</v>
      </c>
      <c r="V35" s="704" t="s">
        <v>14</v>
      </c>
      <c r="W35" s="705">
        <f t="shared" si="12"/>
        <v>100</v>
      </c>
      <c r="X35" s="1354"/>
      <c r="Y35" s="3688"/>
      <c r="Z35" s="1355">
        <f t="shared" si="13"/>
        <v>111</v>
      </c>
      <c r="AA35" s="1352">
        <f t="shared" si="3"/>
        <v>1</v>
      </c>
      <c r="AB35" s="1352">
        <f t="shared" si="4"/>
        <v>1</v>
      </c>
      <c r="AC35" s="1352">
        <f t="shared" si="5"/>
        <v>1</v>
      </c>
    </row>
    <row r="36" spans="1:29" ht="15">
      <c r="A36" s="622"/>
      <c r="B36" s="1133">
        <v>111</v>
      </c>
      <c r="C36" s="621"/>
      <c r="D36" s="386">
        <v>100</v>
      </c>
      <c r="E36" s="427"/>
      <c r="F36" s="386">
        <f>SUMIF(111:111,E37,112:112)-SUMIF(111:111,C37,112:112)+100</f>
        <v>100</v>
      </c>
      <c r="G36" s="427"/>
      <c r="H36" s="386">
        <f>SUMIF(111:111,G36,112:112)-SUMIF(111:111,C36,112:112)+100</f>
        <v>100</v>
      </c>
      <c r="I36" s="621"/>
      <c r="J36" s="386">
        <f>SUMIF(111:111,I36,112:112)-SUMIF(111:111,C36,112:112)+100</f>
        <v>100</v>
      </c>
      <c r="K36" s="561"/>
      <c r="L36" s="2718"/>
      <c r="M36" s="2712"/>
      <c r="N36" s="2712"/>
      <c r="O36" s="2770"/>
      <c r="P36" s="3689" t="s">
        <v>1695</v>
      </c>
      <c r="Q36" s="1351">
        <f t="shared" si="8"/>
        <v>111</v>
      </c>
      <c r="R36" s="704" t="s">
        <v>14</v>
      </c>
      <c r="S36" s="705">
        <f t="shared" si="10"/>
        <v>100</v>
      </c>
      <c r="T36" s="704" t="s">
        <v>14</v>
      </c>
      <c r="U36" s="705">
        <f t="shared" si="11"/>
        <v>100</v>
      </c>
      <c r="V36" s="704" t="s">
        <v>14</v>
      </c>
      <c r="W36" s="705">
        <f t="shared" si="12"/>
        <v>100</v>
      </c>
      <c r="X36" s="1354"/>
      <c r="Y36" s="3690" t="s">
        <v>1695</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1"/>
      <c r="L37" s="2717"/>
      <c r="M37" s="2719"/>
      <c r="N37" s="2719"/>
      <c r="O37" s="2771"/>
      <c r="P37" s="3690"/>
      <c r="Q37" s="1351">
        <f t="shared" si="8"/>
        <v>111</v>
      </c>
      <c r="R37" s="707" t="s">
        <v>14</v>
      </c>
      <c r="S37" s="708">
        <f t="shared" si="10"/>
        <v>100</v>
      </c>
      <c r="T37" s="707" t="s">
        <v>14</v>
      </c>
      <c r="U37" s="708">
        <f t="shared" si="11"/>
        <v>100</v>
      </c>
      <c r="V37" s="707" t="s">
        <v>14</v>
      </c>
      <c r="W37" s="708">
        <f t="shared" si="12"/>
        <v>100</v>
      </c>
      <c r="X37" s="709"/>
      <c r="Y37" s="3690"/>
      <c r="Z37" s="710">
        <f t="shared" si="13"/>
        <v>111</v>
      </c>
      <c r="AA37" s="1352">
        <f t="shared" si="3"/>
        <v>1</v>
      </c>
      <c r="AB37" s="1352">
        <f t="shared" si="4"/>
        <v>1</v>
      </c>
      <c r="AC37" s="1352">
        <f t="shared" si="5"/>
        <v>1</v>
      </c>
    </row>
    <row r="38" spans="1:29" ht="15">
      <c r="A38" s="423" t="s">
        <v>1693</v>
      </c>
      <c r="B38" s="407" t="s">
        <v>1873</v>
      </c>
      <c r="C38" s="626">
        <f>'数据-基础表'!A14</f>
        <v>31537.81</v>
      </c>
      <c r="D38" s="418">
        <v>100</v>
      </c>
      <c r="E38" s="626">
        <f>土地!I8</f>
        <v>31920.74</v>
      </c>
      <c r="F38" s="418">
        <f>LOOKUP(E38,116:116,117:117)-LOOKUP(C38,116:116,117:117)+100</f>
        <v>100</v>
      </c>
      <c r="G38" s="626">
        <f>土地!J12</f>
        <v>123492.16</v>
      </c>
      <c r="H38" s="418">
        <f>LOOKUP(G38,116:116,117:117)-LOOKUP(C38,116:116,117:117)+100</f>
        <v>101</v>
      </c>
      <c r="I38" s="478">
        <f>土地!J9</f>
        <v>90830.7</v>
      </c>
      <c r="J38" s="418">
        <f>LOOKUP(I38,116:116,117:117)-LOOKUP(C38,116:116,117:117)+100</f>
        <v>100.5</v>
      </c>
      <c r="K38" s="561"/>
      <c r="L38" s="2718"/>
      <c r="M38" s="2712"/>
      <c r="N38" s="2712"/>
      <c r="O38" s="2770"/>
      <c r="P38" s="3690"/>
      <c r="Q38" s="1351" t="str">
        <f>B38</f>
        <v>宗地面积</v>
      </c>
      <c r="R38" s="704" t="s">
        <v>14</v>
      </c>
      <c r="S38" s="705">
        <f t="shared" si="10"/>
        <v>100</v>
      </c>
      <c r="T38" s="704" t="s">
        <v>14</v>
      </c>
      <c r="U38" s="705">
        <f t="shared" si="11"/>
        <v>101</v>
      </c>
      <c r="V38" s="704" t="s">
        <v>14</v>
      </c>
      <c r="W38" s="705">
        <f t="shared" si="12"/>
        <v>100.5</v>
      </c>
      <c r="X38" s="1354"/>
      <c r="Y38" s="3690"/>
      <c r="Z38" s="1355" t="str">
        <f t="shared" si="13"/>
        <v>宗地面积</v>
      </c>
      <c r="AA38" s="1352">
        <f t="shared" si="3"/>
        <v>1</v>
      </c>
      <c r="AB38" s="1352">
        <f t="shared" si="4"/>
        <v>0.99009900990099009</v>
      </c>
      <c r="AC38" s="1352">
        <f t="shared" si="5"/>
        <v>0.99502487562189057</v>
      </c>
    </row>
    <row r="39" spans="1:29" ht="15">
      <c r="A39" s="423"/>
      <c r="B39" s="375" t="s">
        <v>1874</v>
      </c>
      <c r="C39" s="1904" t="s">
        <v>3970</v>
      </c>
      <c r="D39" s="386">
        <v>100</v>
      </c>
      <c r="E39" s="1904" t="s">
        <v>3970</v>
      </c>
      <c r="F39" s="386">
        <f>SUMIF(118:118,E39,119:119)-SUMIF(118:118,C39,119:119)+100</f>
        <v>100</v>
      </c>
      <c r="G39" s="1904" t="s">
        <v>3970</v>
      </c>
      <c r="H39" s="386">
        <f>SUMIF(118:118,G39,119:119)-SUMIF(118:118,C39,119:119)+100</f>
        <v>100</v>
      </c>
      <c r="I39" s="1904" t="s">
        <v>3970</v>
      </c>
      <c r="J39" s="386">
        <f>SUMIF(118:118,I39,119:119)-SUMIF(118:118,C39,119:119)+100</f>
        <v>100</v>
      </c>
      <c r="K39" s="560">
        <v>2</v>
      </c>
      <c r="L39" s="2718"/>
      <c r="M39" s="2712"/>
      <c r="N39" s="2712"/>
      <c r="O39" s="2770"/>
      <c r="P39" s="3690"/>
      <c r="Q39" s="1351" t="str">
        <f t="shared" ref="Q39:Q45" si="14">B39</f>
        <v>宗地形状</v>
      </c>
      <c r="R39" s="704" t="s">
        <v>14</v>
      </c>
      <c r="S39" s="705">
        <f t="shared" si="10"/>
        <v>100</v>
      </c>
      <c r="T39" s="704" t="s">
        <v>14</v>
      </c>
      <c r="U39" s="705">
        <f t="shared" si="11"/>
        <v>100</v>
      </c>
      <c r="V39" s="704" t="s">
        <v>14</v>
      </c>
      <c r="W39" s="705">
        <f t="shared" si="12"/>
        <v>100</v>
      </c>
      <c r="X39" s="1354"/>
      <c r="Y39" s="3690"/>
      <c r="Z39" s="1355" t="str">
        <f t="shared" si="13"/>
        <v>宗地形状</v>
      </c>
      <c r="AA39" s="1352">
        <f t="shared" si="3"/>
        <v>1</v>
      </c>
      <c r="AB39" s="1352">
        <f t="shared" si="4"/>
        <v>1</v>
      </c>
      <c r="AC39" s="1352">
        <f t="shared" si="5"/>
        <v>1</v>
      </c>
    </row>
    <row r="40" spans="1:29" ht="15">
      <c r="A40" s="423"/>
      <c r="B40" s="375" t="s">
        <v>1875</v>
      </c>
      <c r="C40" s="1904" t="s">
        <v>3972</v>
      </c>
      <c r="D40" s="386">
        <v>100</v>
      </c>
      <c r="E40" s="1904" t="s">
        <v>3972</v>
      </c>
      <c r="F40" s="386">
        <f>SUMIF(120:120,E40,121:121)-SUMIF(120:120,C40,121:121)+100</f>
        <v>100</v>
      </c>
      <c r="G40" s="1904" t="s">
        <v>3972</v>
      </c>
      <c r="H40" s="386">
        <f>SUMIF(120:120,G40,121:121)-SUMIF(120:120,C40,121:121)+100</f>
        <v>100</v>
      </c>
      <c r="I40" s="1904" t="s">
        <v>3972</v>
      </c>
      <c r="J40" s="386">
        <f>SUMIF(120:120,I40,121:121)-SUMIF(120:120,C40,121:121)+100</f>
        <v>100</v>
      </c>
      <c r="K40" s="560">
        <v>2</v>
      </c>
      <c r="L40" s="2718"/>
      <c r="M40" s="2712"/>
      <c r="N40" s="2712"/>
      <c r="O40" s="2770"/>
      <c r="P40" s="3690"/>
      <c r="Q40" s="1351" t="str">
        <f t="shared" si="14"/>
        <v>临街宽度及深度</v>
      </c>
      <c r="R40" s="704" t="s">
        <v>14</v>
      </c>
      <c r="S40" s="705">
        <f t="shared" si="10"/>
        <v>100</v>
      </c>
      <c r="T40" s="704" t="s">
        <v>14</v>
      </c>
      <c r="U40" s="705">
        <f t="shared" si="11"/>
        <v>100</v>
      </c>
      <c r="V40" s="704" t="s">
        <v>14</v>
      </c>
      <c r="W40" s="705">
        <f t="shared" si="12"/>
        <v>100</v>
      </c>
      <c r="X40" s="1354"/>
      <c r="Y40" s="3690"/>
      <c r="Z40" s="1355" t="str">
        <f t="shared" si="13"/>
        <v>临街宽度及深度</v>
      </c>
      <c r="AA40" s="1352">
        <f t="shared" si="3"/>
        <v>1</v>
      </c>
      <c r="AB40" s="1352">
        <f t="shared" si="4"/>
        <v>1</v>
      </c>
      <c r="AC40" s="1352">
        <f t="shared" si="5"/>
        <v>1</v>
      </c>
    </row>
    <row r="41" spans="1:29" s="108" customFormat="1" ht="15">
      <c r="A41" s="424"/>
      <c r="B41" s="375" t="s">
        <v>1876</v>
      </c>
      <c r="C41" s="1978" t="s">
        <v>3453</v>
      </c>
      <c r="D41" s="127">
        <v>100</v>
      </c>
      <c r="E41" s="1978" t="s">
        <v>3971</v>
      </c>
      <c r="F41" s="386">
        <f>SUMIF(122:122,E41,123:123)-SUMIF(122:122,C41,123:123)+100</f>
        <v>99</v>
      </c>
      <c r="G41" s="1978" t="s">
        <v>3971</v>
      </c>
      <c r="H41" s="386">
        <f>SUMIF(122:122,G41,123:123)-SUMIF(122:122,C41,123:123)+100</f>
        <v>99</v>
      </c>
      <c r="I41" s="1978" t="s">
        <v>3971</v>
      </c>
      <c r="J41" s="386">
        <f>SUMIF(122:122,I41,123:123)-SUMIF(122:122,C41,123:123)+100</f>
        <v>99</v>
      </c>
      <c r="K41" s="560">
        <v>1</v>
      </c>
      <c r="L41" s="2713"/>
      <c r="M41" s="2714"/>
      <c r="N41" s="2714"/>
      <c r="O41" s="2768"/>
      <c r="P41" s="3690"/>
      <c r="Q41" s="1351" t="str">
        <f t="shared" si="14"/>
        <v>宗地开发程度</v>
      </c>
      <c r="R41" s="700" t="s">
        <v>14</v>
      </c>
      <c r="S41" s="701">
        <f t="shared" si="10"/>
        <v>99</v>
      </c>
      <c r="T41" s="700" t="s">
        <v>14</v>
      </c>
      <c r="U41" s="701">
        <f t="shared" si="11"/>
        <v>99</v>
      </c>
      <c r="V41" s="700" t="s">
        <v>14</v>
      </c>
      <c r="W41" s="701">
        <f t="shared" si="12"/>
        <v>99</v>
      </c>
      <c r="X41" s="702"/>
      <c r="Y41" s="3690"/>
      <c r="Z41" s="52" t="str">
        <f t="shared" si="13"/>
        <v>宗地开发程度</v>
      </c>
      <c r="AA41" s="703">
        <f t="shared" si="3"/>
        <v>1.0101010101010102</v>
      </c>
      <c r="AB41" s="703">
        <f t="shared" si="4"/>
        <v>1.0101010101010102</v>
      </c>
      <c r="AC41" s="703">
        <f t="shared" si="5"/>
        <v>1.0101010101010102</v>
      </c>
    </row>
    <row r="42" spans="1:29" ht="15">
      <c r="A42" s="423"/>
      <c r="B42" s="375" t="s">
        <v>1877</v>
      </c>
      <c r="C42" s="1904" t="s">
        <v>3447</v>
      </c>
      <c r="D42" s="386">
        <v>100</v>
      </c>
      <c r="E42" s="1904" t="s">
        <v>3447</v>
      </c>
      <c r="F42" s="386">
        <f>SUMIF(124:124,E42,125:125)-SUMIF(124:124,C42,125:125)+100</f>
        <v>100</v>
      </c>
      <c r="G42" s="1904" t="s">
        <v>3447</v>
      </c>
      <c r="H42" s="386">
        <f>SUMIF(124:124,G42,125:125)-SUMIF(124:124,C42,125:125)+100</f>
        <v>100</v>
      </c>
      <c r="I42" s="1904" t="s">
        <v>3447</v>
      </c>
      <c r="J42" s="386">
        <f>SUMIF(124:124,I42,125:125)-SUMIF(124:124,C42,125:125)+100</f>
        <v>100</v>
      </c>
      <c r="K42" s="560">
        <v>2</v>
      </c>
      <c r="L42" s="2718"/>
      <c r="M42" s="2712"/>
      <c r="N42" s="2712"/>
      <c r="O42" s="2770"/>
      <c r="P42" s="3690" t="s">
        <v>1695</v>
      </c>
      <c r="Q42" s="1351" t="str">
        <f t="shared" si="14"/>
        <v>工程地质条件</v>
      </c>
      <c r="R42" s="704" t="s">
        <v>14</v>
      </c>
      <c r="S42" s="705">
        <f t="shared" si="10"/>
        <v>100</v>
      </c>
      <c r="T42" s="704" t="s">
        <v>14</v>
      </c>
      <c r="U42" s="705">
        <f t="shared" si="11"/>
        <v>100</v>
      </c>
      <c r="V42" s="704" t="s">
        <v>14</v>
      </c>
      <c r="W42" s="705">
        <f t="shared" si="12"/>
        <v>100</v>
      </c>
      <c r="X42" s="1354"/>
      <c r="Y42" s="3690" t="s">
        <v>1695</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7"/>
      <c r="J43" s="386">
        <f>SUMIF(126:126,I43,127:127)-SUMIF(126:126,C43,127:127)+100</f>
        <v>100</v>
      </c>
      <c r="K43" s="561"/>
      <c r="L43" s="2718"/>
      <c r="M43" s="2712"/>
      <c r="N43" s="2712"/>
      <c r="O43" s="2770"/>
      <c r="P43" s="3690"/>
      <c r="Q43" s="1351">
        <f t="shared" si="14"/>
        <v>111</v>
      </c>
      <c r="R43" s="704" t="s">
        <v>14</v>
      </c>
      <c r="S43" s="705">
        <f t="shared" si="10"/>
        <v>100</v>
      </c>
      <c r="T43" s="704" t="s">
        <v>14</v>
      </c>
      <c r="U43" s="705">
        <f t="shared" si="11"/>
        <v>100</v>
      </c>
      <c r="V43" s="704" t="s">
        <v>14</v>
      </c>
      <c r="W43" s="705">
        <f t="shared" si="12"/>
        <v>100</v>
      </c>
      <c r="X43" s="1354"/>
      <c r="Y43" s="3690"/>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7"/>
      <c r="J44" s="386">
        <f>SUMIF(128:128,I44,129:129)-SUMIF(128:128,C44,129:129)+100</f>
        <v>100</v>
      </c>
      <c r="K44" s="561"/>
      <c r="L44" s="2718"/>
      <c r="M44" s="2712"/>
      <c r="N44" s="2712"/>
      <c r="O44" s="2770"/>
      <c r="P44" s="3690"/>
      <c r="Q44" s="1351">
        <f t="shared" si="14"/>
        <v>111</v>
      </c>
      <c r="R44" s="704" t="s">
        <v>14</v>
      </c>
      <c r="S44" s="705">
        <f t="shared" si="10"/>
        <v>100</v>
      </c>
      <c r="T44" s="704" t="s">
        <v>14</v>
      </c>
      <c r="U44" s="705">
        <f t="shared" si="11"/>
        <v>100</v>
      </c>
      <c r="V44" s="704" t="s">
        <v>14</v>
      </c>
      <c r="W44" s="705">
        <f t="shared" si="12"/>
        <v>100</v>
      </c>
      <c r="X44" s="1354"/>
      <c r="Y44" s="3690"/>
      <c r="Z44" s="1355">
        <f t="shared" si="13"/>
        <v>111</v>
      </c>
      <c r="AA44" s="1352">
        <f t="shared" si="3"/>
        <v>1</v>
      </c>
      <c r="AB44" s="1352">
        <f t="shared" si="4"/>
        <v>1</v>
      </c>
      <c r="AC44" s="1352">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690"/>
      <c r="Q45" s="1351">
        <f t="shared" si="14"/>
        <v>111</v>
      </c>
      <c r="R45" s="707" t="s">
        <v>14</v>
      </c>
      <c r="S45" s="708">
        <f t="shared" si="10"/>
        <v>100</v>
      </c>
      <c r="T45" s="707" t="s">
        <v>14</v>
      </c>
      <c r="U45" s="708">
        <f t="shared" si="11"/>
        <v>100</v>
      </c>
      <c r="V45" s="707" t="s">
        <v>14</v>
      </c>
      <c r="W45" s="708">
        <f t="shared" si="12"/>
        <v>100</v>
      </c>
      <c r="X45" s="709"/>
      <c r="Y45" s="3690"/>
      <c r="Z45" s="710">
        <f t="shared" si="13"/>
        <v>111</v>
      </c>
      <c r="AA45" s="1352">
        <f t="shared" si="3"/>
        <v>1</v>
      </c>
      <c r="AB45" s="1352">
        <f t="shared" si="4"/>
        <v>1</v>
      </c>
      <c r="AC45" s="1352">
        <f t="shared" si="5"/>
        <v>1</v>
      </c>
    </row>
    <row r="46" spans="1:29" ht="15">
      <c r="A46" s="429" t="s">
        <v>1843</v>
      </c>
      <c r="B46" s="1980" t="s">
        <v>1878</v>
      </c>
      <c r="C46" s="629" t="s">
        <v>0</v>
      </c>
      <c r="D46" s="431"/>
      <c r="E46" s="432">
        <f>土地!AP3</f>
        <v>35475</v>
      </c>
      <c r="F46" s="433"/>
      <c r="G46" s="434">
        <f>土地!AP12</f>
        <v>43063</v>
      </c>
      <c r="H46" s="435"/>
      <c r="I46" s="432">
        <f>土地!AP9</f>
        <v>35957</v>
      </c>
      <c r="J46" s="435"/>
      <c r="K46" s="713"/>
      <c r="L46" s="2720"/>
      <c r="M46" s="2721"/>
      <c r="N46" s="2712"/>
      <c r="O46" s="2721"/>
      <c r="P46" s="3686" t="str">
        <f>A46</f>
        <v>成交单价</v>
      </c>
      <c r="Q46" s="3686"/>
      <c r="R46" s="3691">
        <f>E46</f>
        <v>35475</v>
      </c>
      <c r="S46" s="3691"/>
      <c r="T46" s="3691">
        <f>G46</f>
        <v>43063</v>
      </c>
      <c r="U46" s="3691"/>
      <c r="V46" s="3691">
        <f>I46</f>
        <v>35957</v>
      </c>
      <c r="W46" s="3691"/>
      <c r="X46" s="689"/>
      <c r="Y46" s="711"/>
      <c r="Z46" s="689"/>
      <c r="AA46" s="689"/>
      <c r="AB46" s="689"/>
      <c r="AC46" s="689"/>
    </row>
    <row r="47" spans="1:29" ht="15.75" thickBot="1">
      <c r="A47" s="436" t="s">
        <v>1792</v>
      </c>
      <c r="B47" s="630"/>
      <c r="C47" s="439">
        <f>R48</f>
        <v>42049</v>
      </c>
      <c r="D47" s="2315" t="s">
        <v>2137</v>
      </c>
      <c r="E47" s="439">
        <f>R47</f>
        <v>40629</v>
      </c>
      <c r="F47" s="2316"/>
      <c r="G47" s="438">
        <f>T47</f>
        <v>44128</v>
      </c>
      <c r="H47" s="2316"/>
      <c r="I47" s="439">
        <f>V47</f>
        <v>41390</v>
      </c>
      <c r="J47" s="2316"/>
      <c r="K47" s="2318">
        <f>F47+H47+J47</f>
        <v>0</v>
      </c>
      <c r="L47" s="2720"/>
      <c r="M47" s="2721"/>
      <c r="N47" s="2721"/>
      <c r="O47" s="2721"/>
      <c r="P47" s="3686" t="str">
        <f>A47</f>
        <v>比较价值（元/平方米）</v>
      </c>
      <c r="Q47" s="3686"/>
      <c r="R47" s="3679">
        <f>ROUND(PRODUCT(R46,AA7:AA45),0)</f>
        <v>40629</v>
      </c>
      <c r="S47" s="3679"/>
      <c r="T47" s="3679">
        <f>ROUND(PRODUCT(T46,AB7:AB45),0)</f>
        <v>44128</v>
      </c>
      <c r="U47" s="3679"/>
      <c r="V47" s="3679">
        <f>ROUND(PRODUCT(V46,AC7:AC45),0)</f>
        <v>41390</v>
      </c>
      <c r="W47" s="3679"/>
      <c r="X47" s="689"/>
      <c r="Y47" s="689"/>
      <c r="Z47" s="689"/>
      <c r="AA47" s="689"/>
      <c r="AB47" s="689"/>
      <c r="AC47" s="689"/>
    </row>
    <row r="48" spans="1:29" ht="15.75" thickBot="1">
      <c r="A48" s="440" t="s">
        <v>1879</v>
      </c>
      <c r="B48" s="441"/>
      <c r="C48" s="442">
        <f>R48</f>
        <v>42049</v>
      </c>
      <c r="D48" s="442"/>
      <c r="E48" s="442"/>
      <c r="F48" s="442"/>
      <c r="G48" s="442"/>
      <c r="H48" s="442"/>
      <c r="I48" s="442"/>
      <c r="J48" s="442"/>
      <c r="K48" s="714"/>
      <c r="L48" s="2720"/>
      <c r="M48" s="2721"/>
      <c r="N48" s="2721"/>
      <c r="O48" s="2721"/>
      <c r="P48" s="3680" t="str">
        <f>A48</f>
        <v>估价对象XX用房的比较价值（楼面单价，元/平方米）</v>
      </c>
      <c r="Q48" s="3681"/>
      <c r="R48" s="3682">
        <f>ROUND(IF(D47="简单平均",AVERAGE(R47:W47),R47*F47+T47*H47+V47*J47),0)</f>
        <v>42049</v>
      </c>
      <c r="S48" s="3682"/>
      <c r="T48" s="3682"/>
      <c r="U48" s="3682"/>
      <c r="V48" s="3682"/>
      <c r="W48" s="3682"/>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f>IF(E46&lt;E47,E47/E46-1,E46/E47-1)</f>
        <v>0.14528541226215652</v>
      </c>
      <c r="F51" s="448" t="str">
        <f>IF(OR(E51&gt;=0.3,E51&lt;=-0.3),"超过30%","")</f>
        <v/>
      </c>
      <c r="G51" s="447">
        <f>IF(G46&lt;G47,G47/G46-1,G46/G47-1)</f>
        <v>2.4731207765366969E-2</v>
      </c>
      <c r="H51" s="448" t="str">
        <f>IF(OR(G51&gt;=0.3,G51&lt;=-0.3),"超过30%","")</f>
        <v/>
      </c>
      <c r="I51" s="447">
        <f>IF(I46&lt;I47,I47/I46-1,I46/I47-1)</f>
        <v>0.15109714381066275</v>
      </c>
      <c r="J51" s="448"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f>IF(E47&lt;G47,G47/E47-1,E47/G47-1)</f>
        <v>8.6120751187575451E-2</v>
      </c>
      <c r="F52" s="448" t="str">
        <f>IF(OR(E52&gt;=0.2,E52&lt;=-0.2),"超过20%","")</f>
        <v/>
      </c>
      <c r="G52" s="447">
        <f>IF(G47&lt;I47,I47/G47-1,G47/I47-1)</f>
        <v>6.6151244261899E-2</v>
      </c>
      <c r="H52" s="448" t="str">
        <f>IF(OR(G52&gt;=0.2,G52&lt;=-0.2),"超过20%","")</f>
        <v/>
      </c>
      <c r="I52" s="447">
        <f>IF(I47&lt;E47,E47/I47-1,I47/E47-1)</f>
        <v>1.8730463462059088E-2</v>
      </c>
      <c r="J52" s="448"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f>IF(E46&lt;G46,G46/E46-1,E46/G46-1)</f>
        <v>0.21389711064129679</v>
      </c>
      <c r="F53" s="448" t="str">
        <f>IF(OR(E53&gt;=0.3,E53&lt;=-0.3),"超过30%","")</f>
        <v/>
      </c>
      <c r="G53" s="447">
        <f>IF(G46&lt;I46,I46/G46-1,G46/I46-1)</f>
        <v>0.19762494090163241</v>
      </c>
      <c r="H53" s="448" t="str">
        <f>IF(OR(G53&gt;=0.3,G53&lt;=-0.3),"超过30%","")</f>
        <v/>
      </c>
      <c r="I53" s="447">
        <f>IF(I46&lt;E46,E46/I46-1,I46/E46-1)</f>
        <v>1.3587033121916781E-2</v>
      </c>
      <c r="J53" s="448"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1" t="s">
        <v>1882</v>
      </c>
      <c r="D55" s="1982" t="s">
        <v>1883</v>
      </c>
      <c r="E55" s="633" t="s">
        <v>1884</v>
      </c>
      <c r="F55" s="889" t="s">
        <v>1885</v>
      </c>
      <c r="G55" s="3683" t="s">
        <v>1886</v>
      </c>
      <c r="H55" s="3684"/>
      <c r="I55" s="135" t="s">
        <v>1887</v>
      </c>
      <c r="J55" s="1983">
        <f>项目基本情况!F35</f>
        <v>0</v>
      </c>
      <c r="K55" s="1984"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f>C48</f>
        <v>42049</v>
      </c>
      <c r="C56" s="637">
        <v>1</v>
      </c>
      <c r="D56" s="943">
        <v>1</v>
      </c>
      <c r="E56" s="637">
        <f>'数据-汇总表'!E8+'数据-汇总表'!E9</f>
        <v>23853.78</v>
      </c>
      <c r="F56" s="885">
        <f t="shared" ref="F56:F64" si="15">ROUND(B56*E56/10000,0)</f>
        <v>100303</v>
      </c>
      <c r="G56" s="3685"/>
      <c r="H56" s="3686"/>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8">
        <f>ROUND($C$48*C57*D57,0)</f>
        <v>6307</v>
      </c>
      <c r="C57" s="171">
        <f t="shared" ref="C57:C64" si="16">IF($C$55="北京市系数",I57,J57)</f>
        <v>0.6</v>
      </c>
      <c r="D57" s="944">
        <v>0.25</v>
      </c>
      <c r="E57" s="641">
        <f>'数据-汇总表'!G20</f>
        <v>1477.62</v>
      </c>
      <c r="F57" s="885">
        <f t="shared" si="15"/>
        <v>932</v>
      </c>
      <c r="G57" s="3002" t="s">
        <v>1891</v>
      </c>
      <c r="H57" s="886" t="str">
        <f>项目基本情况!B37</f>
        <v>六级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8">
        <f t="shared" ref="B58:B64" si="17">ROUND($C$48*C58*D58,0)</f>
        <v>3154</v>
      </c>
      <c r="C58" s="171">
        <f t="shared" si="16"/>
        <v>0.3</v>
      </c>
      <c r="D58" s="944">
        <v>0.25</v>
      </c>
      <c r="E58" s="641"/>
      <c r="F58" s="885">
        <f t="shared" si="15"/>
        <v>0</v>
      </c>
      <c r="G58" s="3003"/>
      <c r="H58" s="886" t="str">
        <f>项目基本情况!B37</f>
        <v>六级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8">
        <f t="shared" si="17"/>
        <v>2628</v>
      </c>
      <c r="C59" s="171">
        <f t="shared" si="16"/>
        <v>0.25</v>
      </c>
      <c r="D59" s="944">
        <v>0.25</v>
      </c>
      <c r="E59" s="641"/>
      <c r="F59" s="885">
        <f t="shared" si="15"/>
        <v>0</v>
      </c>
      <c r="G59" s="3003"/>
      <c r="H59" s="886" t="str">
        <f>项目基本情况!B37</f>
        <v>六级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8">
        <f t="shared" si="17"/>
        <v>2628</v>
      </c>
      <c r="C60" s="171">
        <f t="shared" si="16"/>
        <v>0.25</v>
      </c>
      <c r="D60" s="944">
        <v>0.25</v>
      </c>
      <c r="E60" s="217">
        <f>'数据-汇总表'!E11</f>
        <v>0</v>
      </c>
      <c r="F60" s="885">
        <f t="shared" si="15"/>
        <v>0</v>
      </c>
      <c r="G60" s="1985" t="s">
        <v>1895</v>
      </c>
      <c r="H60" s="886" t="str">
        <f>项目基本情况!C37</f>
        <v>六级</v>
      </c>
      <c r="I60" s="890">
        <f>SUMIF(修正!A57:A68,H60,修正!E57:E68)</f>
        <v>0.25</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8">
        <f t="shared" si="17"/>
        <v>2628</v>
      </c>
      <c r="C61" s="171">
        <f t="shared" si="16"/>
        <v>0.25</v>
      </c>
      <c r="D61" s="944">
        <v>0.25</v>
      </c>
      <c r="E61" s="217">
        <f>'数据-汇总表'!E12</f>
        <v>6350.3499999999931</v>
      </c>
      <c r="F61" s="885">
        <f t="shared" si="15"/>
        <v>1669</v>
      </c>
      <c r="G61" s="891" t="s">
        <v>1897</v>
      </c>
      <c r="H61" s="886" t="str">
        <f>IF(G61="商业",项目基本情况!B37,IF(G61="办公",项目基本情况!C37,IF(G61="住宅",项目基本情况!D37,项目基本情况!E37)))</f>
        <v>六级</v>
      </c>
      <c r="I61" s="890">
        <f>SUMIF(修正!A57:A68,H61,修正!F57:F68)</f>
        <v>0.25</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8">
        <f t="shared" si="17"/>
        <v>1577</v>
      </c>
      <c r="C62" s="171">
        <f t="shared" si="16"/>
        <v>0.15</v>
      </c>
      <c r="D62" s="944">
        <v>0.25</v>
      </c>
      <c r="E62" s="217">
        <f>'数据-汇总表'!E13</f>
        <v>22548.009999999973</v>
      </c>
      <c r="F62" s="885">
        <f t="shared" si="15"/>
        <v>3556</v>
      </c>
      <c r="G62" s="891" t="s">
        <v>1899</v>
      </c>
      <c r="H62" s="886" t="str">
        <f>IF(G62="商业",项目基本情况!B37,IF(G62="办公",项目基本情况!C37,IF(G62="住宅",项目基本情况!D37,项目基本情况!E37)))</f>
        <v>六级</v>
      </c>
      <c r="I62" s="890">
        <f>SUMIF(修正!A57:A68,H62,修正!G57:G68)</f>
        <v>0.15</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8">
        <f t="shared" si="17"/>
        <v>1577</v>
      </c>
      <c r="C63" s="171">
        <f t="shared" si="16"/>
        <v>0.15</v>
      </c>
      <c r="D63" s="944">
        <v>0.25</v>
      </c>
      <c r="E63" s="217">
        <f>'数据-汇总表'!E14</f>
        <v>0</v>
      </c>
      <c r="F63" s="885">
        <f t="shared" si="15"/>
        <v>0</v>
      </c>
      <c r="G63" s="1985" t="s">
        <v>1891</v>
      </c>
      <c r="H63" s="886" t="str">
        <f>项目基本情况!B37</f>
        <v>六级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8">
        <f t="shared" si="17"/>
        <v>1577</v>
      </c>
      <c r="C64" s="171">
        <f t="shared" si="16"/>
        <v>0.15</v>
      </c>
      <c r="D64" s="944">
        <v>0.25</v>
      </c>
      <c r="E64" s="217">
        <f>'数据-汇总表'!E15</f>
        <v>0</v>
      </c>
      <c r="F64" s="885">
        <f t="shared" si="15"/>
        <v>0</v>
      </c>
      <c r="G64" s="1986" t="s">
        <v>1895</v>
      </c>
      <c r="H64" s="896" t="str">
        <f>项目基本情况!C37</f>
        <v>六级</v>
      </c>
      <c r="I64" s="892">
        <f>SUMIF(修正!A57:A68,H64,修正!G57:G68)</f>
        <v>0.15</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54229.759999999966</v>
      </c>
      <c r="F65" s="644">
        <f>IF(B46="楼面地价",SUM(F56:F64),ROUND(C48*E65/10000,0))</f>
        <v>106460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5">
      <c r="A69" s="1987" t="s">
        <v>1903</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8" t="s">
        <v>1904</v>
      </c>
      <c r="B70" s="288" t="str">
        <f>"北京市平均增长率"&amp;TEXT(SUMIF(基准地价修正!N25:N29,A70,基准地价修正!P25:P29),"0.00%")</f>
        <v>北京市平均增长率0.00%</v>
      </c>
      <c r="C70" s="551">
        <v>100</v>
      </c>
      <c r="D70" s="543">
        <f>C70-0.5</f>
        <v>99.5</v>
      </c>
      <c r="E70" s="543">
        <f t="shared" ref="E70:K70" si="20">D70-0.5</f>
        <v>99</v>
      </c>
      <c r="F70" s="543">
        <f t="shared" si="20"/>
        <v>98.5</v>
      </c>
      <c r="G70" s="543">
        <f t="shared" si="20"/>
        <v>98</v>
      </c>
      <c r="H70" s="543">
        <f t="shared" si="20"/>
        <v>97.5</v>
      </c>
      <c r="I70" s="543">
        <f t="shared" si="20"/>
        <v>97</v>
      </c>
      <c r="J70" s="543">
        <f t="shared" si="20"/>
        <v>96.5</v>
      </c>
      <c r="K70" s="543">
        <f t="shared" si="20"/>
        <v>96</v>
      </c>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7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5">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ht="27">
      <c r="A74" s="475" t="s">
        <v>1718</v>
      </c>
      <c r="B74" s="476" t="s">
        <v>1684</v>
      </c>
      <c r="C74" s="3490" t="s">
        <v>3958</v>
      </c>
      <c r="D74" s="3490" t="s">
        <v>3959</v>
      </c>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v>100</v>
      </c>
      <c r="D75" s="484">
        <v>95</v>
      </c>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1688</v>
      </c>
      <c r="C78" s="495" t="str">
        <f>C79&amp;"（含）"&amp;"-"&amp;D79</f>
        <v>0（含）-1</v>
      </c>
      <c r="D78" s="495" t="str">
        <f t="shared" ref="D78:L78" si="21">D79&amp;"（含）"&amp;"-"&amp;E79</f>
        <v>1（含）-2</v>
      </c>
      <c r="E78" s="495" t="str">
        <f t="shared" si="21"/>
        <v>2（含）-3</v>
      </c>
      <c r="F78" s="495" t="str">
        <f t="shared" si="21"/>
        <v>3（含）-4</v>
      </c>
      <c r="G78" s="495" t="str">
        <f t="shared" si="21"/>
        <v>4（含）-</v>
      </c>
      <c r="H78" s="495" t="str">
        <f t="shared" si="21"/>
        <v>（含）-</v>
      </c>
      <c r="I78" s="495" t="str">
        <f t="shared" si="21"/>
        <v>（含）-</v>
      </c>
      <c r="J78" s="495" t="str">
        <f t="shared" si="21"/>
        <v>（含）-</v>
      </c>
      <c r="K78" s="495" t="str">
        <f t="shared" si="21"/>
        <v>（含）-</v>
      </c>
      <c r="L78" s="495" t="str">
        <f t="shared" si="21"/>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v>0</v>
      </c>
      <c r="D79" s="497">
        <v>1</v>
      </c>
      <c r="E79" s="497">
        <v>2</v>
      </c>
      <c r="F79" s="497">
        <v>3</v>
      </c>
      <c r="G79" s="497">
        <v>4</v>
      </c>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2">IF($B$46="单位面积地价",C80+$K11,C80-$K11)</f>
        <v>98</v>
      </c>
      <c r="E80" s="492">
        <f t="shared" si="22"/>
        <v>96</v>
      </c>
      <c r="F80" s="492">
        <f t="shared" si="22"/>
        <v>94</v>
      </c>
      <c r="G80" s="492">
        <f t="shared" si="22"/>
        <v>92</v>
      </c>
      <c r="H80" s="492">
        <f t="shared" si="22"/>
        <v>90</v>
      </c>
      <c r="I80" s="492">
        <f t="shared" si="22"/>
        <v>88</v>
      </c>
      <c r="J80" s="492">
        <f t="shared" si="22"/>
        <v>86</v>
      </c>
      <c r="K80" s="492">
        <f t="shared" si="22"/>
        <v>84</v>
      </c>
      <c r="L80" s="492">
        <f t="shared" si="22"/>
        <v>82</v>
      </c>
      <c r="M80" s="492">
        <f t="shared" si="22"/>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1"/>
      <c r="B81" s="486" t="str">
        <f>B12</f>
        <v>配建</v>
      </c>
      <c r="C81" s="3454" t="s">
        <v>3960</v>
      </c>
      <c r="D81" s="3493" t="s">
        <v>3957</v>
      </c>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2" customFormat="1" ht="15.75" thickBot="1">
      <c r="A82" s="501"/>
      <c r="B82" s="491"/>
      <c r="C82" s="508">
        <v>100</v>
      </c>
      <c r="D82" s="484">
        <v>95</v>
      </c>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2" customFormat="1" ht="15.75" thickTop="1">
      <c r="A83" s="501"/>
      <c r="B83" s="486">
        <f>B13</f>
        <v>0</v>
      </c>
      <c r="C83" s="3454"/>
      <c r="D83" s="3454"/>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2"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2"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2"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95</v>
      </c>
      <c r="E88" s="492">
        <f>D88-$K15</f>
        <v>90</v>
      </c>
      <c r="F88" s="492">
        <f>E88-$K15</f>
        <v>85</v>
      </c>
      <c r="G88" s="492">
        <f>F88-$K15</f>
        <v>80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95</v>
      </c>
      <c r="E94" s="492">
        <f>D94-$K21</f>
        <v>90</v>
      </c>
      <c r="F94" s="492">
        <f>E94-$K21</f>
        <v>85</v>
      </c>
      <c r="G94" s="492">
        <f>F94-$K21</f>
        <v>80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97</v>
      </c>
      <c r="E98" s="492">
        <f>D98-$K25</f>
        <v>94</v>
      </c>
      <c r="F98" s="492">
        <f>E98-$K25</f>
        <v>91</v>
      </c>
      <c r="G98" s="492">
        <f>F98-$K25</f>
        <v>88</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2" customFormat="1" ht="15.7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1"/>
      <c r="B100" s="491"/>
      <c r="C100" s="492">
        <v>100</v>
      </c>
      <c r="D100" s="492">
        <f>C100-$K27</f>
        <v>95</v>
      </c>
      <c r="E100" s="492">
        <f>D100-$K27</f>
        <v>90</v>
      </c>
      <c r="F100" s="492">
        <f>E100-$K27</f>
        <v>85</v>
      </c>
      <c r="G100" s="492">
        <f>F100-$K27</f>
        <v>80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1"/>
      <c r="B102" s="494"/>
      <c r="C102" s="492">
        <v>100</v>
      </c>
      <c r="D102" s="492">
        <f>C102-$K29</f>
        <v>99</v>
      </c>
      <c r="E102" s="492">
        <f>D102-$K29</f>
        <v>98</v>
      </c>
      <c r="F102" s="492">
        <f>E102-$K29</f>
        <v>97</v>
      </c>
      <c r="G102" s="492">
        <f>F102-$K29</f>
        <v>96</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28.5">
      <c r="A115" s="475" t="s">
        <v>1693</v>
      </c>
      <c r="B115" s="476" t="s">
        <v>1912</v>
      </c>
      <c r="C115" s="477" t="str">
        <f>C116&amp;"(含)"&amp;"-"&amp;D116</f>
        <v>0(含)-30000</v>
      </c>
      <c r="D115" s="477" t="str">
        <f t="shared" ref="D115:M115" si="26">D116&amp;"(含)"&amp;"-"&amp;E116</f>
        <v>30000(含)-60000</v>
      </c>
      <c r="E115" s="477" t="str">
        <f t="shared" si="26"/>
        <v>60000(含)-100000</v>
      </c>
      <c r="F115" s="477" t="str">
        <f t="shared" si="26"/>
        <v>100000(含)-150000</v>
      </c>
      <c r="G115" s="477" t="str">
        <f t="shared" si="26"/>
        <v>150000(含)-</v>
      </c>
      <c r="H115" s="477" t="str">
        <f t="shared" si="26"/>
        <v>(含)-</v>
      </c>
      <c r="I115" s="477" t="str">
        <f t="shared" si="26"/>
        <v>(含)-</v>
      </c>
      <c r="J115" s="477" t="str">
        <f t="shared" si="26"/>
        <v>(含)-</v>
      </c>
      <c r="K115" s="477" t="str">
        <f t="shared" si="26"/>
        <v>(含)-</v>
      </c>
      <c r="L115" s="477" t="str">
        <f t="shared" si="26"/>
        <v>(含)-</v>
      </c>
      <c r="M115" s="477"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v>0</v>
      </c>
      <c r="D116" s="543">
        <v>30000</v>
      </c>
      <c r="E116" s="543">
        <v>60000</v>
      </c>
      <c r="F116" s="543">
        <v>100000</v>
      </c>
      <c r="G116" s="543">
        <v>150000</v>
      </c>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v>100</v>
      </c>
      <c r="D117" s="539">
        <f>C117+0.5</f>
        <v>100.5</v>
      </c>
      <c r="E117" s="539">
        <f t="shared" ref="E117:G117" si="27">D117+0.5</f>
        <v>101</v>
      </c>
      <c r="F117" s="539">
        <f t="shared" si="27"/>
        <v>101.5</v>
      </c>
      <c r="G117" s="539">
        <f t="shared" si="27"/>
        <v>102</v>
      </c>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3455" t="s">
        <v>3961</v>
      </c>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8">C119-$K39</f>
        <v>98</v>
      </c>
      <c r="E119" s="492">
        <f t="shared" si="28"/>
        <v>96</v>
      </c>
      <c r="F119" s="492">
        <f t="shared" si="28"/>
        <v>94</v>
      </c>
      <c r="G119" s="492">
        <f t="shared" si="28"/>
        <v>92</v>
      </c>
      <c r="H119" s="492">
        <f t="shared" si="28"/>
        <v>90</v>
      </c>
      <c r="I119" s="492">
        <f t="shared" si="28"/>
        <v>88</v>
      </c>
      <c r="J119" s="492">
        <f t="shared" si="28"/>
        <v>86</v>
      </c>
      <c r="K119" s="492">
        <f t="shared" si="28"/>
        <v>84</v>
      </c>
      <c r="L119" s="492">
        <f t="shared" si="28"/>
        <v>82</v>
      </c>
      <c r="M119" s="493">
        <f t="shared" si="28"/>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3454" t="s">
        <v>3962</v>
      </c>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9">C121-$K40</f>
        <v>98</v>
      </c>
      <c r="E121" s="492">
        <f t="shared" si="29"/>
        <v>96</v>
      </c>
      <c r="F121" s="492">
        <f t="shared" si="29"/>
        <v>94</v>
      </c>
      <c r="G121" s="492">
        <f t="shared" si="29"/>
        <v>92</v>
      </c>
      <c r="H121" s="492">
        <f t="shared" si="29"/>
        <v>90</v>
      </c>
      <c r="I121" s="492">
        <f t="shared" si="29"/>
        <v>88</v>
      </c>
      <c r="J121" s="492">
        <f t="shared" si="29"/>
        <v>86</v>
      </c>
      <c r="K121" s="492">
        <f t="shared" si="29"/>
        <v>84</v>
      </c>
      <c r="L121" s="492">
        <f t="shared" si="29"/>
        <v>82</v>
      </c>
      <c r="M121" s="493">
        <f t="shared" si="29"/>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1"/>
      <c r="B122" s="486" t="s">
        <v>1915</v>
      </c>
      <c r="C122" s="3493" t="s">
        <v>3963</v>
      </c>
      <c r="D122" s="3493" t="s">
        <v>3964</v>
      </c>
      <c r="E122" s="3493" t="s">
        <v>3965</v>
      </c>
      <c r="F122" s="3493" t="s">
        <v>3966</v>
      </c>
      <c r="G122" s="3493" t="s">
        <v>3967</v>
      </c>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1"/>
      <c r="B123" s="491"/>
      <c r="C123" s="492">
        <v>100</v>
      </c>
      <c r="D123" s="492">
        <f t="shared" ref="D123:M123" si="30">C123-$K41</f>
        <v>99</v>
      </c>
      <c r="E123" s="492">
        <f t="shared" si="30"/>
        <v>98</v>
      </c>
      <c r="F123" s="492">
        <f t="shared" si="30"/>
        <v>97</v>
      </c>
      <c r="G123" s="492">
        <f t="shared" si="30"/>
        <v>96</v>
      </c>
      <c r="H123" s="492">
        <f t="shared" si="30"/>
        <v>95</v>
      </c>
      <c r="I123" s="492">
        <f t="shared" si="30"/>
        <v>94</v>
      </c>
      <c r="J123" s="492">
        <f t="shared" si="30"/>
        <v>93</v>
      </c>
      <c r="K123" s="492">
        <f t="shared" si="30"/>
        <v>92</v>
      </c>
      <c r="L123" s="492">
        <f t="shared" si="30"/>
        <v>91</v>
      </c>
      <c r="M123" s="493">
        <f t="shared" si="30"/>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3454" t="s">
        <v>3968</v>
      </c>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31">C125-$K42</f>
        <v>98</v>
      </c>
      <c r="E125" s="492">
        <f t="shared" si="31"/>
        <v>96</v>
      </c>
      <c r="F125" s="492">
        <f t="shared" si="31"/>
        <v>94</v>
      </c>
      <c r="G125" s="492">
        <f t="shared" si="31"/>
        <v>92</v>
      </c>
      <c r="H125" s="492">
        <f t="shared" si="31"/>
        <v>90</v>
      </c>
      <c r="I125" s="492">
        <f t="shared" si="31"/>
        <v>88</v>
      </c>
      <c r="J125" s="492">
        <f t="shared" si="31"/>
        <v>86</v>
      </c>
      <c r="K125" s="492">
        <f t="shared" si="31"/>
        <v>84</v>
      </c>
      <c r="L125" s="492">
        <f t="shared" si="31"/>
        <v>82</v>
      </c>
      <c r="M125" s="493">
        <f t="shared" si="31"/>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1"/>
  <sheetViews>
    <sheetView workbookViewId="0">
      <pane xSplit="5" ySplit="1" topLeftCell="AQ2" activePane="bottomRight" state="frozen"/>
      <selection pane="topRight" activeCell="F1" sqref="F1"/>
      <selection pane="bottomLeft" activeCell="A2" sqref="A2"/>
      <selection pane="bottomRight" activeCell="AR45" sqref="AR45"/>
    </sheetView>
  </sheetViews>
  <sheetFormatPr defaultRowHeight="13.5"/>
  <cols>
    <col min="1" max="1" width="33.125" style="3481" customWidth="1"/>
    <col min="2" max="2" width="10.75" style="3481" hidden="1" customWidth="1"/>
    <col min="3" max="5" width="20" style="3481" hidden="1" customWidth="1"/>
    <col min="6" max="6" width="20" style="3481" customWidth="1"/>
    <col min="7" max="7" width="20" style="3481" hidden="1" customWidth="1"/>
    <col min="8" max="11" width="20" style="3481" customWidth="1"/>
    <col min="12" max="12" width="20" style="3481" hidden="1" customWidth="1"/>
    <col min="13" max="53" width="20" style="3481" customWidth="1"/>
    <col min="54" max="16384" width="9" style="3481"/>
  </cols>
  <sheetData>
    <row r="1" spans="1:52">
      <c r="A1" s="3481" t="s">
        <v>3475</v>
      </c>
      <c r="B1" s="3481" t="s">
        <v>3476</v>
      </c>
      <c r="C1" s="3481" t="s">
        <v>3477</v>
      </c>
      <c r="D1" s="3481" t="s">
        <v>3478</v>
      </c>
      <c r="E1" s="3481" t="s">
        <v>3479</v>
      </c>
      <c r="F1" s="3481" t="s">
        <v>3480</v>
      </c>
      <c r="G1" s="3481" t="s">
        <v>3481</v>
      </c>
      <c r="H1" s="3481" t="s">
        <v>3482</v>
      </c>
      <c r="I1" s="3481" t="s">
        <v>3483</v>
      </c>
      <c r="J1" s="3481" t="s">
        <v>3484</v>
      </c>
      <c r="K1" s="3481" t="s">
        <v>3485</v>
      </c>
      <c r="L1" s="3481" t="s">
        <v>3486</v>
      </c>
      <c r="M1" s="3481" t="s">
        <v>3487</v>
      </c>
      <c r="N1" s="3481" t="s">
        <v>3488</v>
      </c>
      <c r="O1" s="3481" t="s">
        <v>3489</v>
      </c>
      <c r="P1" s="3481" t="s">
        <v>3490</v>
      </c>
      <c r="Q1" s="3481" t="s">
        <v>3491</v>
      </c>
      <c r="R1" s="3481" t="s">
        <v>3492</v>
      </c>
      <c r="S1" s="3481" t="s">
        <v>3493</v>
      </c>
      <c r="T1" s="3481" t="s">
        <v>3494</v>
      </c>
      <c r="U1" s="3481" t="s">
        <v>3495</v>
      </c>
      <c r="V1" s="3481" t="s">
        <v>3496</v>
      </c>
      <c r="W1" s="3481" t="s">
        <v>3497</v>
      </c>
      <c r="X1" s="3481" t="s">
        <v>3498</v>
      </c>
      <c r="Y1" s="3481" t="s">
        <v>3499</v>
      </c>
      <c r="Z1" s="3481" t="s">
        <v>3500</v>
      </c>
      <c r="AA1" s="3481" t="s">
        <v>3501</v>
      </c>
      <c r="AB1" s="3481" t="s">
        <v>3502</v>
      </c>
      <c r="AC1" s="3481" t="s">
        <v>3503</v>
      </c>
      <c r="AD1" s="3481" t="s">
        <v>3504</v>
      </c>
      <c r="AE1" s="3481" t="s">
        <v>3505</v>
      </c>
      <c r="AF1" s="3481" t="s">
        <v>3506</v>
      </c>
      <c r="AG1" s="3481" t="s">
        <v>3507</v>
      </c>
      <c r="AH1" s="3481" t="s">
        <v>3508</v>
      </c>
      <c r="AI1" s="3481" t="s">
        <v>3509</v>
      </c>
      <c r="AJ1" s="3481" t="s">
        <v>3510</v>
      </c>
      <c r="AK1" s="3481" t="s">
        <v>3511</v>
      </c>
      <c r="AL1" s="3481" t="s">
        <v>3512</v>
      </c>
      <c r="AM1" s="3481" t="s">
        <v>3513</v>
      </c>
      <c r="AN1" s="3481" t="s">
        <v>3514</v>
      </c>
      <c r="AO1" s="3481" t="s">
        <v>3515</v>
      </c>
      <c r="AP1" s="3481" t="s">
        <v>3516</v>
      </c>
      <c r="AQ1" s="3481" t="s">
        <v>3517</v>
      </c>
      <c r="AR1" s="3481" t="s">
        <v>3518</v>
      </c>
      <c r="AS1" s="3481" t="s">
        <v>3519</v>
      </c>
      <c r="AT1" s="3481" t="s">
        <v>3520</v>
      </c>
      <c r="AU1" s="3481" t="s">
        <v>3521</v>
      </c>
      <c r="AV1" s="3481" t="s">
        <v>3522</v>
      </c>
      <c r="AW1" s="3481" t="s">
        <v>3523</v>
      </c>
      <c r="AX1" s="3481" t="s">
        <v>3524</v>
      </c>
      <c r="AY1" s="3481" t="s">
        <v>3525</v>
      </c>
      <c r="AZ1" s="3481" t="s">
        <v>3526</v>
      </c>
    </row>
    <row r="2" spans="1:52">
      <c r="A2" s="3481" t="s">
        <v>3527</v>
      </c>
      <c r="B2" s="3481" t="s">
        <v>3378</v>
      </c>
      <c r="C2" s="3481" t="s">
        <v>3528</v>
      </c>
      <c r="D2" s="3481" t="s">
        <v>3529</v>
      </c>
      <c r="E2" s="3481" t="s">
        <v>3530</v>
      </c>
      <c r="F2" s="3481" t="s">
        <v>3531</v>
      </c>
      <c r="G2" s="3481" t="s">
        <v>3532</v>
      </c>
      <c r="H2" s="3481" t="s">
        <v>3533</v>
      </c>
      <c r="I2" s="3481">
        <v>49176.79</v>
      </c>
      <c r="J2" s="3481">
        <v>108188.94</v>
      </c>
      <c r="K2" s="3481">
        <v>2.2000000000000002</v>
      </c>
      <c r="L2" s="3481" t="s">
        <v>3534</v>
      </c>
      <c r="M2" s="3481" t="s">
        <v>3535</v>
      </c>
      <c r="N2" s="3481" t="s">
        <v>3536</v>
      </c>
      <c r="O2" s="3481" t="s">
        <v>3537</v>
      </c>
      <c r="P2" s="3481" t="s">
        <v>3538</v>
      </c>
      <c r="Q2" s="3481" t="s">
        <v>3539</v>
      </c>
      <c r="R2" s="3481" t="s">
        <v>3540</v>
      </c>
      <c r="S2" s="3481" t="s">
        <v>3541</v>
      </c>
      <c r="T2" s="3481" t="s">
        <v>3538</v>
      </c>
      <c r="U2" s="3481" t="s">
        <v>3538</v>
      </c>
      <c r="V2" s="3481">
        <v>0</v>
      </c>
      <c r="W2" s="3481">
        <v>0</v>
      </c>
      <c r="X2" s="3481">
        <v>0</v>
      </c>
      <c r="Y2" s="3481">
        <v>0</v>
      </c>
      <c r="Z2" s="3482">
        <v>44974.000497685185</v>
      </c>
      <c r="AA2" s="3482">
        <v>44994.000497685185</v>
      </c>
      <c r="AB2" s="3482">
        <v>45008.000497685185</v>
      </c>
      <c r="AC2" s="3482">
        <v>45008.000497685185</v>
      </c>
      <c r="AD2" s="3481" t="s">
        <v>3542</v>
      </c>
      <c r="AE2" s="3481" t="s">
        <v>3543</v>
      </c>
      <c r="AF2" s="3481" t="s">
        <v>3544</v>
      </c>
      <c r="AG2" s="3481" t="s">
        <v>3545</v>
      </c>
      <c r="AH2" s="3481" t="s">
        <v>3546</v>
      </c>
      <c r="AI2" s="3481">
        <v>270000</v>
      </c>
      <c r="AJ2" s="3481">
        <v>54000</v>
      </c>
      <c r="AK2" s="3481" t="s">
        <v>633</v>
      </c>
      <c r="AL2" s="3481">
        <v>270000</v>
      </c>
      <c r="AM2" s="3481">
        <v>3660.26</v>
      </c>
      <c r="AN2" s="3481">
        <v>3660.26</v>
      </c>
      <c r="AO2" s="3481">
        <v>24956</v>
      </c>
      <c r="AP2" s="3481">
        <v>24956</v>
      </c>
      <c r="AQ2" s="3481" t="s">
        <v>3538</v>
      </c>
      <c r="AR2" s="3481" t="s">
        <v>3538</v>
      </c>
      <c r="AS2" s="3481">
        <v>0</v>
      </c>
      <c r="AT2" s="3481" t="s">
        <v>3547</v>
      </c>
      <c r="AU2" s="3481">
        <v>310500</v>
      </c>
      <c r="AV2" s="3481" t="s">
        <v>3548</v>
      </c>
      <c r="AW2" s="3481">
        <v>53000</v>
      </c>
      <c r="AX2" s="3481">
        <v>28700</v>
      </c>
      <c r="AY2" s="3481">
        <v>15</v>
      </c>
      <c r="AZ2" s="3481">
        <v>28044</v>
      </c>
    </row>
    <row r="3" spans="1:52" s="3483" customFormat="1">
      <c r="A3" s="3483" t="s">
        <v>3549</v>
      </c>
      <c r="B3" s="3483" t="s">
        <v>3378</v>
      </c>
      <c r="C3" s="3483" t="s">
        <v>3550</v>
      </c>
      <c r="D3" s="3483" t="s">
        <v>3529</v>
      </c>
      <c r="E3" s="3483" t="s">
        <v>3530</v>
      </c>
      <c r="F3" s="3483" t="s">
        <v>3551</v>
      </c>
      <c r="G3" s="3483" t="s">
        <v>3552</v>
      </c>
      <c r="H3" s="3483" t="s">
        <v>3533</v>
      </c>
      <c r="I3" s="3483">
        <v>14652.77</v>
      </c>
      <c r="J3" s="3483">
        <v>36631.919999999998</v>
      </c>
      <c r="K3" s="3483">
        <v>2.5</v>
      </c>
      <c r="L3" s="3483" t="s">
        <v>3534</v>
      </c>
      <c r="M3" s="3483" t="s">
        <v>3535</v>
      </c>
      <c r="N3" s="3483" t="s">
        <v>3536</v>
      </c>
      <c r="O3" s="3483">
        <v>2.73</v>
      </c>
      <c r="P3" s="3483" t="s">
        <v>3538</v>
      </c>
      <c r="Q3" s="3483">
        <v>80</v>
      </c>
      <c r="R3" s="3483" t="s">
        <v>3540</v>
      </c>
      <c r="S3" s="3483" t="s">
        <v>3540</v>
      </c>
      <c r="T3" s="3483" t="s">
        <v>3538</v>
      </c>
      <c r="U3" s="3483" t="s">
        <v>3538</v>
      </c>
      <c r="V3" s="3483">
        <v>0</v>
      </c>
      <c r="W3" s="3483">
        <v>0</v>
      </c>
      <c r="X3" s="3483">
        <v>0</v>
      </c>
      <c r="Y3" s="3483">
        <v>0</v>
      </c>
      <c r="Z3" s="3484">
        <v>44974.000497685185</v>
      </c>
      <c r="AA3" s="3484">
        <v>44994.000497685185</v>
      </c>
      <c r="AB3" s="3484">
        <v>45008.000497685185</v>
      </c>
      <c r="AC3" s="3484">
        <v>45008.000497685185</v>
      </c>
      <c r="AD3" s="3483" t="s">
        <v>3553</v>
      </c>
      <c r="AE3" s="3483" t="s">
        <v>3543</v>
      </c>
      <c r="AF3" s="3483" t="s">
        <v>3554</v>
      </c>
      <c r="AG3" s="3483" t="s">
        <v>3555</v>
      </c>
      <c r="AH3" s="3483" t="s">
        <v>3556</v>
      </c>
      <c r="AI3" s="3483">
        <v>113000</v>
      </c>
      <c r="AJ3" s="3483">
        <v>23000</v>
      </c>
      <c r="AK3" s="3483" t="s">
        <v>633</v>
      </c>
      <c r="AL3" s="3483">
        <v>129950</v>
      </c>
      <c r="AM3" s="3483">
        <v>5141.2299999999996</v>
      </c>
      <c r="AN3" s="3483">
        <v>5912.42</v>
      </c>
      <c r="AO3" s="3483">
        <v>30847</v>
      </c>
      <c r="AP3" s="3483">
        <v>35475</v>
      </c>
      <c r="AQ3" s="3483" t="s">
        <v>3538</v>
      </c>
      <c r="AR3" s="3483" t="s">
        <v>3538</v>
      </c>
      <c r="AS3" s="3483">
        <v>15</v>
      </c>
      <c r="AT3" s="3483" t="s">
        <v>3547</v>
      </c>
      <c r="AU3" s="3483">
        <v>129950</v>
      </c>
      <c r="AV3" s="3483" t="s">
        <v>3557</v>
      </c>
      <c r="AW3" s="3483">
        <v>62000</v>
      </c>
      <c r="AX3" s="3483">
        <v>35475</v>
      </c>
      <c r="AY3" s="3483">
        <v>15</v>
      </c>
      <c r="AZ3" s="3483">
        <v>31153</v>
      </c>
    </row>
    <row r="4" spans="1:52">
      <c r="A4" s="3489" t="s">
        <v>3956</v>
      </c>
      <c r="B4" s="3481" t="s">
        <v>3378</v>
      </c>
      <c r="C4" s="3481" t="s">
        <v>3558</v>
      </c>
      <c r="D4" s="3481" t="s">
        <v>3529</v>
      </c>
      <c r="E4" s="3481" t="s">
        <v>3559</v>
      </c>
      <c r="F4" s="3481" t="s">
        <v>3560</v>
      </c>
      <c r="G4" s="3481" t="s">
        <v>3561</v>
      </c>
      <c r="H4" s="3481" t="s">
        <v>3533</v>
      </c>
      <c r="I4" s="3481">
        <v>12060.05</v>
      </c>
      <c r="J4" s="3481">
        <v>30150</v>
      </c>
      <c r="K4" s="3481">
        <v>2.5</v>
      </c>
      <c r="L4" s="3481" t="s">
        <v>3534</v>
      </c>
      <c r="M4" s="3481" t="s">
        <v>3535</v>
      </c>
      <c r="N4" s="3481" t="s">
        <v>3562</v>
      </c>
      <c r="O4" s="3481" t="s">
        <v>3537</v>
      </c>
      <c r="P4" s="3481">
        <v>0.3</v>
      </c>
      <c r="Q4" s="3481">
        <v>60</v>
      </c>
      <c r="R4" s="3481" t="s">
        <v>3563</v>
      </c>
      <c r="S4" s="3481" t="s">
        <v>3564</v>
      </c>
      <c r="T4" s="3481" t="s">
        <v>3538</v>
      </c>
      <c r="U4" s="3481" t="s">
        <v>3538</v>
      </c>
      <c r="V4" s="3481" t="s">
        <v>3538</v>
      </c>
      <c r="W4" s="3481" t="s">
        <v>3538</v>
      </c>
      <c r="X4" s="3481">
        <v>0</v>
      </c>
      <c r="Y4" s="3481">
        <v>0</v>
      </c>
      <c r="Z4" s="3482">
        <v>44925.000497685185</v>
      </c>
      <c r="AA4" s="3482">
        <v>44945.000497685185</v>
      </c>
      <c r="AB4" s="3482">
        <v>44964.000497685185</v>
      </c>
      <c r="AC4" s="3482">
        <v>44965.000497685185</v>
      </c>
      <c r="AD4" s="3481" t="s">
        <v>3565</v>
      </c>
      <c r="AE4" s="3481" t="s">
        <v>3543</v>
      </c>
      <c r="AF4" s="3481" t="s">
        <v>3566</v>
      </c>
      <c r="AG4" s="3481" t="s">
        <v>3567</v>
      </c>
      <c r="AH4" s="3481" t="s">
        <v>3568</v>
      </c>
      <c r="AI4" s="3481">
        <v>124000</v>
      </c>
      <c r="AJ4" s="3481">
        <v>25000</v>
      </c>
      <c r="AK4" s="3481" t="s">
        <v>3569</v>
      </c>
      <c r="AL4" s="3481">
        <v>142600</v>
      </c>
      <c r="AM4" s="3481">
        <v>6854.59</v>
      </c>
      <c r="AN4" s="3481">
        <v>7882.78</v>
      </c>
      <c r="AO4" s="3481">
        <v>41128</v>
      </c>
      <c r="AP4" s="3481">
        <v>47297</v>
      </c>
      <c r="AQ4" s="3481" t="s">
        <v>3538</v>
      </c>
      <c r="AR4" s="3481" t="s">
        <v>3538</v>
      </c>
      <c r="AS4" s="3481">
        <v>15</v>
      </c>
      <c r="AT4" s="3481" t="s">
        <v>3570</v>
      </c>
      <c r="AU4" s="3481">
        <v>142600</v>
      </c>
      <c r="AV4" s="3481" t="s">
        <v>3557</v>
      </c>
      <c r="AW4" s="3481">
        <v>80000</v>
      </c>
      <c r="AX4" s="3481">
        <v>47297</v>
      </c>
      <c r="AY4" s="3481">
        <v>15</v>
      </c>
      <c r="AZ4" s="3481">
        <v>38872</v>
      </c>
    </row>
    <row r="5" spans="1:52">
      <c r="A5" s="3481" t="s">
        <v>3571</v>
      </c>
      <c r="B5" s="3481" t="s">
        <v>3378</v>
      </c>
      <c r="C5" s="3481" t="s">
        <v>3572</v>
      </c>
      <c r="D5" s="3481" t="s">
        <v>3529</v>
      </c>
      <c r="E5" s="3481" t="s">
        <v>3530</v>
      </c>
      <c r="F5" s="3481" t="s">
        <v>3551</v>
      </c>
      <c r="G5" s="3481" t="s">
        <v>3552</v>
      </c>
      <c r="H5" s="3481" t="s">
        <v>3573</v>
      </c>
      <c r="I5" s="3481">
        <v>45099.11</v>
      </c>
      <c r="J5" s="3481">
        <v>102116.42</v>
      </c>
      <c r="K5" s="3481" t="s">
        <v>3574</v>
      </c>
      <c r="L5" s="3481" t="s">
        <v>3534</v>
      </c>
      <c r="M5" s="3481" t="s">
        <v>3575</v>
      </c>
      <c r="N5" s="3481" t="s">
        <v>3562</v>
      </c>
      <c r="O5" s="3481" t="s">
        <v>3537</v>
      </c>
      <c r="P5" s="3481" t="s">
        <v>3538</v>
      </c>
      <c r="Q5" s="3481" t="s">
        <v>3576</v>
      </c>
      <c r="R5" s="3481" t="s">
        <v>3577</v>
      </c>
      <c r="S5" s="3481" t="s">
        <v>3578</v>
      </c>
      <c r="T5" s="3481" t="s">
        <v>3538</v>
      </c>
      <c r="U5" s="3481" t="s">
        <v>3538</v>
      </c>
      <c r="V5" s="3481" t="s">
        <v>3538</v>
      </c>
      <c r="W5" s="3481" t="s">
        <v>3538</v>
      </c>
      <c r="X5" s="3481">
        <v>0</v>
      </c>
      <c r="Y5" s="3481">
        <v>0</v>
      </c>
      <c r="Z5" s="3482">
        <v>44925.000497685185</v>
      </c>
      <c r="AA5" s="3482">
        <v>44945.000497685185</v>
      </c>
      <c r="AB5" s="3482">
        <v>44964.000497685185</v>
      </c>
      <c r="AC5" s="3482">
        <v>44965.000497685185</v>
      </c>
      <c r="AD5" s="3481" t="s">
        <v>3579</v>
      </c>
      <c r="AE5" s="3481" t="s">
        <v>3543</v>
      </c>
      <c r="AF5" s="3481" t="s">
        <v>3580</v>
      </c>
      <c r="AG5" s="3481" t="s">
        <v>3581</v>
      </c>
      <c r="AH5" s="3481" t="s">
        <v>3546</v>
      </c>
      <c r="AI5" s="3481">
        <v>288000</v>
      </c>
      <c r="AJ5" s="3481">
        <v>58000</v>
      </c>
      <c r="AK5" s="3481" t="s">
        <v>3569</v>
      </c>
      <c r="AL5" s="3481">
        <v>331200</v>
      </c>
      <c r="AM5" s="3481">
        <v>4257.29</v>
      </c>
      <c r="AN5" s="3481">
        <v>4895.88</v>
      </c>
      <c r="AO5" s="3481">
        <v>28203</v>
      </c>
      <c r="AP5" s="3481">
        <v>32434</v>
      </c>
      <c r="AQ5" s="3481" t="s">
        <v>3538</v>
      </c>
      <c r="AR5" s="3481" t="s">
        <v>3538</v>
      </c>
      <c r="AS5" s="3481">
        <v>15</v>
      </c>
      <c r="AT5" s="3481" t="s">
        <v>3582</v>
      </c>
      <c r="AU5" s="3481">
        <v>331200</v>
      </c>
      <c r="AV5" s="3481" t="s">
        <v>3557</v>
      </c>
      <c r="AW5" s="3481">
        <v>62000</v>
      </c>
      <c r="AX5" s="3481">
        <v>32434</v>
      </c>
      <c r="AY5" s="3481">
        <v>15</v>
      </c>
      <c r="AZ5" s="3481">
        <v>33797</v>
      </c>
    </row>
    <row r="6" spans="1:52">
      <c r="A6" s="3481" t="s">
        <v>3583</v>
      </c>
      <c r="B6" s="3481" t="s">
        <v>3378</v>
      </c>
      <c r="C6" s="3481" t="s">
        <v>3584</v>
      </c>
      <c r="D6" s="3481" t="s">
        <v>3529</v>
      </c>
      <c r="E6" s="3481" t="s">
        <v>3559</v>
      </c>
      <c r="F6" s="3481" t="s">
        <v>3585</v>
      </c>
      <c r="G6" s="3481" t="s">
        <v>3586</v>
      </c>
      <c r="H6" s="3481" t="s">
        <v>3533</v>
      </c>
      <c r="I6" s="3481">
        <v>18681.22</v>
      </c>
      <c r="J6" s="3481">
        <v>46703.06</v>
      </c>
      <c r="K6" s="3481">
        <v>2.5</v>
      </c>
      <c r="L6" s="3481" t="s">
        <v>3534</v>
      </c>
      <c r="M6" s="3481" t="s">
        <v>3535</v>
      </c>
      <c r="N6" s="3481" t="s">
        <v>3587</v>
      </c>
      <c r="O6" s="3481" t="s">
        <v>3537</v>
      </c>
      <c r="P6" s="3481">
        <v>0.3</v>
      </c>
      <c r="Q6" s="3481" t="s">
        <v>3538</v>
      </c>
      <c r="R6" s="3481" t="s">
        <v>3588</v>
      </c>
      <c r="S6" s="3481" t="s">
        <v>3588</v>
      </c>
      <c r="T6" s="3481" t="s">
        <v>3538</v>
      </c>
      <c r="U6" s="3481" t="s">
        <v>3538</v>
      </c>
      <c r="V6" s="3481">
        <v>0</v>
      </c>
      <c r="W6" s="3481">
        <v>0</v>
      </c>
      <c r="X6" s="3481">
        <v>0</v>
      </c>
      <c r="Y6" s="3481">
        <v>0</v>
      </c>
      <c r="Z6" s="3482">
        <v>44859.000497685185</v>
      </c>
      <c r="AA6" s="3482">
        <v>44879.000497685185</v>
      </c>
      <c r="AB6" s="3482">
        <v>44893.000497685185</v>
      </c>
      <c r="AC6" s="3482">
        <v>44894.000497685185</v>
      </c>
      <c r="AD6" s="3481" t="s">
        <v>3589</v>
      </c>
      <c r="AE6" s="3481" t="s">
        <v>3543</v>
      </c>
      <c r="AF6" s="3481" t="s">
        <v>3590</v>
      </c>
      <c r="AG6" s="3481" t="s">
        <v>3591</v>
      </c>
      <c r="AH6" s="3481" t="s">
        <v>3556</v>
      </c>
      <c r="AI6" s="3481">
        <v>212000</v>
      </c>
      <c r="AJ6" s="3481">
        <v>43000</v>
      </c>
      <c r="AK6" s="3481" t="s">
        <v>3592</v>
      </c>
      <c r="AL6" s="3481">
        <v>243800</v>
      </c>
      <c r="AM6" s="3481">
        <v>7565.53</v>
      </c>
      <c r="AN6" s="3481">
        <v>8700.36</v>
      </c>
      <c r="AO6" s="3481">
        <v>45393</v>
      </c>
      <c r="AP6" s="3481">
        <v>52202</v>
      </c>
      <c r="AQ6" s="3481" t="s">
        <v>3538</v>
      </c>
      <c r="AR6" s="3481" t="s">
        <v>3538</v>
      </c>
      <c r="AS6" s="3481">
        <v>15</v>
      </c>
      <c r="AT6" s="3481" t="s">
        <v>3547</v>
      </c>
      <c r="AU6" s="3481">
        <v>243800</v>
      </c>
      <c r="AV6" s="3481" t="s">
        <v>3557</v>
      </c>
      <c r="AW6" s="3481">
        <v>85000</v>
      </c>
      <c r="AX6" s="3481">
        <v>52202</v>
      </c>
      <c r="AY6" s="3481">
        <v>15</v>
      </c>
      <c r="AZ6" s="3481">
        <v>39607</v>
      </c>
    </row>
    <row r="7" spans="1:52">
      <c r="A7" s="3481" t="s">
        <v>3593</v>
      </c>
      <c r="B7" s="3481" t="s">
        <v>3378</v>
      </c>
      <c r="C7" s="3481" t="s">
        <v>3594</v>
      </c>
      <c r="D7" s="3481" t="s">
        <v>3529</v>
      </c>
      <c r="E7" s="3481" t="s">
        <v>3559</v>
      </c>
      <c r="F7" s="3481" t="s">
        <v>3585</v>
      </c>
      <c r="G7" s="3481" t="s">
        <v>3586</v>
      </c>
      <c r="H7" s="3481" t="s">
        <v>3533</v>
      </c>
      <c r="I7" s="3481">
        <v>19603.849999999999</v>
      </c>
      <c r="J7" s="3481">
        <v>49009.63</v>
      </c>
      <c r="K7" s="3481">
        <v>2.5</v>
      </c>
      <c r="L7" s="3481" t="s">
        <v>3534</v>
      </c>
      <c r="M7" s="3481" t="s">
        <v>3535</v>
      </c>
      <c r="N7" s="3481" t="s">
        <v>3587</v>
      </c>
      <c r="O7" s="3481" t="s">
        <v>3537</v>
      </c>
      <c r="P7" s="3481">
        <v>0.3</v>
      </c>
      <c r="Q7" s="3481" t="s">
        <v>3538</v>
      </c>
      <c r="R7" s="3481" t="s">
        <v>3588</v>
      </c>
      <c r="S7" s="3481" t="s">
        <v>3588</v>
      </c>
      <c r="T7" s="3481" t="s">
        <v>3538</v>
      </c>
      <c r="U7" s="3481" t="s">
        <v>3538</v>
      </c>
      <c r="V7" s="3481">
        <v>0</v>
      </c>
      <c r="W7" s="3481">
        <v>0</v>
      </c>
      <c r="X7" s="3481">
        <v>0</v>
      </c>
      <c r="Y7" s="3481">
        <v>0</v>
      </c>
      <c r="Z7" s="3482">
        <v>44859.000497685185</v>
      </c>
      <c r="AA7" s="3482">
        <v>44879.000497685185</v>
      </c>
      <c r="AB7" s="3482">
        <v>44893.000497685185</v>
      </c>
      <c r="AC7" s="3482">
        <v>44894.000497685185</v>
      </c>
      <c r="AD7" s="3481" t="s">
        <v>3595</v>
      </c>
      <c r="AE7" s="3481" t="s">
        <v>3543</v>
      </c>
      <c r="AF7" s="3481" t="s">
        <v>3596</v>
      </c>
      <c r="AG7" s="3481" t="s">
        <v>3597</v>
      </c>
      <c r="AH7" s="3481" t="s">
        <v>3598</v>
      </c>
      <c r="AI7" s="3481">
        <v>222000</v>
      </c>
      <c r="AJ7" s="3481">
        <v>45000</v>
      </c>
      <c r="AK7" s="3481" t="s">
        <v>3592</v>
      </c>
      <c r="AL7" s="3481">
        <v>255300</v>
      </c>
      <c r="AM7" s="3481">
        <v>7549.54</v>
      </c>
      <c r="AN7" s="3481">
        <v>8681.9699999999993</v>
      </c>
      <c r="AO7" s="3481">
        <v>45297</v>
      </c>
      <c r="AP7" s="3481">
        <v>52092</v>
      </c>
      <c r="AQ7" s="3481" t="s">
        <v>3538</v>
      </c>
      <c r="AR7" s="3481" t="s">
        <v>3538</v>
      </c>
      <c r="AS7" s="3481">
        <v>15</v>
      </c>
      <c r="AT7" s="3481" t="s">
        <v>3547</v>
      </c>
      <c r="AU7" s="3481">
        <v>255300</v>
      </c>
      <c r="AV7" s="3481" t="s">
        <v>3557</v>
      </c>
      <c r="AW7" s="3481">
        <v>85000</v>
      </c>
      <c r="AX7" s="3481">
        <v>52092</v>
      </c>
      <c r="AY7" s="3481">
        <v>15</v>
      </c>
      <c r="AZ7" s="3481">
        <v>39703</v>
      </c>
    </row>
    <row r="8" spans="1:52" s="3485" customFormat="1">
      <c r="A8" s="3485" t="s">
        <v>3599</v>
      </c>
      <c r="B8" s="3485" t="s">
        <v>3378</v>
      </c>
      <c r="C8" s="3485" t="s">
        <v>3600</v>
      </c>
      <c r="D8" s="3485" t="s">
        <v>3529</v>
      </c>
      <c r="E8" s="3485" t="s">
        <v>3559</v>
      </c>
      <c r="F8" s="3485" t="s">
        <v>3601</v>
      </c>
      <c r="G8" s="3485" t="s">
        <v>3602</v>
      </c>
      <c r="H8" s="3485" t="s">
        <v>3533</v>
      </c>
      <c r="I8" s="3485">
        <v>31920.74</v>
      </c>
      <c r="J8" s="3485">
        <v>70864</v>
      </c>
      <c r="K8" s="3485">
        <v>2.2200000000000002</v>
      </c>
      <c r="L8" s="3485" t="s">
        <v>3534</v>
      </c>
      <c r="M8" s="3485" t="s">
        <v>3535</v>
      </c>
      <c r="N8" s="3485" t="s">
        <v>3587</v>
      </c>
      <c r="O8" s="3485" t="s">
        <v>3537</v>
      </c>
      <c r="P8" s="3485">
        <v>0.25</v>
      </c>
      <c r="Q8" s="3485">
        <v>60</v>
      </c>
      <c r="R8" s="3485" t="s">
        <v>3588</v>
      </c>
      <c r="S8" s="3485" t="s">
        <v>3588</v>
      </c>
      <c r="T8" s="3485" t="s">
        <v>3538</v>
      </c>
      <c r="U8" s="3485" t="s">
        <v>3538</v>
      </c>
      <c r="V8" s="3485">
        <v>0</v>
      </c>
      <c r="W8" s="3485">
        <v>0</v>
      </c>
      <c r="X8" s="3485">
        <v>0</v>
      </c>
      <c r="Y8" s="3485">
        <v>0</v>
      </c>
      <c r="Z8" s="3486">
        <v>44859.000497685185</v>
      </c>
      <c r="AA8" s="3486">
        <v>44879.000497685185</v>
      </c>
      <c r="AB8" s="3486">
        <v>44893.000497685185</v>
      </c>
      <c r="AC8" s="3486">
        <v>44894.000497685185</v>
      </c>
      <c r="AD8" s="3485" t="s">
        <v>3603</v>
      </c>
      <c r="AE8" s="3485" t="s">
        <v>3543</v>
      </c>
      <c r="AF8" s="3485" t="s">
        <v>3604</v>
      </c>
      <c r="AG8" s="3485" t="s">
        <v>3605</v>
      </c>
      <c r="AH8" s="3485" t="s">
        <v>3546</v>
      </c>
      <c r="AI8" s="3485">
        <v>281000</v>
      </c>
      <c r="AJ8" s="3485">
        <v>57000</v>
      </c>
      <c r="AK8" s="3485" t="s">
        <v>3592</v>
      </c>
      <c r="AL8" s="3485">
        <v>323150</v>
      </c>
      <c r="AM8" s="3485">
        <v>5868.7</v>
      </c>
      <c r="AN8" s="3485">
        <v>6749.01</v>
      </c>
      <c r="AO8" s="3485">
        <v>39653</v>
      </c>
      <c r="AP8" s="3485">
        <v>45601</v>
      </c>
      <c r="AQ8" s="3485" t="s">
        <v>3538</v>
      </c>
      <c r="AR8" s="3485" t="s">
        <v>3538</v>
      </c>
      <c r="AS8" s="3485">
        <v>15</v>
      </c>
      <c r="AT8" s="3485" t="s">
        <v>3547</v>
      </c>
      <c r="AU8" s="3485">
        <v>323150</v>
      </c>
      <c r="AV8" s="3485" t="s">
        <v>3557</v>
      </c>
      <c r="AW8" s="3485">
        <v>85000</v>
      </c>
      <c r="AX8" s="3485">
        <v>45601</v>
      </c>
      <c r="AY8" s="3485">
        <v>15</v>
      </c>
      <c r="AZ8" s="3485">
        <v>45347</v>
      </c>
    </row>
    <row r="9" spans="1:52" s="3483" customFormat="1">
      <c r="A9" s="3483" t="s">
        <v>3606</v>
      </c>
      <c r="B9" s="3483" t="s">
        <v>3378</v>
      </c>
      <c r="C9" s="3483" t="s">
        <v>3607</v>
      </c>
      <c r="D9" s="3483" t="s">
        <v>3529</v>
      </c>
      <c r="E9" s="3483" t="s">
        <v>3530</v>
      </c>
      <c r="F9" s="3483" t="s">
        <v>3551</v>
      </c>
      <c r="G9" s="3483" t="s">
        <v>3608</v>
      </c>
      <c r="H9" s="3483" t="s">
        <v>3533</v>
      </c>
      <c r="I9" s="3483">
        <v>32830.720000000001</v>
      </c>
      <c r="J9" s="3483">
        <v>90830.7</v>
      </c>
      <c r="K9" s="3483" t="s">
        <v>3609</v>
      </c>
      <c r="L9" s="3483" t="s">
        <v>3534</v>
      </c>
      <c r="M9" s="3483" t="s">
        <v>3535</v>
      </c>
      <c r="N9" s="3483" t="s">
        <v>3610</v>
      </c>
      <c r="O9" s="3483" t="s">
        <v>3537</v>
      </c>
      <c r="P9" s="3483" t="s">
        <v>3538</v>
      </c>
      <c r="Q9" s="3483">
        <v>80</v>
      </c>
      <c r="R9" s="3483" t="s">
        <v>3588</v>
      </c>
      <c r="S9" s="3483" t="s">
        <v>3541</v>
      </c>
      <c r="T9" s="3483" t="s">
        <v>3538</v>
      </c>
      <c r="U9" s="3483" t="s">
        <v>3538</v>
      </c>
      <c r="V9" s="3483" t="s">
        <v>3538</v>
      </c>
      <c r="W9" s="3483" t="s">
        <v>3538</v>
      </c>
      <c r="X9" s="3483">
        <v>0</v>
      </c>
      <c r="Y9" s="3483">
        <v>0</v>
      </c>
      <c r="Z9" s="3484">
        <v>44791.000497685185</v>
      </c>
      <c r="AA9" s="3484">
        <v>44811.000497685185</v>
      </c>
      <c r="AB9" s="3484">
        <v>44826.000497685185</v>
      </c>
      <c r="AC9" s="3484">
        <v>44827.000497685185</v>
      </c>
      <c r="AD9" s="3483" t="s">
        <v>3611</v>
      </c>
      <c r="AE9" s="3483" t="s">
        <v>3543</v>
      </c>
      <c r="AF9" s="3483" t="s">
        <v>3612</v>
      </c>
      <c r="AG9" s="3483" t="s">
        <v>3613</v>
      </c>
      <c r="AH9" s="3483" t="s">
        <v>3546</v>
      </c>
      <c r="AI9" s="3483">
        <v>317000</v>
      </c>
      <c r="AJ9" s="3483">
        <v>64000</v>
      </c>
      <c r="AK9" s="3483" t="s">
        <v>3614</v>
      </c>
      <c r="AL9" s="3483">
        <v>326600</v>
      </c>
      <c r="AM9" s="3483">
        <v>6437.06</v>
      </c>
      <c r="AN9" s="3483">
        <v>6632</v>
      </c>
      <c r="AO9" s="3483">
        <v>34900</v>
      </c>
      <c r="AP9" s="3483">
        <v>35957</v>
      </c>
      <c r="AQ9" s="3483" t="s">
        <v>3538</v>
      </c>
      <c r="AR9" s="3483" t="s">
        <v>3538</v>
      </c>
      <c r="AS9" s="3483">
        <v>3.03</v>
      </c>
      <c r="AT9" s="3483" t="s">
        <v>3570</v>
      </c>
      <c r="AU9" s="3483">
        <v>364550</v>
      </c>
      <c r="AV9" s="3483" t="s">
        <v>3548</v>
      </c>
      <c r="AW9" s="3483" t="s">
        <v>3537</v>
      </c>
      <c r="AX9" s="3483">
        <v>40135</v>
      </c>
      <c r="AY9" s="3483">
        <v>15</v>
      </c>
      <c r="AZ9" s="3483" t="s">
        <v>3538</v>
      </c>
    </row>
    <row r="10" spans="1:52">
      <c r="A10" s="3481" t="s">
        <v>3615</v>
      </c>
      <c r="B10" s="3481" t="s">
        <v>3378</v>
      </c>
      <c r="C10" s="3481" t="s">
        <v>3616</v>
      </c>
      <c r="D10" s="3481" t="s">
        <v>3529</v>
      </c>
      <c r="E10" s="3481" t="s">
        <v>3617</v>
      </c>
      <c r="F10" s="3481" t="s">
        <v>3618</v>
      </c>
      <c r="G10" s="3481" t="s">
        <v>3619</v>
      </c>
      <c r="H10" s="3481" t="s">
        <v>3573</v>
      </c>
      <c r="I10" s="3481">
        <v>46313.85</v>
      </c>
      <c r="J10" s="3481">
        <v>104753.24</v>
      </c>
      <c r="K10" s="3481" t="s">
        <v>3620</v>
      </c>
      <c r="L10" s="3481" t="s">
        <v>3534</v>
      </c>
      <c r="M10" s="3481" t="s">
        <v>3621</v>
      </c>
      <c r="N10" s="3481" t="s">
        <v>3610</v>
      </c>
      <c r="O10" s="3481" t="s">
        <v>3537</v>
      </c>
      <c r="P10" s="3481" t="s">
        <v>3538</v>
      </c>
      <c r="Q10" s="3481" t="s">
        <v>3622</v>
      </c>
      <c r="R10" s="3481" t="s">
        <v>3588</v>
      </c>
      <c r="S10" s="3481" t="s">
        <v>3623</v>
      </c>
      <c r="T10" s="3481" t="s">
        <v>3538</v>
      </c>
      <c r="U10" s="3481" t="s">
        <v>3538</v>
      </c>
      <c r="V10" s="3481" t="s">
        <v>3538</v>
      </c>
      <c r="W10" s="3481" t="s">
        <v>3538</v>
      </c>
      <c r="X10" s="3481">
        <v>0</v>
      </c>
      <c r="Y10" s="3481">
        <v>0</v>
      </c>
      <c r="Z10" s="3482">
        <v>44791.000497685185</v>
      </c>
      <c r="AA10" s="3482">
        <v>44811.000497685185</v>
      </c>
      <c r="AB10" s="3482">
        <v>44826.000497685185</v>
      </c>
      <c r="AC10" s="3482">
        <v>44827.000497685185</v>
      </c>
      <c r="AD10" s="3481" t="s">
        <v>3624</v>
      </c>
      <c r="AE10" s="3481" t="s">
        <v>3543</v>
      </c>
      <c r="AF10" s="3481" t="s">
        <v>3625</v>
      </c>
      <c r="AG10" s="3481" t="s">
        <v>3626</v>
      </c>
      <c r="AH10" s="3481" t="s">
        <v>3568</v>
      </c>
      <c r="AI10" s="3481">
        <v>485000</v>
      </c>
      <c r="AJ10" s="3481">
        <v>97000</v>
      </c>
      <c r="AK10" s="3481" t="s">
        <v>3614</v>
      </c>
      <c r="AL10" s="3481">
        <v>557750</v>
      </c>
      <c r="AM10" s="3481">
        <v>6981.35</v>
      </c>
      <c r="AN10" s="3481">
        <v>8028.56</v>
      </c>
      <c r="AO10" s="3481">
        <v>46299</v>
      </c>
      <c r="AP10" s="3481">
        <v>53244</v>
      </c>
      <c r="AQ10" s="3481" t="s">
        <v>3538</v>
      </c>
      <c r="AR10" s="3481" t="s">
        <v>3538</v>
      </c>
      <c r="AS10" s="3481">
        <v>15</v>
      </c>
      <c r="AT10" s="3481" t="s">
        <v>3627</v>
      </c>
      <c r="AU10" s="3481">
        <v>557750</v>
      </c>
      <c r="AV10" s="3481" t="s">
        <v>3557</v>
      </c>
      <c r="AW10" s="3481" t="s">
        <v>3537</v>
      </c>
      <c r="AX10" s="3481">
        <v>53244</v>
      </c>
      <c r="AY10" s="3481">
        <v>15</v>
      </c>
      <c r="AZ10" s="3481" t="s">
        <v>3538</v>
      </c>
    </row>
    <row r="11" spans="1:52">
      <c r="A11" s="3481" t="s">
        <v>3628</v>
      </c>
      <c r="B11" s="3481" t="s">
        <v>3378</v>
      </c>
      <c r="C11" s="3481" t="s">
        <v>3629</v>
      </c>
      <c r="D11" s="3481" t="s">
        <v>3529</v>
      </c>
      <c r="E11" s="3481" t="s">
        <v>3617</v>
      </c>
      <c r="F11" s="3481" t="s">
        <v>3618</v>
      </c>
      <c r="G11" s="3481" t="s">
        <v>3619</v>
      </c>
      <c r="H11" s="3481" t="s">
        <v>3533</v>
      </c>
      <c r="I11" s="3481">
        <v>47827.06</v>
      </c>
      <c r="J11" s="3481">
        <v>71740.59</v>
      </c>
      <c r="K11" s="3481">
        <v>1.5</v>
      </c>
      <c r="L11" s="3481" t="s">
        <v>3534</v>
      </c>
      <c r="M11" s="3481" t="s">
        <v>3535</v>
      </c>
      <c r="N11" s="3481" t="s">
        <v>3610</v>
      </c>
      <c r="O11" s="3481" t="s">
        <v>3537</v>
      </c>
      <c r="P11" s="3481" t="s">
        <v>3538</v>
      </c>
      <c r="Q11" s="3481" t="s">
        <v>3538</v>
      </c>
      <c r="R11" s="3481" t="s">
        <v>3588</v>
      </c>
      <c r="S11" s="3481" t="s">
        <v>3588</v>
      </c>
      <c r="T11" s="3481" t="s">
        <v>3538</v>
      </c>
      <c r="U11" s="3481" t="s">
        <v>3538</v>
      </c>
      <c r="V11" s="3481" t="s">
        <v>3538</v>
      </c>
      <c r="W11" s="3481" t="s">
        <v>3538</v>
      </c>
      <c r="X11" s="3481">
        <v>0</v>
      </c>
      <c r="Y11" s="3481">
        <v>0</v>
      </c>
      <c r="Z11" s="3482">
        <v>44791.000497685185</v>
      </c>
      <c r="AA11" s="3482">
        <v>44811.000497685185</v>
      </c>
      <c r="AB11" s="3482">
        <v>44826.000497685185</v>
      </c>
      <c r="AC11" s="3482">
        <v>44827.000497685185</v>
      </c>
      <c r="AD11" s="3481" t="s">
        <v>3630</v>
      </c>
      <c r="AE11" s="3481" t="s">
        <v>3543</v>
      </c>
      <c r="AF11" s="3481" t="s">
        <v>3625</v>
      </c>
      <c r="AG11" s="3481" t="s">
        <v>3626</v>
      </c>
      <c r="AH11" s="3481" t="s">
        <v>3568</v>
      </c>
      <c r="AI11" s="3481">
        <v>365000</v>
      </c>
      <c r="AJ11" s="3481">
        <v>73000</v>
      </c>
      <c r="AK11" s="3481" t="s">
        <v>3614</v>
      </c>
      <c r="AL11" s="3481">
        <v>419750</v>
      </c>
      <c r="AM11" s="3481">
        <v>5087.78</v>
      </c>
      <c r="AN11" s="3481">
        <v>5850.94</v>
      </c>
      <c r="AO11" s="3481">
        <v>50878</v>
      </c>
      <c r="AP11" s="3481">
        <v>58509</v>
      </c>
      <c r="AQ11" s="3481" t="s">
        <v>3538</v>
      </c>
      <c r="AR11" s="3481" t="s">
        <v>3538</v>
      </c>
      <c r="AS11" s="3481">
        <v>15</v>
      </c>
      <c r="AT11" s="3481" t="s">
        <v>3570</v>
      </c>
      <c r="AU11" s="3481">
        <v>419750</v>
      </c>
      <c r="AV11" s="3481" t="s">
        <v>3557</v>
      </c>
      <c r="AW11" s="3481" t="s">
        <v>3537</v>
      </c>
      <c r="AX11" s="3481">
        <v>58509</v>
      </c>
      <c r="AY11" s="3481">
        <v>15</v>
      </c>
      <c r="AZ11" s="3481" t="s">
        <v>3538</v>
      </c>
    </row>
    <row r="12" spans="1:52" s="3483" customFormat="1">
      <c r="A12" s="3483" t="s">
        <v>3631</v>
      </c>
      <c r="B12" s="3483" t="s">
        <v>3378</v>
      </c>
      <c r="C12" s="3483" t="s">
        <v>3632</v>
      </c>
      <c r="D12" s="3483" t="s">
        <v>3529</v>
      </c>
      <c r="E12" s="3483" t="s">
        <v>3617</v>
      </c>
      <c r="F12" s="3483" t="s">
        <v>3618</v>
      </c>
      <c r="G12" s="3483" t="s">
        <v>3619</v>
      </c>
      <c r="H12" s="3483" t="s">
        <v>3573</v>
      </c>
      <c r="I12" s="3483">
        <v>52463.4</v>
      </c>
      <c r="J12" s="3483">
        <v>123492.16</v>
      </c>
      <c r="K12" s="3483" t="s">
        <v>3633</v>
      </c>
      <c r="L12" s="3483" t="s">
        <v>3534</v>
      </c>
      <c r="M12" s="3483" t="s">
        <v>3634</v>
      </c>
      <c r="N12" s="3483" t="s">
        <v>3610</v>
      </c>
      <c r="O12" s="3483">
        <v>0.4</v>
      </c>
      <c r="P12" s="3483" t="s">
        <v>3538</v>
      </c>
      <c r="Q12" s="3483" t="s">
        <v>3635</v>
      </c>
      <c r="R12" s="3483" t="s">
        <v>3588</v>
      </c>
      <c r="S12" s="3483" t="s">
        <v>3541</v>
      </c>
      <c r="T12" s="3483" t="s">
        <v>3538</v>
      </c>
      <c r="U12" s="3483" t="s">
        <v>3538</v>
      </c>
      <c r="V12" s="3483" t="s">
        <v>3538</v>
      </c>
      <c r="W12" s="3483" t="s">
        <v>3538</v>
      </c>
      <c r="X12" s="3483">
        <v>0</v>
      </c>
      <c r="Y12" s="3483">
        <v>0</v>
      </c>
      <c r="Z12" s="3484">
        <v>44791.000497685185</v>
      </c>
      <c r="AA12" s="3484">
        <v>44811.000497685185</v>
      </c>
      <c r="AB12" s="3484">
        <v>44826.000497685185</v>
      </c>
      <c r="AC12" s="3484">
        <v>44827.000497685185</v>
      </c>
      <c r="AD12" s="3483" t="s">
        <v>3636</v>
      </c>
      <c r="AE12" s="3483" t="s">
        <v>3543</v>
      </c>
      <c r="AF12" s="3483" t="s">
        <v>3637</v>
      </c>
      <c r="AG12" s="3483" t="s">
        <v>3638</v>
      </c>
      <c r="AH12" s="3483" t="s">
        <v>3639</v>
      </c>
      <c r="AI12" s="3483">
        <v>509000</v>
      </c>
      <c r="AJ12" s="3483">
        <v>102000</v>
      </c>
      <c r="AK12" s="3483" t="s">
        <v>3614</v>
      </c>
      <c r="AL12" s="3483">
        <v>531800</v>
      </c>
      <c r="AM12" s="3483">
        <v>6468</v>
      </c>
      <c r="AN12" s="3483">
        <v>6757.73</v>
      </c>
      <c r="AO12" s="3483">
        <v>41217</v>
      </c>
      <c r="AP12" s="3483">
        <v>43063</v>
      </c>
      <c r="AQ12" s="3483" t="s">
        <v>3538</v>
      </c>
      <c r="AR12" s="3483" t="s">
        <v>3538</v>
      </c>
      <c r="AS12" s="3483">
        <v>4.4800000000000004</v>
      </c>
      <c r="AT12" s="3483" t="s">
        <v>3582</v>
      </c>
      <c r="AU12" s="3483">
        <v>585350</v>
      </c>
      <c r="AV12" s="3483" t="s">
        <v>3548</v>
      </c>
      <c r="AW12" s="3483" t="s">
        <v>3537</v>
      </c>
      <c r="AX12" s="3483">
        <v>47400</v>
      </c>
      <c r="AY12" s="3483">
        <v>15</v>
      </c>
      <c r="AZ12" s="3483" t="s">
        <v>3538</v>
      </c>
    </row>
    <row r="13" spans="1:52">
      <c r="A13" s="3481" t="s">
        <v>3640</v>
      </c>
      <c r="B13" s="3481" t="s">
        <v>3378</v>
      </c>
      <c r="C13" s="3481" t="s">
        <v>3641</v>
      </c>
      <c r="D13" s="3481" t="s">
        <v>3529</v>
      </c>
      <c r="E13" s="3481" t="s">
        <v>3530</v>
      </c>
      <c r="F13" s="3481" t="s">
        <v>3642</v>
      </c>
      <c r="G13" s="3481" t="s">
        <v>3643</v>
      </c>
      <c r="H13" s="3481" t="s">
        <v>3573</v>
      </c>
      <c r="I13" s="3481">
        <v>64820.86</v>
      </c>
      <c r="J13" s="3481">
        <v>96913.38</v>
      </c>
      <c r="K13" s="3481" t="s">
        <v>3644</v>
      </c>
      <c r="L13" s="3481" t="s">
        <v>3534</v>
      </c>
      <c r="M13" s="3481" t="s">
        <v>3621</v>
      </c>
      <c r="N13" s="3481" t="s">
        <v>3645</v>
      </c>
      <c r="O13" s="3481" t="s">
        <v>3537</v>
      </c>
      <c r="P13" s="3481" t="s">
        <v>3538</v>
      </c>
      <c r="Q13" s="3481" t="s">
        <v>3646</v>
      </c>
      <c r="R13" s="3481" t="s">
        <v>3647</v>
      </c>
      <c r="S13" s="3481" t="s">
        <v>3648</v>
      </c>
      <c r="T13" s="3481" t="s">
        <v>3538</v>
      </c>
      <c r="U13" s="3481" t="s">
        <v>3538</v>
      </c>
      <c r="V13" s="3481" t="s">
        <v>3538</v>
      </c>
      <c r="W13" s="3481" t="s">
        <v>3538</v>
      </c>
      <c r="X13" s="3481">
        <v>0</v>
      </c>
      <c r="Y13" s="3481">
        <v>0</v>
      </c>
      <c r="Z13" s="3482">
        <v>44670.000497685185</v>
      </c>
      <c r="AA13" s="3482">
        <v>44691.000497685185</v>
      </c>
      <c r="AB13" s="3482">
        <v>44712.000497685185</v>
      </c>
      <c r="AC13" s="3482">
        <v>44712.000497685185</v>
      </c>
      <c r="AD13" s="3481" t="s">
        <v>3649</v>
      </c>
      <c r="AE13" s="3481" t="s">
        <v>3543</v>
      </c>
      <c r="AF13" s="3481" t="s">
        <v>3650</v>
      </c>
      <c r="AG13" s="3481" t="s">
        <v>3651</v>
      </c>
      <c r="AH13" s="3481" t="s">
        <v>3652</v>
      </c>
      <c r="AI13" s="3481">
        <v>230000</v>
      </c>
      <c r="AJ13" s="3481">
        <v>46000</v>
      </c>
      <c r="AK13" s="3481" t="s">
        <v>3653</v>
      </c>
      <c r="AL13" s="3481">
        <v>230000</v>
      </c>
      <c r="AM13" s="3481">
        <v>2365.4899999999998</v>
      </c>
      <c r="AN13" s="3481">
        <v>2365.4899999999998</v>
      </c>
      <c r="AO13" s="3481">
        <v>23733</v>
      </c>
      <c r="AP13" s="3481">
        <v>23733</v>
      </c>
      <c r="AQ13" s="3481" t="s">
        <v>3538</v>
      </c>
      <c r="AR13" s="3481" t="s">
        <v>3538</v>
      </c>
      <c r="AS13" s="3481">
        <v>0</v>
      </c>
      <c r="AT13" s="3481" t="s">
        <v>3654</v>
      </c>
      <c r="AU13" s="3481">
        <v>264500</v>
      </c>
      <c r="AV13" s="3481" t="s">
        <v>3548</v>
      </c>
      <c r="AW13" s="3481" t="s">
        <v>3537</v>
      </c>
      <c r="AX13" s="3481">
        <v>27292</v>
      </c>
      <c r="AY13" s="3481">
        <v>15</v>
      </c>
      <c r="AZ13" s="3481" t="s">
        <v>3538</v>
      </c>
    </row>
    <row r="14" spans="1:52">
      <c r="A14" s="3481" t="s">
        <v>3655</v>
      </c>
      <c r="B14" s="3481" t="s">
        <v>3378</v>
      </c>
      <c r="C14" s="3481" t="s">
        <v>3656</v>
      </c>
      <c r="D14" s="3481" t="s">
        <v>3529</v>
      </c>
      <c r="E14" s="3481" t="s">
        <v>3530</v>
      </c>
      <c r="F14" s="3481" t="s">
        <v>3657</v>
      </c>
      <c r="G14" s="3481" t="s">
        <v>3643</v>
      </c>
      <c r="H14" s="3481" t="s">
        <v>3533</v>
      </c>
      <c r="I14" s="3481">
        <v>50073.34</v>
      </c>
      <c r="J14" s="3481">
        <v>125183.35</v>
      </c>
      <c r="K14" s="3481" t="s">
        <v>3658</v>
      </c>
      <c r="L14" s="3481" t="s">
        <v>3534</v>
      </c>
      <c r="M14" s="3481" t="s">
        <v>3535</v>
      </c>
      <c r="N14" s="3481" t="s">
        <v>3645</v>
      </c>
      <c r="O14" s="3481" t="s">
        <v>3537</v>
      </c>
      <c r="P14" s="3481" t="s">
        <v>3538</v>
      </c>
      <c r="Q14" s="3481">
        <v>60</v>
      </c>
      <c r="R14" s="3481" t="s">
        <v>3659</v>
      </c>
      <c r="S14" s="3481" t="s">
        <v>3660</v>
      </c>
      <c r="T14" s="3481" t="s">
        <v>3538</v>
      </c>
      <c r="U14" s="3481" t="s">
        <v>3538</v>
      </c>
      <c r="V14" s="3481" t="s">
        <v>3538</v>
      </c>
      <c r="W14" s="3481" t="s">
        <v>3538</v>
      </c>
      <c r="X14" s="3481">
        <v>0</v>
      </c>
      <c r="Y14" s="3481">
        <v>0</v>
      </c>
      <c r="Z14" s="3482">
        <v>44670.000497685185</v>
      </c>
      <c r="AA14" s="3482">
        <v>44691.000497685185</v>
      </c>
      <c r="AB14" s="3482">
        <v>44712.000497685185</v>
      </c>
      <c r="AC14" s="3482">
        <v>44713.000497685185</v>
      </c>
      <c r="AD14" s="3481" t="s">
        <v>3661</v>
      </c>
      <c r="AE14" s="3481" t="s">
        <v>3543</v>
      </c>
      <c r="AF14" s="3481" t="s">
        <v>3662</v>
      </c>
      <c r="AG14" s="3481" t="s">
        <v>3663</v>
      </c>
      <c r="AH14" s="3481" t="s">
        <v>3664</v>
      </c>
      <c r="AI14" s="3481">
        <v>384000</v>
      </c>
      <c r="AJ14" s="3481">
        <v>77000</v>
      </c>
      <c r="AK14" s="3481" t="s">
        <v>3653</v>
      </c>
      <c r="AL14" s="3481">
        <v>441600</v>
      </c>
      <c r="AM14" s="3481">
        <v>5112.5</v>
      </c>
      <c r="AN14" s="3481">
        <v>5879.38</v>
      </c>
      <c r="AO14" s="3481">
        <v>30675</v>
      </c>
      <c r="AP14" s="3481">
        <v>35276</v>
      </c>
      <c r="AQ14" s="3481" t="s">
        <v>3538</v>
      </c>
      <c r="AR14" s="3481" t="s">
        <v>3538</v>
      </c>
      <c r="AS14" s="3481">
        <v>15</v>
      </c>
      <c r="AT14" s="3481" t="s">
        <v>3665</v>
      </c>
      <c r="AU14" s="3481">
        <v>441600</v>
      </c>
      <c r="AV14" s="3481" t="s">
        <v>3557</v>
      </c>
      <c r="AW14" s="3481" t="s">
        <v>3537</v>
      </c>
      <c r="AX14" s="3481">
        <v>35276</v>
      </c>
      <c r="AY14" s="3481">
        <v>15</v>
      </c>
      <c r="AZ14" s="3481" t="s">
        <v>3538</v>
      </c>
    </row>
    <row r="15" spans="1:52">
      <c r="A15" s="3481" t="s">
        <v>3666</v>
      </c>
      <c r="B15" s="3481" t="s">
        <v>3378</v>
      </c>
      <c r="C15" s="3481" t="s">
        <v>3667</v>
      </c>
      <c r="D15" s="3481" t="s">
        <v>3529</v>
      </c>
      <c r="E15" s="3481" t="s">
        <v>3559</v>
      </c>
      <c r="F15" s="3481" t="s">
        <v>3601</v>
      </c>
      <c r="G15" s="3481" t="s">
        <v>3602</v>
      </c>
      <c r="H15" s="3481" t="s">
        <v>3533</v>
      </c>
      <c r="I15" s="3481">
        <v>40508.61</v>
      </c>
      <c r="J15" s="3481">
        <v>56712</v>
      </c>
      <c r="K15" s="3481" t="s">
        <v>3668</v>
      </c>
      <c r="L15" s="3481" t="s">
        <v>3534</v>
      </c>
      <c r="M15" s="3481" t="s">
        <v>3535</v>
      </c>
      <c r="N15" s="3481" t="s">
        <v>3645</v>
      </c>
      <c r="O15" s="3481" t="s">
        <v>3537</v>
      </c>
      <c r="P15" s="3481" t="s">
        <v>3538</v>
      </c>
      <c r="Q15" s="3481">
        <v>30</v>
      </c>
      <c r="R15" s="3481" t="s">
        <v>3669</v>
      </c>
      <c r="S15" s="3481" t="s">
        <v>3648</v>
      </c>
      <c r="T15" s="3481" t="s">
        <v>3538</v>
      </c>
      <c r="U15" s="3481" t="s">
        <v>3538</v>
      </c>
      <c r="V15" s="3481" t="s">
        <v>3538</v>
      </c>
      <c r="W15" s="3481" t="s">
        <v>3538</v>
      </c>
      <c r="X15" s="3481">
        <v>0</v>
      </c>
      <c r="Y15" s="3481">
        <v>0</v>
      </c>
      <c r="Z15" s="3482">
        <v>44670.000497685185</v>
      </c>
      <c r="AA15" s="3482">
        <v>44691.000497685185</v>
      </c>
      <c r="AB15" s="3482">
        <v>44712.000497685185</v>
      </c>
      <c r="AC15" s="3482">
        <v>44713.000497685185</v>
      </c>
      <c r="AD15" s="3481" t="s">
        <v>3670</v>
      </c>
      <c r="AE15" s="3481" t="s">
        <v>3543</v>
      </c>
      <c r="AF15" s="3481" t="s">
        <v>3671</v>
      </c>
      <c r="AG15" s="3481" t="s">
        <v>3672</v>
      </c>
      <c r="AH15" s="3481" t="s">
        <v>3568</v>
      </c>
      <c r="AI15" s="3481">
        <v>263000</v>
      </c>
      <c r="AJ15" s="3481">
        <v>53000</v>
      </c>
      <c r="AK15" s="3481" t="s">
        <v>3653</v>
      </c>
      <c r="AL15" s="3481">
        <v>298000</v>
      </c>
      <c r="AM15" s="3481">
        <v>4328.3</v>
      </c>
      <c r="AN15" s="3481">
        <v>4904.3100000000004</v>
      </c>
      <c r="AO15" s="3481">
        <v>46375</v>
      </c>
      <c r="AP15" s="3481">
        <v>52546</v>
      </c>
      <c r="AQ15" s="3481" t="s">
        <v>3538</v>
      </c>
      <c r="AR15" s="3481" t="s">
        <v>3538</v>
      </c>
      <c r="AS15" s="3481">
        <v>13.31</v>
      </c>
      <c r="AT15" s="3481" t="s">
        <v>3665</v>
      </c>
      <c r="AU15" s="3481">
        <v>302450</v>
      </c>
      <c r="AV15" s="3481" t="s">
        <v>3548</v>
      </c>
      <c r="AW15" s="3481" t="s">
        <v>3537</v>
      </c>
      <c r="AX15" s="3481">
        <v>53331</v>
      </c>
      <c r="AY15" s="3481">
        <v>15</v>
      </c>
      <c r="AZ15" s="3481" t="s">
        <v>3538</v>
      </c>
    </row>
    <row r="16" spans="1:52">
      <c r="A16" s="3481" t="s">
        <v>3673</v>
      </c>
      <c r="B16" s="3481" t="s">
        <v>3378</v>
      </c>
      <c r="C16" s="3481" t="s">
        <v>3674</v>
      </c>
      <c r="D16" s="3481" t="s">
        <v>3529</v>
      </c>
      <c r="E16" s="3481" t="s">
        <v>3559</v>
      </c>
      <c r="F16" s="3481" t="s">
        <v>3675</v>
      </c>
      <c r="G16" s="3481" t="s">
        <v>3676</v>
      </c>
      <c r="H16" s="3481" t="s">
        <v>3533</v>
      </c>
      <c r="I16" s="3481">
        <v>34502.36</v>
      </c>
      <c r="J16" s="3481">
        <v>86256</v>
      </c>
      <c r="K16" s="3481" t="s">
        <v>3658</v>
      </c>
      <c r="L16" s="3481" t="s">
        <v>3534</v>
      </c>
      <c r="M16" s="3481" t="s">
        <v>3535</v>
      </c>
      <c r="N16" s="3481" t="s">
        <v>3645</v>
      </c>
      <c r="O16" s="3481" t="s">
        <v>3537</v>
      </c>
      <c r="P16" s="3481" t="s">
        <v>3538</v>
      </c>
      <c r="Q16" s="3481">
        <v>60</v>
      </c>
      <c r="R16" s="3481" t="s">
        <v>3577</v>
      </c>
      <c r="S16" s="3481" t="s">
        <v>3648</v>
      </c>
      <c r="T16" s="3481" t="s">
        <v>3538</v>
      </c>
      <c r="U16" s="3481" t="s">
        <v>3538</v>
      </c>
      <c r="V16" s="3481" t="s">
        <v>3538</v>
      </c>
      <c r="W16" s="3481" t="s">
        <v>3538</v>
      </c>
      <c r="X16" s="3481">
        <v>0</v>
      </c>
      <c r="Y16" s="3481">
        <v>0</v>
      </c>
      <c r="Z16" s="3482">
        <v>44670.000497685185</v>
      </c>
      <c r="AA16" s="3482">
        <v>44691.000497685185</v>
      </c>
      <c r="AB16" s="3482">
        <v>44712.000497685185</v>
      </c>
      <c r="AC16" s="3482">
        <v>44712.000497685185</v>
      </c>
      <c r="AD16" s="3481" t="s">
        <v>3677</v>
      </c>
      <c r="AE16" s="3481" t="s">
        <v>3543</v>
      </c>
      <c r="AF16" s="3481" t="s">
        <v>3678</v>
      </c>
      <c r="AG16" s="3481" t="s">
        <v>3679</v>
      </c>
      <c r="AH16" s="3481" t="s">
        <v>3680</v>
      </c>
      <c r="AI16" s="3481">
        <v>388000</v>
      </c>
      <c r="AJ16" s="3481">
        <v>78000</v>
      </c>
      <c r="AK16" s="3481" t="s">
        <v>3653</v>
      </c>
      <c r="AL16" s="3481">
        <v>388000</v>
      </c>
      <c r="AM16" s="3481">
        <v>7497.07</v>
      </c>
      <c r="AN16" s="3481">
        <v>7497.07</v>
      </c>
      <c r="AO16" s="3481">
        <v>44982</v>
      </c>
      <c r="AP16" s="3481">
        <v>44982</v>
      </c>
      <c r="AQ16" s="3481" t="s">
        <v>3538</v>
      </c>
      <c r="AR16" s="3481" t="s">
        <v>3538</v>
      </c>
      <c r="AS16" s="3481">
        <v>0</v>
      </c>
      <c r="AT16" s="3481" t="s">
        <v>3665</v>
      </c>
      <c r="AU16" s="3481">
        <v>446200</v>
      </c>
      <c r="AV16" s="3481" t="s">
        <v>3548</v>
      </c>
      <c r="AW16" s="3481" t="s">
        <v>3537</v>
      </c>
      <c r="AX16" s="3481">
        <v>51730</v>
      </c>
      <c r="AY16" s="3481">
        <v>15</v>
      </c>
      <c r="AZ16" s="3481" t="s">
        <v>3538</v>
      </c>
    </row>
    <row r="17" spans="1:52">
      <c r="A17" s="3481" t="s">
        <v>3681</v>
      </c>
      <c r="B17" s="3481" t="s">
        <v>3378</v>
      </c>
      <c r="C17" s="3481" t="s">
        <v>3682</v>
      </c>
      <c r="D17" s="3481" t="s">
        <v>3529</v>
      </c>
      <c r="E17" s="3481" t="s">
        <v>3559</v>
      </c>
      <c r="F17" s="3481" t="s">
        <v>3683</v>
      </c>
      <c r="G17" s="3481" t="s">
        <v>3684</v>
      </c>
      <c r="H17" s="3481" t="s">
        <v>3533</v>
      </c>
      <c r="I17" s="3481">
        <v>27039.75</v>
      </c>
      <c r="J17" s="3481">
        <v>75711.3</v>
      </c>
      <c r="K17" s="3481" t="s">
        <v>3685</v>
      </c>
      <c r="L17" s="3481" t="s">
        <v>3534</v>
      </c>
      <c r="M17" s="3481" t="s">
        <v>3535</v>
      </c>
      <c r="N17" s="3481" t="s">
        <v>3645</v>
      </c>
      <c r="O17" s="3481" t="s">
        <v>3537</v>
      </c>
      <c r="P17" s="3481" t="s">
        <v>3538</v>
      </c>
      <c r="Q17" s="3481">
        <v>80</v>
      </c>
      <c r="R17" s="3481" t="s">
        <v>3686</v>
      </c>
      <c r="S17" s="3481" t="s">
        <v>3686</v>
      </c>
      <c r="T17" s="3481" t="s">
        <v>3538</v>
      </c>
      <c r="U17" s="3481" t="s">
        <v>3538</v>
      </c>
      <c r="V17" s="3481" t="s">
        <v>3538</v>
      </c>
      <c r="W17" s="3481" t="s">
        <v>3538</v>
      </c>
      <c r="X17" s="3481">
        <v>0</v>
      </c>
      <c r="Y17" s="3481">
        <v>0</v>
      </c>
      <c r="Z17" s="3482">
        <v>44670.000497685185</v>
      </c>
      <c r="AA17" s="3482">
        <v>44691.000497685185</v>
      </c>
      <c r="AB17" s="3482">
        <v>44712.000497685185</v>
      </c>
      <c r="AC17" s="3482">
        <v>44713.000497685185</v>
      </c>
      <c r="AD17" s="3481" t="s">
        <v>3687</v>
      </c>
      <c r="AE17" s="3481" t="s">
        <v>3543</v>
      </c>
      <c r="AF17" s="3481" t="s">
        <v>3688</v>
      </c>
      <c r="AG17" s="3481" t="s">
        <v>3689</v>
      </c>
      <c r="AH17" s="3481" t="s">
        <v>3538</v>
      </c>
      <c r="AI17" s="3481">
        <v>581000</v>
      </c>
      <c r="AJ17" s="3481">
        <v>116200</v>
      </c>
      <c r="AK17" s="3481" t="s">
        <v>3653</v>
      </c>
      <c r="AL17" s="3481">
        <v>668150</v>
      </c>
      <c r="AM17" s="3481">
        <v>14324.59</v>
      </c>
      <c r="AN17" s="3481">
        <v>16473.28</v>
      </c>
      <c r="AO17" s="3481">
        <v>76739</v>
      </c>
      <c r="AP17" s="3481">
        <v>88250</v>
      </c>
      <c r="AQ17" s="3481" t="s">
        <v>3538</v>
      </c>
      <c r="AR17" s="3481" t="s">
        <v>3538</v>
      </c>
      <c r="AS17" s="3481">
        <v>15</v>
      </c>
      <c r="AT17" s="3481" t="s">
        <v>3665</v>
      </c>
      <c r="AU17" s="3481">
        <v>668150</v>
      </c>
      <c r="AV17" s="3481" t="s">
        <v>3557</v>
      </c>
      <c r="AW17" s="3481" t="s">
        <v>3537</v>
      </c>
      <c r="AX17" s="3481">
        <v>88250</v>
      </c>
      <c r="AY17" s="3481">
        <v>15</v>
      </c>
      <c r="AZ17" s="3481" t="s">
        <v>3538</v>
      </c>
    </row>
    <row r="18" spans="1:52" s="3485" customFormat="1">
      <c r="A18" s="3485" t="s">
        <v>3690</v>
      </c>
      <c r="B18" s="3485" t="s">
        <v>3378</v>
      </c>
      <c r="C18" s="3485" t="s">
        <v>3691</v>
      </c>
      <c r="D18" s="3485" t="s">
        <v>3529</v>
      </c>
      <c r="E18" s="3485" t="s">
        <v>3559</v>
      </c>
      <c r="F18" s="3485" t="s">
        <v>3601</v>
      </c>
      <c r="G18" s="3485" t="s">
        <v>3602</v>
      </c>
      <c r="H18" s="3485" t="s">
        <v>3573</v>
      </c>
      <c r="I18" s="3485">
        <v>44618.19</v>
      </c>
      <c r="J18" s="3485">
        <v>93514</v>
      </c>
      <c r="K18" s="3485" t="s">
        <v>3692</v>
      </c>
      <c r="L18" s="3485" t="s">
        <v>3534</v>
      </c>
      <c r="M18" s="3485" t="s">
        <v>3693</v>
      </c>
      <c r="N18" s="3485" t="s">
        <v>3645</v>
      </c>
      <c r="O18" s="3485" t="s">
        <v>3537</v>
      </c>
      <c r="P18" s="3485" t="s">
        <v>3694</v>
      </c>
      <c r="Q18" s="3485">
        <v>80</v>
      </c>
      <c r="R18" s="3485" t="s">
        <v>3695</v>
      </c>
      <c r="S18" s="3485" t="s">
        <v>3648</v>
      </c>
      <c r="T18" s="3485" t="s">
        <v>3538</v>
      </c>
      <c r="U18" s="3485" t="s">
        <v>3538</v>
      </c>
      <c r="V18" s="3485" t="s">
        <v>3538</v>
      </c>
      <c r="W18" s="3485" t="s">
        <v>3538</v>
      </c>
      <c r="X18" s="3485">
        <v>0</v>
      </c>
      <c r="Y18" s="3485">
        <v>0</v>
      </c>
      <c r="Z18" s="3486">
        <v>44670.000497685185</v>
      </c>
      <c r="AA18" s="3486">
        <v>44691.000497685185</v>
      </c>
      <c r="AB18" s="3486">
        <v>44712.000497685185</v>
      </c>
      <c r="AC18" s="3486">
        <v>44713.000497685185</v>
      </c>
      <c r="AD18" s="3485" t="s">
        <v>3696</v>
      </c>
      <c r="AE18" s="3485" t="s">
        <v>3543</v>
      </c>
      <c r="AF18" s="3485" t="s">
        <v>3544</v>
      </c>
      <c r="AG18" s="3485" t="s">
        <v>3545</v>
      </c>
      <c r="AH18" s="3485" t="s">
        <v>3546</v>
      </c>
      <c r="AI18" s="3485">
        <v>394000</v>
      </c>
      <c r="AJ18" s="3485">
        <v>79000</v>
      </c>
      <c r="AK18" s="3485" t="s">
        <v>3653</v>
      </c>
      <c r="AL18" s="3485">
        <v>400000</v>
      </c>
      <c r="AM18" s="3485">
        <v>5886.99</v>
      </c>
      <c r="AN18" s="3485">
        <v>5976.64</v>
      </c>
      <c r="AO18" s="3485">
        <v>42133</v>
      </c>
      <c r="AP18" s="3485">
        <v>42774</v>
      </c>
      <c r="AQ18" s="3485" t="s">
        <v>3538</v>
      </c>
      <c r="AR18" s="3485" t="s">
        <v>3538</v>
      </c>
      <c r="AS18" s="3485">
        <v>1.52</v>
      </c>
      <c r="AT18" s="3485" t="s">
        <v>3654</v>
      </c>
      <c r="AU18" s="3485">
        <v>453100</v>
      </c>
      <c r="AV18" s="3485" t="s">
        <v>3548</v>
      </c>
      <c r="AW18" s="3485" t="s">
        <v>3537</v>
      </c>
      <c r="AX18" s="3485">
        <v>48453</v>
      </c>
      <c r="AY18" s="3485">
        <v>15</v>
      </c>
      <c r="AZ18" s="3485" t="s">
        <v>3538</v>
      </c>
    </row>
    <row r="19" spans="1:52">
      <c r="A19" s="3481" t="s">
        <v>3697</v>
      </c>
      <c r="B19" s="3481" t="s">
        <v>3378</v>
      </c>
      <c r="C19" s="3481" t="s">
        <v>3698</v>
      </c>
      <c r="D19" s="3481" t="s">
        <v>3529</v>
      </c>
      <c r="E19" s="3481" t="s">
        <v>3530</v>
      </c>
      <c r="F19" s="3481" t="s">
        <v>3618</v>
      </c>
      <c r="G19" s="3481" t="s">
        <v>3699</v>
      </c>
      <c r="H19" s="3481" t="s">
        <v>3533</v>
      </c>
      <c r="I19" s="3481">
        <v>96819.61</v>
      </c>
      <c r="J19" s="3481">
        <v>174275</v>
      </c>
      <c r="K19" s="3481" t="s">
        <v>3700</v>
      </c>
      <c r="L19" s="3481" t="s">
        <v>3534</v>
      </c>
      <c r="M19" s="3481" t="s">
        <v>3535</v>
      </c>
      <c r="N19" s="3481" t="s">
        <v>3645</v>
      </c>
      <c r="O19" s="3481" t="s">
        <v>3537</v>
      </c>
      <c r="P19" s="3481" t="s">
        <v>3538</v>
      </c>
      <c r="Q19" s="3481">
        <v>30</v>
      </c>
      <c r="R19" s="3481" t="s">
        <v>3701</v>
      </c>
      <c r="S19" s="3481" t="s">
        <v>3702</v>
      </c>
      <c r="T19" s="3481" t="s">
        <v>3538</v>
      </c>
      <c r="U19" s="3481" t="s">
        <v>3538</v>
      </c>
      <c r="V19" s="3481" t="s">
        <v>3538</v>
      </c>
      <c r="W19" s="3481" t="s">
        <v>3538</v>
      </c>
      <c r="X19" s="3481">
        <v>0</v>
      </c>
      <c r="Y19" s="3481">
        <v>0</v>
      </c>
      <c r="Z19" s="3482">
        <v>44670.000497685185</v>
      </c>
      <c r="AA19" s="3482">
        <v>44691.000497685185</v>
      </c>
      <c r="AB19" s="3482">
        <v>44712.000497685185</v>
      </c>
      <c r="AC19" s="3482">
        <v>44712.000497685185</v>
      </c>
      <c r="AD19" s="3481" t="s">
        <v>3703</v>
      </c>
      <c r="AE19" s="3481" t="s">
        <v>3543</v>
      </c>
      <c r="AF19" s="3481" t="s">
        <v>3704</v>
      </c>
      <c r="AG19" s="3481" t="s">
        <v>3705</v>
      </c>
      <c r="AH19" s="3481" t="s">
        <v>3546</v>
      </c>
      <c r="AI19" s="3481">
        <v>226000</v>
      </c>
      <c r="AJ19" s="3481">
        <v>46000</v>
      </c>
      <c r="AK19" s="3481" t="s">
        <v>3653</v>
      </c>
      <c r="AL19" s="3481">
        <v>226000</v>
      </c>
      <c r="AM19" s="3481">
        <v>1556.16</v>
      </c>
      <c r="AN19" s="3481">
        <v>1556.16</v>
      </c>
      <c r="AO19" s="3481">
        <v>12968</v>
      </c>
      <c r="AP19" s="3481">
        <v>12968</v>
      </c>
      <c r="AQ19" s="3481" t="s">
        <v>3538</v>
      </c>
      <c r="AR19" s="3481" t="s">
        <v>3538</v>
      </c>
      <c r="AS19" s="3481">
        <v>0</v>
      </c>
      <c r="AT19" s="3481" t="s">
        <v>3665</v>
      </c>
      <c r="AU19" s="3481">
        <v>259900</v>
      </c>
      <c r="AV19" s="3481" t="s">
        <v>3548</v>
      </c>
      <c r="AW19" s="3481" t="s">
        <v>3537</v>
      </c>
      <c r="AX19" s="3481">
        <v>14913</v>
      </c>
      <c r="AY19" s="3481">
        <v>15</v>
      </c>
      <c r="AZ19" s="3481" t="s">
        <v>3538</v>
      </c>
    </row>
    <row r="20" spans="1:52">
      <c r="A20" s="3481" t="s">
        <v>3706</v>
      </c>
      <c r="B20" s="3481" t="s">
        <v>3378</v>
      </c>
      <c r="C20" s="3481" t="s">
        <v>3707</v>
      </c>
      <c r="D20" s="3481" t="s">
        <v>3529</v>
      </c>
      <c r="E20" s="3481" t="s">
        <v>3559</v>
      </c>
      <c r="F20" s="3481" t="s">
        <v>3585</v>
      </c>
      <c r="G20" s="3481" t="s">
        <v>3602</v>
      </c>
      <c r="H20" s="3481" t="s">
        <v>3573</v>
      </c>
      <c r="I20" s="3481">
        <v>41146.67</v>
      </c>
      <c r="J20" s="3481">
        <v>92406</v>
      </c>
      <c r="K20" s="3481" t="s">
        <v>3708</v>
      </c>
      <c r="L20" s="3481" t="s">
        <v>3534</v>
      </c>
      <c r="M20" s="3481" t="s">
        <v>3709</v>
      </c>
      <c r="N20" s="3481" t="s">
        <v>3710</v>
      </c>
      <c r="O20" s="3481">
        <v>0</v>
      </c>
      <c r="P20" s="3481" t="s">
        <v>3711</v>
      </c>
      <c r="Q20" s="3481" t="s">
        <v>3712</v>
      </c>
      <c r="R20" s="3481" t="s">
        <v>3713</v>
      </c>
      <c r="S20" s="3481" t="s">
        <v>3660</v>
      </c>
      <c r="T20" s="3481" t="s">
        <v>3714</v>
      </c>
      <c r="U20" s="3481" t="s">
        <v>3715</v>
      </c>
      <c r="V20" s="3481" t="s">
        <v>3538</v>
      </c>
      <c r="W20" s="3481">
        <v>0</v>
      </c>
      <c r="X20" s="3481">
        <v>0</v>
      </c>
      <c r="Y20" s="3481">
        <v>0</v>
      </c>
      <c r="Z20" s="3482">
        <v>44568.000497685185</v>
      </c>
      <c r="AA20" s="3482">
        <v>44589.000497685185</v>
      </c>
      <c r="AB20" s="3482">
        <v>44608.000497685185</v>
      </c>
      <c r="AC20" s="3482">
        <v>44609.000497685185</v>
      </c>
      <c r="AD20" s="3481" t="s">
        <v>3716</v>
      </c>
      <c r="AE20" s="3481" t="s">
        <v>3543</v>
      </c>
      <c r="AF20" s="3481" t="s">
        <v>3717</v>
      </c>
      <c r="AG20" s="3481" t="s">
        <v>3718</v>
      </c>
      <c r="AH20" s="3481" t="s">
        <v>3719</v>
      </c>
      <c r="AI20" s="3481">
        <v>378000</v>
      </c>
      <c r="AJ20" s="3481">
        <v>76000</v>
      </c>
      <c r="AK20" s="3481" t="s">
        <v>3720</v>
      </c>
      <c r="AL20" s="3481">
        <v>434700</v>
      </c>
      <c r="AM20" s="3481">
        <v>6124.43</v>
      </c>
      <c r="AN20" s="3481">
        <v>7043.1</v>
      </c>
      <c r="AO20" s="3481">
        <v>40906</v>
      </c>
      <c r="AP20" s="3481">
        <v>47042</v>
      </c>
      <c r="AQ20" s="3481" t="s">
        <v>3538</v>
      </c>
      <c r="AR20" s="3481" t="s">
        <v>3538</v>
      </c>
      <c r="AS20" s="3481">
        <v>15</v>
      </c>
      <c r="AT20" s="3481" t="s">
        <v>3721</v>
      </c>
      <c r="AU20" s="3481">
        <v>434700</v>
      </c>
      <c r="AV20" s="3481" t="s">
        <v>3557</v>
      </c>
      <c r="AW20" s="3481">
        <v>88000</v>
      </c>
      <c r="AX20" s="3481">
        <v>47042</v>
      </c>
      <c r="AY20" s="3481">
        <v>15</v>
      </c>
      <c r="AZ20" s="3481">
        <v>47094</v>
      </c>
    </row>
    <row r="21" spans="1:52">
      <c r="A21" s="3481" t="s">
        <v>3722</v>
      </c>
      <c r="B21" s="3481" t="s">
        <v>3378</v>
      </c>
      <c r="C21" s="3481" t="s">
        <v>3723</v>
      </c>
      <c r="D21" s="3481" t="s">
        <v>3529</v>
      </c>
      <c r="E21" s="3481" t="s">
        <v>3530</v>
      </c>
      <c r="F21" s="3481" t="s">
        <v>3551</v>
      </c>
      <c r="G21" s="3481" t="s">
        <v>3724</v>
      </c>
      <c r="H21" s="3481" t="s">
        <v>3533</v>
      </c>
      <c r="I21" s="3481">
        <v>59603.839999999997</v>
      </c>
      <c r="J21" s="3481">
        <v>131128.44</v>
      </c>
      <c r="K21" s="3481">
        <v>2.2000000000000002</v>
      </c>
      <c r="L21" s="3481" t="s">
        <v>3534</v>
      </c>
      <c r="M21" s="3481" t="s">
        <v>3535</v>
      </c>
      <c r="N21" s="3481" t="s">
        <v>3710</v>
      </c>
      <c r="O21" s="3481" t="s">
        <v>3537</v>
      </c>
      <c r="P21" s="3481" t="s">
        <v>3538</v>
      </c>
      <c r="Q21" s="3481">
        <v>45</v>
      </c>
      <c r="R21" s="3481" t="s">
        <v>3725</v>
      </c>
      <c r="S21" s="3481" t="s">
        <v>3648</v>
      </c>
      <c r="T21" s="3481" t="s">
        <v>3538</v>
      </c>
      <c r="U21" s="3481" t="s">
        <v>3538</v>
      </c>
      <c r="V21" s="3481">
        <v>0</v>
      </c>
      <c r="W21" s="3481">
        <v>0</v>
      </c>
      <c r="X21" s="3481">
        <v>0</v>
      </c>
      <c r="Y21" s="3481">
        <v>0</v>
      </c>
      <c r="Z21" s="3482">
        <v>44568.000497685185</v>
      </c>
      <c r="AA21" s="3482">
        <v>44589.000497685185</v>
      </c>
      <c r="AB21" s="3482">
        <v>44608.000497685185</v>
      </c>
      <c r="AC21" s="3482">
        <v>44608.000497685185</v>
      </c>
      <c r="AD21" s="3481" t="s">
        <v>3726</v>
      </c>
      <c r="AE21" s="3481" t="s">
        <v>3543</v>
      </c>
      <c r="AF21" s="3481" t="s">
        <v>3727</v>
      </c>
      <c r="AG21" s="3481" t="s">
        <v>3626</v>
      </c>
      <c r="AH21" s="3481" t="s">
        <v>3568</v>
      </c>
      <c r="AI21" s="3481">
        <v>326000</v>
      </c>
      <c r="AJ21" s="3481">
        <v>66000</v>
      </c>
      <c r="AK21" s="3481" t="s">
        <v>3720</v>
      </c>
      <c r="AL21" s="3481">
        <v>326000</v>
      </c>
      <c r="AM21" s="3481">
        <v>3646.3</v>
      </c>
      <c r="AN21" s="3481">
        <v>3646.3</v>
      </c>
      <c r="AO21" s="3481">
        <v>24861</v>
      </c>
      <c r="AP21" s="3481">
        <v>24861</v>
      </c>
      <c r="AQ21" s="3481" t="s">
        <v>3538</v>
      </c>
      <c r="AR21" s="3481" t="s">
        <v>3538</v>
      </c>
      <c r="AS21" s="3481">
        <v>0</v>
      </c>
      <c r="AT21" s="3481" t="s">
        <v>3728</v>
      </c>
      <c r="AU21" s="3481">
        <v>374900</v>
      </c>
      <c r="AV21" s="3481" t="s">
        <v>3548</v>
      </c>
      <c r="AW21" s="3481">
        <v>50000</v>
      </c>
      <c r="AX21" s="3481">
        <v>28590</v>
      </c>
      <c r="AY21" s="3481">
        <v>15</v>
      </c>
      <c r="AZ21" s="3481">
        <v>25139</v>
      </c>
    </row>
    <row r="22" spans="1:52">
      <c r="A22" s="3481" t="s">
        <v>3729</v>
      </c>
      <c r="B22" s="3481" t="s">
        <v>3378</v>
      </c>
      <c r="C22" s="3481" t="s">
        <v>3730</v>
      </c>
      <c r="D22" s="3481" t="s">
        <v>3529</v>
      </c>
      <c r="E22" s="3481" t="s">
        <v>3530</v>
      </c>
      <c r="F22" s="3481" t="s">
        <v>3551</v>
      </c>
      <c r="G22" s="3481" t="s">
        <v>3608</v>
      </c>
      <c r="H22" s="3481" t="s">
        <v>3533</v>
      </c>
      <c r="I22" s="3481">
        <v>25642.1</v>
      </c>
      <c r="J22" s="3481">
        <v>71797.87</v>
      </c>
      <c r="K22" s="3481">
        <v>2.8</v>
      </c>
      <c r="L22" s="3481" t="s">
        <v>3534</v>
      </c>
      <c r="M22" s="3481" t="s">
        <v>3535</v>
      </c>
      <c r="N22" s="3481" t="s">
        <v>3710</v>
      </c>
      <c r="O22" s="3481">
        <v>0</v>
      </c>
      <c r="P22" s="3481" t="s">
        <v>3538</v>
      </c>
      <c r="Q22" s="3481">
        <v>80</v>
      </c>
      <c r="R22" s="3481" t="s">
        <v>3731</v>
      </c>
      <c r="S22" s="3481" t="s">
        <v>3702</v>
      </c>
      <c r="T22" s="3481" t="s">
        <v>3714</v>
      </c>
      <c r="U22" s="3481" t="s">
        <v>3715</v>
      </c>
      <c r="V22" s="3481" t="s">
        <v>3538</v>
      </c>
      <c r="W22" s="3481">
        <v>0</v>
      </c>
      <c r="X22" s="3481">
        <v>0</v>
      </c>
      <c r="Y22" s="3481">
        <v>0</v>
      </c>
      <c r="Z22" s="3482">
        <v>44568.000497685185</v>
      </c>
      <c r="AA22" s="3482">
        <v>44589.000497685185</v>
      </c>
      <c r="AB22" s="3482">
        <v>44608.000497685185</v>
      </c>
      <c r="AC22" s="3482">
        <v>44609.000497685185</v>
      </c>
      <c r="AD22" s="3481" t="s">
        <v>3732</v>
      </c>
      <c r="AE22" s="3481" t="s">
        <v>3543</v>
      </c>
      <c r="AF22" s="3481" t="s">
        <v>3733</v>
      </c>
      <c r="AG22" s="3481" t="s">
        <v>3613</v>
      </c>
      <c r="AH22" s="3481" t="s">
        <v>3546</v>
      </c>
      <c r="AI22" s="3481">
        <v>241000</v>
      </c>
      <c r="AJ22" s="3481">
        <v>49000</v>
      </c>
      <c r="AK22" s="3481" t="s">
        <v>3720</v>
      </c>
      <c r="AL22" s="3481">
        <v>277150</v>
      </c>
      <c r="AM22" s="3481">
        <v>6265.74</v>
      </c>
      <c r="AN22" s="3481">
        <v>7205.6</v>
      </c>
      <c r="AO22" s="3481">
        <v>33566</v>
      </c>
      <c r="AP22" s="3481">
        <v>38601</v>
      </c>
      <c r="AQ22" s="3481" t="s">
        <v>3538</v>
      </c>
      <c r="AR22" s="3481" t="s">
        <v>3538</v>
      </c>
      <c r="AS22" s="3481">
        <v>15</v>
      </c>
      <c r="AT22" s="3481" t="s">
        <v>3728</v>
      </c>
      <c r="AU22" s="3481">
        <v>277150</v>
      </c>
      <c r="AV22" s="3481" t="s">
        <v>3557</v>
      </c>
      <c r="AW22" s="3481">
        <v>62000</v>
      </c>
      <c r="AX22" s="3481">
        <v>38601</v>
      </c>
      <c r="AY22" s="3481">
        <v>15</v>
      </c>
      <c r="AZ22" s="3481">
        <v>28434</v>
      </c>
    </row>
    <row r="23" spans="1:52">
      <c r="A23" s="3481" t="s">
        <v>3734</v>
      </c>
      <c r="B23" s="3481" t="s">
        <v>3378</v>
      </c>
      <c r="C23" s="3481" t="s">
        <v>3735</v>
      </c>
      <c r="D23" s="3481" t="s">
        <v>3529</v>
      </c>
      <c r="E23" s="3481" t="s">
        <v>3559</v>
      </c>
      <c r="F23" s="3481" t="s">
        <v>3675</v>
      </c>
      <c r="G23" s="3481" t="s">
        <v>3736</v>
      </c>
      <c r="H23" s="3481" t="s">
        <v>3533</v>
      </c>
      <c r="I23" s="3481">
        <v>36848.99</v>
      </c>
      <c r="J23" s="3481">
        <v>92122</v>
      </c>
      <c r="K23" s="3481">
        <v>2.5</v>
      </c>
      <c r="L23" s="3481" t="s">
        <v>3534</v>
      </c>
      <c r="M23" s="3481" t="s">
        <v>3535</v>
      </c>
      <c r="N23" s="3481" t="s">
        <v>3710</v>
      </c>
      <c r="O23" s="3481" t="s">
        <v>3537</v>
      </c>
      <c r="P23" s="3481" t="s">
        <v>3538</v>
      </c>
      <c r="Q23" s="3481">
        <v>45</v>
      </c>
      <c r="R23" s="3481" t="s">
        <v>3647</v>
      </c>
      <c r="S23" s="3481" t="s">
        <v>3648</v>
      </c>
      <c r="T23" s="3481" t="s">
        <v>3538</v>
      </c>
      <c r="U23" s="3481" t="s">
        <v>3538</v>
      </c>
      <c r="V23" s="3481">
        <v>0</v>
      </c>
      <c r="W23" s="3481">
        <v>0</v>
      </c>
      <c r="X23" s="3481">
        <v>0</v>
      </c>
      <c r="Y23" s="3481">
        <v>0</v>
      </c>
      <c r="Z23" s="3482">
        <v>44568.000497685185</v>
      </c>
      <c r="AA23" s="3482">
        <v>44589.000497685185</v>
      </c>
      <c r="AB23" s="3482">
        <v>44608.000497685185</v>
      </c>
      <c r="AC23" s="3482">
        <v>44609.000497685185</v>
      </c>
      <c r="AD23" s="3481" t="s">
        <v>3737</v>
      </c>
      <c r="AE23" s="3481" t="s">
        <v>3543</v>
      </c>
      <c r="AF23" s="3481" t="s">
        <v>3738</v>
      </c>
      <c r="AG23" s="3481" t="s">
        <v>3739</v>
      </c>
      <c r="AH23" s="3481" t="s">
        <v>3740</v>
      </c>
      <c r="AI23" s="3481">
        <v>392000</v>
      </c>
      <c r="AJ23" s="3481">
        <v>78500</v>
      </c>
      <c r="AK23" s="3481" t="s">
        <v>3720</v>
      </c>
      <c r="AL23" s="3481">
        <v>424000</v>
      </c>
      <c r="AM23" s="3481">
        <v>7092.01</v>
      </c>
      <c r="AN23" s="3481">
        <v>7670.95</v>
      </c>
      <c r="AO23" s="3481">
        <v>42552</v>
      </c>
      <c r="AP23" s="3481">
        <v>46026</v>
      </c>
      <c r="AQ23" s="3481" t="s">
        <v>3538</v>
      </c>
      <c r="AR23" s="3481" t="s">
        <v>3538</v>
      </c>
      <c r="AS23" s="3481">
        <v>8.16</v>
      </c>
      <c r="AT23" s="3481" t="s">
        <v>3728</v>
      </c>
      <c r="AU23" s="3481">
        <v>431200</v>
      </c>
      <c r="AV23" s="3481" t="s">
        <v>3548</v>
      </c>
      <c r="AW23" s="3481">
        <v>71000</v>
      </c>
      <c r="AX23" s="3481">
        <v>46807</v>
      </c>
      <c r="AY23" s="3481">
        <v>10</v>
      </c>
      <c r="AZ23" s="3481">
        <v>28448</v>
      </c>
    </row>
    <row r="24" spans="1:52">
      <c r="A24" s="3481" t="s">
        <v>3741</v>
      </c>
      <c r="B24" s="3481" t="s">
        <v>3378</v>
      </c>
      <c r="C24" s="3481" t="s">
        <v>3742</v>
      </c>
      <c r="D24" s="3481" t="s">
        <v>3529</v>
      </c>
      <c r="E24" s="3481" t="s">
        <v>3559</v>
      </c>
      <c r="F24" s="3481" t="s">
        <v>3743</v>
      </c>
      <c r="G24" s="3481" t="s">
        <v>3744</v>
      </c>
      <c r="H24" s="3481" t="s">
        <v>3573</v>
      </c>
      <c r="I24" s="3481">
        <v>12533.84</v>
      </c>
      <c r="J24" s="3481">
        <v>40108</v>
      </c>
      <c r="K24" s="3481">
        <v>3.2</v>
      </c>
      <c r="L24" s="3481" t="s">
        <v>3534</v>
      </c>
      <c r="M24" s="3481" t="s">
        <v>3745</v>
      </c>
      <c r="N24" s="3481" t="s">
        <v>3746</v>
      </c>
      <c r="O24" s="3481">
        <v>22.44</v>
      </c>
      <c r="P24" s="3481" t="s">
        <v>3538</v>
      </c>
      <c r="Q24" s="3481">
        <v>80</v>
      </c>
      <c r="R24" s="3481" t="s">
        <v>3725</v>
      </c>
      <c r="S24" s="3481" t="s">
        <v>3648</v>
      </c>
      <c r="T24" s="3481" t="s">
        <v>3538</v>
      </c>
      <c r="U24" s="3481" t="s">
        <v>3538</v>
      </c>
      <c r="V24" s="3481" t="s">
        <v>3538</v>
      </c>
      <c r="W24" s="3481" t="s">
        <v>3538</v>
      </c>
      <c r="X24" s="3481">
        <v>0</v>
      </c>
      <c r="Y24" s="3481">
        <v>0</v>
      </c>
      <c r="Z24" s="3482">
        <v>44519.000497685185</v>
      </c>
      <c r="AA24" s="3482">
        <v>44540.000497685185</v>
      </c>
      <c r="AB24" s="3482">
        <v>44554.000497685185</v>
      </c>
      <c r="AC24" s="3482">
        <v>44554.000497685185</v>
      </c>
      <c r="AD24" s="3481" t="s">
        <v>3747</v>
      </c>
      <c r="AE24" s="3481" t="s">
        <v>3543</v>
      </c>
      <c r="AF24" s="3481" t="s">
        <v>3748</v>
      </c>
      <c r="AG24" s="3481" t="s">
        <v>3749</v>
      </c>
      <c r="AH24" s="3481" t="s">
        <v>3568</v>
      </c>
      <c r="AI24" s="3481">
        <v>114000</v>
      </c>
      <c r="AJ24" s="3481">
        <v>23000</v>
      </c>
      <c r="AK24" s="3481" t="s">
        <v>3750</v>
      </c>
      <c r="AL24" s="3481">
        <v>114000</v>
      </c>
      <c r="AM24" s="3481">
        <v>6063.58</v>
      </c>
      <c r="AN24" s="3481">
        <v>6063.58</v>
      </c>
      <c r="AO24" s="3481">
        <v>28423</v>
      </c>
      <c r="AP24" s="3481">
        <v>28423</v>
      </c>
      <c r="AQ24" s="3481" t="s">
        <v>3538</v>
      </c>
      <c r="AR24" s="3481" t="s">
        <v>3538</v>
      </c>
      <c r="AS24" s="3481">
        <v>0</v>
      </c>
      <c r="AT24" s="3481" t="s">
        <v>3751</v>
      </c>
      <c r="AU24" s="3481">
        <v>131100</v>
      </c>
      <c r="AV24" s="3481" t="s">
        <v>3548</v>
      </c>
      <c r="AW24" s="3481">
        <v>106600</v>
      </c>
      <c r="AX24" s="3481">
        <v>32687</v>
      </c>
      <c r="AY24" s="3481">
        <v>15</v>
      </c>
      <c r="AZ24" s="3481">
        <v>78177</v>
      </c>
    </row>
    <row r="25" spans="1:52">
      <c r="A25" s="3481" t="s">
        <v>3752</v>
      </c>
      <c r="B25" s="3481" t="s">
        <v>3378</v>
      </c>
      <c r="C25" s="3481" t="s">
        <v>3753</v>
      </c>
      <c r="D25" s="3481" t="s">
        <v>3529</v>
      </c>
      <c r="E25" s="3481" t="s">
        <v>3559</v>
      </c>
      <c r="F25" s="3481" t="s">
        <v>3585</v>
      </c>
      <c r="G25" s="3481" t="s">
        <v>3754</v>
      </c>
      <c r="H25" s="3481" t="s">
        <v>3533</v>
      </c>
      <c r="I25" s="3481">
        <v>57220.14</v>
      </c>
      <c r="J25" s="3481">
        <v>132000</v>
      </c>
      <c r="K25" s="3481">
        <v>2.2999999999999998</v>
      </c>
      <c r="L25" s="3481" t="s">
        <v>3534</v>
      </c>
      <c r="M25" s="3481" t="s">
        <v>3535</v>
      </c>
      <c r="N25" s="3481" t="s">
        <v>3746</v>
      </c>
      <c r="O25" s="3481" t="s">
        <v>3537</v>
      </c>
      <c r="P25" s="3481" t="s">
        <v>3538</v>
      </c>
      <c r="Q25" s="3481">
        <v>80</v>
      </c>
      <c r="R25" s="3481" t="s">
        <v>3755</v>
      </c>
      <c r="S25" s="3481" t="s">
        <v>3648</v>
      </c>
      <c r="T25" s="3481" t="s">
        <v>3714</v>
      </c>
      <c r="U25" s="3481" t="s">
        <v>3715</v>
      </c>
      <c r="V25" s="3481" t="s">
        <v>3538</v>
      </c>
      <c r="W25" s="3481" t="s">
        <v>3538</v>
      </c>
      <c r="X25" s="3481">
        <v>0</v>
      </c>
      <c r="Y25" s="3481">
        <v>0</v>
      </c>
      <c r="Z25" s="3482">
        <v>44519.000497685185</v>
      </c>
      <c r="AA25" s="3482">
        <v>44540.000497685185</v>
      </c>
      <c r="AB25" s="3482">
        <v>44554.000497685185</v>
      </c>
      <c r="AC25" s="3482">
        <v>44554.000497685185</v>
      </c>
      <c r="AD25" s="3481" t="s">
        <v>3756</v>
      </c>
      <c r="AE25" s="3481" t="s">
        <v>3543</v>
      </c>
      <c r="AF25" s="3481" t="s">
        <v>3757</v>
      </c>
      <c r="AG25" s="3481" t="s">
        <v>3758</v>
      </c>
      <c r="AH25" s="3481" t="s">
        <v>3546</v>
      </c>
      <c r="AI25" s="3481">
        <v>561000</v>
      </c>
      <c r="AJ25" s="3481">
        <v>112200</v>
      </c>
      <c r="AK25" s="3481" t="s">
        <v>3750</v>
      </c>
      <c r="AL25" s="3481">
        <v>561000</v>
      </c>
      <c r="AM25" s="3481">
        <v>6536.16</v>
      </c>
      <c r="AN25" s="3481">
        <v>6536.16</v>
      </c>
      <c r="AO25" s="3481">
        <v>42500</v>
      </c>
      <c r="AP25" s="3481">
        <v>42500</v>
      </c>
      <c r="AQ25" s="3481" t="s">
        <v>3538</v>
      </c>
      <c r="AR25" s="3481" t="s">
        <v>3538</v>
      </c>
      <c r="AS25" s="3481">
        <v>0</v>
      </c>
      <c r="AT25" s="3481" t="s">
        <v>3759</v>
      </c>
      <c r="AU25" s="3481">
        <v>589050</v>
      </c>
      <c r="AV25" s="3481" t="s">
        <v>3548</v>
      </c>
      <c r="AW25" s="3481">
        <v>81000</v>
      </c>
      <c r="AX25" s="3481">
        <v>44625</v>
      </c>
      <c r="AY25" s="3481">
        <v>5</v>
      </c>
      <c r="AZ25" s="3481">
        <v>38500</v>
      </c>
    </row>
    <row r="26" spans="1:52">
      <c r="A26" s="3481" t="s">
        <v>3760</v>
      </c>
      <c r="B26" s="3481" t="s">
        <v>3378</v>
      </c>
      <c r="C26" s="3481" t="s">
        <v>3761</v>
      </c>
      <c r="D26" s="3481" t="s">
        <v>3529</v>
      </c>
      <c r="E26" s="3481" t="s">
        <v>3559</v>
      </c>
      <c r="F26" s="3481" t="s">
        <v>3585</v>
      </c>
      <c r="G26" s="3481" t="s">
        <v>3754</v>
      </c>
      <c r="H26" s="3481" t="s">
        <v>3533</v>
      </c>
      <c r="I26" s="3481">
        <v>76681.88</v>
      </c>
      <c r="J26" s="3481">
        <v>137000</v>
      </c>
      <c r="K26" s="3481">
        <v>1.8</v>
      </c>
      <c r="L26" s="3481" t="s">
        <v>3534</v>
      </c>
      <c r="M26" s="3481" t="s">
        <v>3535</v>
      </c>
      <c r="N26" s="3481" t="s">
        <v>3746</v>
      </c>
      <c r="O26" s="3481" t="s">
        <v>3537</v>
      </c>
      <c r="P26" s="3481" t="s">
        <v>3538</v>
      </c>
      <c r="Q26" s="3481">
        <v>80</v>
      </c>
      <c r="R26" s="3481" t="s">
        <v>3755</v>
      </c>
      <c r="S26" s="3481" t="s">
        <v>3648</v>
      </c>
      <c r="T26" s="3481" t="s">
        <v>3538</v>
      </c>
      <c r="U26" s="3481" t="s">
        <v>3538</v>
      </c>
      <c r="V26" s="3481" t="s">
        <v>3538</v>
      </c>
      <c r="W26" s="3481" t="s">
        <v>3538</v>
      </c>
      <c r="X26" s="3481">
        <v>0</v>
      </c>
      <c r="Y26" s="3481">
        <v>0</v>
      </c>
      <c r="Z26" s="3482">
        <v>44519.000497685185</v>
      </c>
      <c r="AA26" s="3482">
        <v>44540.000497685185</v>
      </c>
      <c r="AB26" s="3482">
        <v>44554.000497685185</v>
      </c>
      <c r="AC26" s="3482">
        <v>44554.000497685185</v>
      </c>
      <c r="AD26" s="3481" t="s">
        <v>3762</v>
      </c>
      <c r="AE26" s="3481" t="s">
        <v>3543</v>
      </c>
      <c r="AF26" s="3481" t="s">
        <v>3757</v>
      </c>
      <c r="AG26" s="3481" t="s">
        <v>3758</v>
      </c>
      <c r="AH26" s="3481" t="s">
        <v>3546</v>
      </c>
      <c r="AI26" s="3481">
        <v>707000</v>
      </c>
      <c r="AJ26" s="3481">
        <v>142000</v>
      </c>
      <c r="AK26" s="3481" t="s">
        <v>3750</v>
      </c>
      <c r="AL26" s="3481">
        <v>707000</v>
      </c>
      <c r="AM26" s="3481">
        <v>6146.61</v>
      </c>
      <c r="AN26" s="3481">
        <v>6146.61</v>
      </c>
      <c r="AO26" s="3481">
        <v>51606</v>
      </c>
      <c r="AP26" s="3481">
        <v>51606</v>
      </c>
      <c r="AQ26" s="3481" t="s">
        <v>3538</v>
      </c>
      <c r="AR26" s="3481" t="s">
        <v>3538</v>
      </c>
      <c r="AS26" s="3481">
        <v>0</v>
      </c>
      <c r="AT26" s="3481" t="s">
        <v>3763</v>
      </c>
      <c r="AU26" s="3481">
        <v>742350</v>
      </c>
      <c r="AV26" s="3481" t="s">
        <v>3548</v>
      </c>
      <c r="AW26" s="3481">
        <v>86000</v>
      </c>
      <c r="AX26" s="3481">
        <v>54186</v>
      </c>
      <c r="AY26" s="3481">
        <v>5</v>
      </c>
      <c r="AZ26" s="3481">
        <v>34394</v>
      </c>
    </row>
    <row r="27" spans="1:52">
      <c r="A27" s="3481" t="s">
        <v>3764</v>
      </c>
      <c r="B27" s="3481" t="s">
        <v>3378</v>
      </c>
      <c r="C27" s="3481" t="s">
        <v>3765</v>
      </c>
      <c r="D27" s="3481" t="s">
        <v>3529</v>
      </c>
      <c r="E27" s="3481" t="s">
        <v>3559</v>
      </c>
      <c r="F27" s="3481" t="s">
        <v>3766</v>
      </c>
      <c r="G27" s="3481" t="s">
        <v>3767</v>
      </c>
      <c r="H27" s="3481" t="s">
        <v>3533</v>
      </c>
      <c r="I27" s="3481">
        <v>21711.13</v>
      </c>
      <c r="J27" s="3481">
        <v>47764</v>
      </c>
      <c r="K27" s="3481">
        <v>2.2000000000000002</v>
      </c>
      <c r="L27" s="3481" t="s">
        <v>3534</v>
      </c>
      <c r="M27" s="3481" t="s">
        <v>3535</v>
      </c>
      <c r="N27" s="3481" t="s">
        <v>3746</v>
      </c>
      <c r="O27" s="3481" t="s">
        <v>3537</v>
      </c>
      <c r="P27" s="3481" t="s">
        <v>3538</v>
      </c>
      <c r="Q27" s="3481">
        <v>45</v>
      </c>
      <c r="R27" s="3481" t="s">
        <v>3755</v>
      </c>
      <c r="S27" s="3481" t="s">
        <v>3648</v>
      </c>
      <c r="T27" s="3481" t="s">
        <v>3538</v>
      </c>
      <c r="U27" s="3481" t="s">
        <v>3538</v>
      </c>
      <c r="V27" s="3481" t="s">
        <v>3538</v>
      </c>
      <c r="W27" s="3481" t="s">
        <v>3538</v>
      </c>
      <c r="X27" s="3481">
        <v>0</v>
      </c>
      <c r="Y27" s="3481">
        <v>0</v>
      </c>
      <c r="Z27" s="3482">
        <v>44519.000497685185</v>
      </c>
      <c r="AA27" s="3482">
        <v>44540.000497685185</v>
      </c>
      <c r="AB27" s="3482">
        <v>44554.000497685185</v>
      </c>
      <c r="AC27" s="3482">
        <v>44554.000497685185</v>
      </c>
      <c r="AD27" s="3481" t="s">
        <v>3768</v>
      </c>
      <c r="AE27" s="3481" t="s">
        <v>3543</v>
      </c>
      <c r="AF27" s="3481" t="s">
        <v>3769</v>
      </c>
      <c r="AG27" s="3481" t="s">
        <v>3770</v>
      </c>
      <c r="AH27" s="3481" t="s">
        <v>3771</v>
      </c>
      <c r="AI27" s="3481">
        <v>208000</v>
      </c>
      <c r="AJ27" s="3481">
        <v>42000</v>
      </c>
      <c r="AK27" s="3481" t="s">
        <v>3750</v>
      </c>
      <c r="AL27" s="3481">
        <v>208000</v>
      </c>
      <c r="AM27" s="3481">
        <v>6386.89</v>
      </c>
      <c r="AN27" s="3481">
        <v>6386.89</v>
      </c>
      <c r="AO27" s="3481">
        <v>43547</v>
      </c>
      <c r="AP27" s="3481">
        <v>43547</v>
      </c>
      <c r="AQ27" s="3481" t="s">
        <v>3538</v>
      </c>
      <c r="AR27" s="3481" t="s">
        <v>3538</v>
      </c>
      <c r="AS27" s="3481">
        <v>0</v>
      </c>
      <c r="AT27" s="3481" t="s">
        <v>3772</v>
      </c>
      <c r="AU27" s="3481">
        <v>218400</v>
      </c>
      <c r="AV27" s="3481" t="s">
        <v>3548</v>
      </c>
      <c r="AW27" s="3481">
        <v>69800</v>
      </c>
      <c r="AX27" s="3481">
        <v>45725</v>
      </c>
      <c r="AY27" s="3481">
        <v>5</v>
      </c>
      <c r="AZ27" s="3481">
        <v>26253</v>
      </c>
    </row>
    <row r="28" spans="1:52">
      <c r="A28" s="3481" t="s">
        <v>3773</v>
      </c>
      <c r="B28" s="3481" t="s">
        <v>3378</v>
      </c>
      <c r="C28" s="3481" t="s">
        <v>3774</v>
      </c>
      <c r="D28" s="3481" t="s">
        <v>3529</v>
      </c>
      <c r="E28" s="3481" t="s">
        <v>3559</v>
      </c>
      <c r="F28" s="3481" t="s">
        <v>3585</v>
      </c>
      <c r="G28" s="3481" t="s">
        <v>3754</v>
      </c>
      <c r="H28" s="3481" t="s">
        <v>3533</v>
      </c>
      <c r="I28" s="3481">
        <v>63959.72</v>
      </c>
      <c r="J28" s="3481">
        <v>94000</v>
      </c>
      <c r="K28" s="3481">
        <v>1.47</v>
      </c>
      <c r="L28" s="3481" t="s">
        <v>3534</v>
      </c>
      <c r="M28" s="3481" t="s">
        <v>3535</v>
      </c>
      <c r="N28" s="3481" t="s">
        <v>3746</v>
      </c>
      <c r="O28" s="3481" t="s">
        <v>3537</v>
      </c>
      <c r="P28" s="3481" t="s">
        <v>3538</v>
      </c>
      <c r="Q28" s="3481">
        <v>80</v>
      </c>
      <c r="R28" s="3481" t="s">
        <v>3755</v>
      </c>
      <c r="S28" s="3481" t="s">
        <v>3648</v>
      </c>
      <c r="T28" s="3481" t="s">
        <v>3538</v>
      </c>
      <c r="U28" s="3481" t="s">
        <v>3538</v>
      </c>
      <c r="V28" s="3481" t="s">
        <v>3538</v>
      </c>
      <c r="W28" s="3481" t="s">
        <v>3538</v>
      </c>
      <c r="X28" s="3481">
        <v>0</v>
      </c>
      <c r="Y28" s="3481">
        <v>0</v>
      </c>
      <c r="Z28" s="3482">
        <v>44519.000497685185</v>
      </c>
      <c r="AA28" s="3482">
        <v>44540.000497685185</v>
      </c>
      <c r="AB28" s="3482">
        <v>44554.000497685185</v>
      </c>
      <c r="AC28" s="3482">
        <v>44554.000497685185</v>
      </c>
      <c r="AD28" s="3481" t="s">
        <v>3775</v>
      </c>
      <c r="AE28" s="3481" t="s">
        <v>3543</v>
      </c>
      <c r="AF28" s="3481" t="s">
        <v>3757</v>
      </c>
      <c r="AG28" s="3481" t="s">
        <v>3758</v>
      </c>
      <c r="AH28" s="3481" t="s">
        <v>3546</v>
      </c>
      <c r="AI28" s="3481">
        <v>485000</v>
      </c>
      <c r="AJ28" s="3481">
        <v>97000</v>
      </c>
      <c r="AK28" s="3481" t="s">
        <v>3750</v>
      </c>
      <c r="AL28" s="3481">
        <v>485000</v>
      </c>
      <c r="AM28" s="3481">
        <v>5055.26</v>
      </c>
      <c r="AN28" s="3481">
        <v>5055.26</v>
      </c>
      <c r="AO28" s="3481">
        <v>51596</v>
      </c>
      <c r="AP28" s="3481">
        <v>51596</v>
      </c>
      <c r="AQ28" s="3481" t="s">
        <v>3538</v>
      </c>
      <c r="AR28" s="3481" t="s">
        <v>3538</v>
      </c>
      <c r="AS28" s="3481">
        <v>0</v>
      </c>
      <c r="AT28" s="3481" t="s">
        <v>3776</v>
      </c>
      <c r="AU28" s="3481">
        <v>509250</v>
      </c>
      <c r="AV28" s="3481" t="s">
        <v>3548</v>
      </c>
      <c r="AW28" s="3481">
        <v>86000</v>
      </c>
      <c r="AX28" s="3481">
        <v>54176</v>
      </c>
      <c r="AY28" s="3481">
        <v>5</v>
      </c>
      <c r="AZ28" s="3481">
        <v>34404</v>
      </c>
    </row>
    <row r="29" spans="1:52">
      <c r="A29" s="3481" t="s">
        <v>3777</v>
      </c>
      <c r="B29" s="3481" t="s">
        <v>3378</v>
      </c>
      <c r="C29" s="3481" t="s">
        <v>3778</v>
      </c>
      <c r="D29" s="3481" t="s">
        <v>3529</v>
      </c>
      <c r="E29" s="3481" t="s">
        <v>3617</v>
      </c>
      <c r="F29" s="3481" t="s">
        <v>3618</v>
      </c>
      <c r="G29" s="3481" t="s">
        <v>3779</v>
      </c>
      <c r="H29" s="3481" t="s">
        <v>3533</v>
      </c>
      <c r="I29" s="3481">
        <v>55613.32</v>
      </c>
      <c r="J29" s="3481">
        <v>83419.98</v>
      </c>
      <c r="K29" s="3481">
        <v>1.5</v>
      </c>
      <c r="L29" s="3481" t="s">
        <v>3534</v>
      </c>
      <c r="M29" s="3481" t="s">
        <v>3780</v>
      </c>
      <c r="N29" s="3481" t="s">
        <v>3781</v>
      </c>
      <c r="O29" s="3481" t="s">
        <v>3537</v>
      </c>
      <c r="P29" s="3481" t="s">
        <v>3538</v>
      </c>
      <c r="Q29" s="3481" t="s">
        <v>3782</v>
      </c>
      <c r="R29" s="3481" t="s">
        <v>3755</v>
      </c>
      <c r="S29" s="3481" t="s">
        <v>3648</v>
      </c>
      <c r="T29" s="3481" t="s">
        <v>3538</v>
      </c>
      <c r="U29" s="3481" t="s">
        <v>3538</v>
      </c>
      <c r="V29" s="3481" t="s">
        <v>3538</v>
      </c>
      <c r="W29" s="3481" t="s">
        <v>3538</v>
      </c>
      <c r="X29" s="3481">
        <v>0</v>
      </c>
      <c r="Y29" s="3481">
        <v>0</v>
      </c>
      <c r="Z29" s="3482">
        <v>44438.000497685185</v>
      </c>
      <c r="AA29" s="3482">
        <v>44462.000497685185</v>
      </c>
      <c r="AB29" s="3482">
        <v>44482.000497685185</v>
      </c>
      <c r="AC29" s="3482">
        <v>44482.000497685185</v>
      </c>
      <c r="AD29" s="3481" t="s">
        <v>3783</v>
      </c>
      <c r="AE29" s="3481" t="s">
        <v>3543</v>
      </c>
      <c r="AF29" s="3481" t="s">
        <v>3784</v>
      </c>
      <c r="AG29" s="3481" t="s">
        <v>3785</v>
      </c>
      <c r="AH29" s="3481" t="s">
        <v>3598</v>
      </c>
      <c r="AI29" s="3481">
        <v>423000</v>
      </c>
      <c r="AJ29" s="3481">
        <v>85000</v>
      </c>
      <c r="AK29" s="3481" t="s">
        <v>3786</v>
      </c>
      <c r="AL29" s="3481">
        <v>449500</v>
      </c>
      <c r="AM29" s="3481">
        <v>5070.7299999999996</v>
      </c>
      <c r="AN29" s="3481">
        <v>5388.4</v>
      </c>
      <c r="AO29" s="3481">
        <v>50707</v>
      </c>
      <c r="AP29" s="3481">
        <v>53884</v>
      </c>
      <c r="AQ29" s="3481" t="s">
        <v>3538</v>
      </c>
      <c r="AR29" s="3481" t="s">
        <v>3538</v>
      </c>
      <c r="AS29" s="3481">
        <v>6.26</v>
      </c>
      <c r="AT29" s="3481" t="s">
        <v>3665</v>
      </c>
      <c r="AU29" s="3481">
        <v>465300</v>
      </c>
      <c r="AV29" s="3481" t="s">
        <v>3548</v>
      </c>
      <c r="AW29" s="3481">
        <v>83000</v>
      </c>
      <c r="AX29" s="3481">
        <v>55778</v>
      </c>
      <c r="AY29" s="3481">
        <v>10</v>
      </c>
      <c r="AZ29" s="3481">
        <v>32293</v>
      </c>
    </row>
    <row r="30" spans="1:52">
      <c r="A30" s="3481" t="s">
        <v>3787</v>
      </c>
      <c r="B30" s="3481" t="s">
        <v>3378</v>
      </c>
      <c r="C30" s="3481" t="s">
        <v>3788</v>
      </c>
      <c r="D30" s="3481" t="s">
        <v>3529</v>
      </c>
      <c r="E30" s="3481" t="s">
        <v>3530</v>
      </c>
      <c r="F30" s="3481" t="s">
        <v>3642</v>
      </c>
      <c r="G30" s="3481" t="s">
        <v>3789</v>
      </c>
      <c r="H30" s="3481" t="s">
        <v>3573</v>
      </c>
      <c r="I30" s="3481">
        <v>79675.399999999994</v>
      </c>
      <c r="J30" s="3481">
        <v>178405.88</v>
      </c>
      <c r="K30" s="3481" t="s">
        <v>3790</v>
      </c>
      <c r="L30" s="3481" t="s">
        <v>3534</v>
      </c>
      <c r="M30" s="3481" t="s">
        <v>3791</v>
      </c>
      <c r="N30" s="3481" t="s">
        <v>3781</v>
      </c>
      <c r="O30" s="3481">
        <v>11.37</v>
      </c>
      <c r="P30" s="3481" t="s">
        <v>3538</v>
      </c>
      <c r="Q30" s="3481" t="s">
        <v>3792</v>
      </c>
      <c r="R30" s="3481" t="s">
        <v>3755</v>
      </c>
      <c r="S30" s="3481" t="s">
        <v>3648</v>
      </c>
      <c r="T30" s="3481" t="s">
        <v>3793</v>
      </c>
      <c r="U30" s="3481" t="s">
        <v>3794</v>
      </c>
      <c r="V30" s="3481">
        <v>20280</v>
      </c>
      <c r="W30" s="3481">
        <v>20280</v>
      </c>
      <c r="X30" s="3481">
        <v>0</v>
      </c>
      <c r="Y30" s="3481">
        <v>0</v>
      </c>
      <c r="Z30" s="3482">
        <v>44438.000497685185</v>
      </c>
      <c r="AA30" s="3482">
        <v>44462.000497685185</v>
      </c>
      <c r="AB30" s="3482">
        <v>44482.000497685185</v>
      </c>
      <c r="AC30" s="3482">
        <v>44482.000497685185</v>
      </c>
      <c r="AD30" s="3481" t="s">
        <v>3795</v>
      </c>
      <c r="AE30" s="3481" t="s">
        <v>3543</v>
      </c>
      <c r="AF30" s="3481" t="s">
        <v>3796</v>
      </c>
      <c r="AG30" s="3481" t="s">
        <v>3797</v>
      </c>
      <c r="AH30" s="3481" t="s">
        <v>3798</v>
      </c>
      <c r="AI30" s="3481">
        <v>359000</v>
      </c>
      <c r="AJ30" s="3481">
        <v>72000</v>
      </c>
      <c r="AK30" s="3481" t="s">
        <v>3786</v>
      </c>
      <c r="AL30" s="3481">
        <v>366000</v>
      </c>
      <c r="AM30" s="3481">
        <v>3003.85</v>
      </c>
      <c r="AN30" s="3481">
        <v>3062.43</v>
      </c>
      <c r="AO30" s="3481">
        <v>20123</v>
      </c>
      <c r="AP30" s="3481">
        <v>20515</v>
      </c>
      <c r="AQ30" s="3481">
        <v>22703</v>
      </c>
      <c r="AR30" s="3481">
        <v>23146</v>
      </c>
      <c r="AS30" s="3481">
        <v>1.95</v>
      </c>
      <c r="AT30" s="3481" t="s">
        <v>3799</v>
      </c>
      <c r="AU30" s="3481">
        <v>412850</v>
      </c>
      <c r="AV30" s="3481" t="s">
        <v>3548</v>
      </c>
      <c r="AW30" s="3481">
        <v>54000</v>
      </c>
      <c r="AX30" s="3481">
        <v>23141</v>
      </c>
      <c r="AY30" s="3481">
        <v>15</v>
      </c>
      <c r="AZ30" s="3481">
        <v>33877</v>
      </c>
    </row>
    <row r="31" spans="1:52">
      <c r="A31" s="3481" t="s">
        <v>3800</v>
      </c>
      <c r="B31" s="3481" t="s">
        <v>3378</v>
      </c>
      <c r="C31" s="3481" t="s">
        <v>3801</v>
      </c>
      <c r="D31" s="3481" t="s">
        <v>3529</v>
      </c>
      <c r="E31" s="3481" t="s">
        <v>3559</v>
      </c>
      <c r="F31" s="3481" t="s">
        <v>3675</v>
      </c>
      <c r="G31" s="3481" t="s">
        <v>3676</v>
      </c>
      <c r="H31" s="3481" t="s">
        <v>3533</v>
      </c>
      <c r="I31" s="3481">
        <v>27366.58</v>
      </c>
      <c r="J31" s="3481">
        <v>68416</v>
      </c>
      <c r="K31" s="3481">
        <v>2.5</v>
      </c>
      <c r="L31" s="3481" t="s">
        <v>3534</v>
      </c>
      <c r="M31" s="3481" t="s">
        <v>3535</v>
      </c>
      <c r="N31" s="3481" t="s">
        <v>3781</v>
      </c>
      <c r="O31" s="3481" t="s">
        <v>3537</v>
      </c>
      <c r="P31" s="3481" t="s">
        <v>3538</v>
      </c>
      <c r="Q31" s="3481" t="s">
        <v>3802</v>
      </c>
      <c r="R31" s="3481" t="s">
        <v>3701</v>
      </c>
      <c r="S31" s="3481" t="s">
        <v>3702</v>
      </c>
      <c r="T31" s="3481" t="s">
        <v>3538</v>
      </c>
      <c r="U31" s="3481" t="s">
        <v>3538</v>
      </c>
      <c r="V31" s="3481" t="s">
        <v>3538</v>
      </c>
      <c r="W31" s="3481" t="s">
        <v>3538</v>
      </c>
      <c r="X31" s="3481">
        <v>0</v>
      </c>
      <c r="Y31" s="3481">
        <v>0</v>
      </c>
      <c r="Z31" s="3482">
        <v>44438.000497685185</v>
      </c>
      <c r="AA31" s="3482">
        <v>44462.000497685185</v>
      </c>
      <c r="AB31" s="3482">
        <v>44481.000497685185</v>
      </c>
      <c r="AC31" s="3482">
        <v>44481.000497685185</v>
      </c>
      <c r="AD31" s="3481" t="s">
        <v>3803</v>
      </c>
      <c r="AE31" s="3481" t="s">
        <v>3543</v>
      </c>
      <c r="AF31" s="3481" t="s">
        <v>3804</v>
      </c>
      <c r="AG31" s="3481" t="s">
        <v>3805</v>
      </c>
      <c r="AH31" s="3481" t="s">
        <v>3680</v>
      </c>
      <c r="AI31" s="3481">
        <v>376000</v>
      </c>
      <c r="AJ31" s="3481">
        <v>75500</v>
      </c>
      <c r="AK31" s="3481" t="s">
        <v>3786</v>
      </c>
      <c r="AL31" s="3481">
        <v>376000</v>
      </c>
      <c r="AM31" s="3481">
        <v>9159.59</v>
      </c>
      <c r="AN31" s="3481">
        <v>9159.59</v>
      </c>
      <c r="AO31" s="3481">
        <v>54958</v>
      </c>
      <c r="AP31" s="3481">
        <v>54958</v>
      </c>
      <c r="AQ31" s="3481" t="s">
        <v>3538</v>
      </c>
      <c r="AR31" s="3481" t="s">
        <v>3538</v>
      </c>
      <c r="AS31" s="3481">
        <v>0</v>
      </c>
      <c r="AT31" s="3481" t="s">
        <v>3665</v>
      </c>
      <c r="AU31" s="3481">
        <v>413600</v>
      </c>
      <c r="AV31" s="3481" t="s">
        <v>3548</v>
      </c>
      <c r="AW31" s="3481">
        <v>75000</v>
      </c>
      <c r="AX31" s="3481">
        <v>60454</v>
      </c>
      <c r="AY31" s="3481">
        <v>10</v>
      </c>
      <c r="AZ31" s="3481">
        <v>20042</v>
      </c>
    </row>
    <row r="32" spans="1:52">
      <c r="A32" s="3481" t="s">
        <v>3806</v>
      </c>
      <c r="B32" s="3481" t="s">
        <v>3378</v>
      </c>
      <c r="C32" s="3481" t="s">
        <v>3807</v>
      </c>
      <c r="D32" s="3481" t="s">
        <v>3529</v>
      </c>
      <c r="E32" s="3481" t="s">
        <v>3617</v>
      </c>
      <c r="F32" s="3481" t="s">
        <v>3808</v>
      </c>
      <c r="G32" s="3481" t="s">
        <v>3809</v>
      </c>
      <c r="H32" s="3481" t="s">
        <v>3573</v>
      </c>
      <c r="I32" s="3481">
        <v>31161.99</v>
      </c>
      <c r="J32" s="3481">
        <v>71300</v>
      </c>
      <c r="K32" s="3481" t="s">
        <v>3810</v>
      </c>
      <c r="L32" s="3481" t="s">
        <v>3534</v>
      </c>
      <c r="M32" s="3481" t="s">
        <v>3621</v>
      </c>
      <c r="N32" s="3481" t="s">
        <v>3781</v>
      </c>
      <c r="O32" s="3481" t="s">
        <v>3537</v>
      </c>
      <c r="P32" s="3481" t="s">
        <v>3538</v>
      </c>
      <c r="Q32" s="3481" t="s">
        <v>3811</v>
      </c>
      <c r="R32" s="3481" t="s">
        <v>3755</v>
      </c>
      <c r="S32" s="3481" t="s">
        <v>3755</v>
      </c>
      <c r="T32" s="3481" t="s">
        <v>3714</v>
      </c>
      <c r="U32" s="3481" t="s">
        <v>3715</v>
      </c>
      <c r="V32" s="3481" t="s">
        <v>3538</v>
      </c>
      <c r="W32" s="3481" t="s">
        <v>3538</v>
      </c>
      <c r="X32" s="3481">
        <v>0</v>
      </c>
      <c r="Y32" s="3481">
        <v>0</v>
      </c>
      <c r="Z32" s="3482">
        <v>44438.000497685185</v>
      </c>
      <c r="AA32" s="3482">
        <v>44462.000497685185</v>
      </c>
      <c r="AB32" s="3482">
        <v>44482.000497685185</v>
      </c>
      <c r="AC32" s="3482">
        <v>44487.000497685185</v>
      </c>
      <c r="AD32" s="3481" t="s">
        <v>3812</v>
      </c>
      <c r="AE32" s="3481" t="s">
        <v>3543</v>
      </c>
      <c r="AF32" s="3481" t="s">
        <v>3813</v>
      </c>
      <c r="AG32" s="3481" t="s">
        <v>3814</v>
      </c>
      <c r="AH32" s="3481" t="s">
        <v>3652</v>
      </c>
      <c r="AI32" s="3481">
        <v>465000</v>
      </c>
      <c r="AJ32" s="3481">
        <v>93000</v>
      </c>
      <c r="AK32" s="3481" t="s">
        <v>3786</v>
      </c>
      <c r="AL32" s="3481">
        <v>493000</v>
      </c>
      <c r="AM32" s="3481">
        <v>9948.02</v>
      </c>
      <c r="AN32" s="3481">
        <v>10547.04</v>
      </c>
      <c r="AO32" s="3481">
        <v>65217</v>
      </c>
      <c r="AP32" s="3481">
        <v>69144</v>
      </c>
      <c r="AQ32" s="3481" t="s">
        <v>3538</v>
      </c>
      <c r="AR32" s="3481" t="s">
        <v>3538</v>
      </c>
      <c r="AS32" s="3481">
        <v>6.02</v>
      </c>
      <c r="AT32" s="3481" t="s">
        <v>3815</v>
      </c>
      <c r="AU32" s="3481">
        <v>493000</v>
      </c>
      <c r="AV32" s="3481" t="s">
        <v>3557</v>
      </c>
      <c r="AW32" s="3481">
        <v>112000</v>
      </c>
      <c r="AX32" s="3481">
        <v>69144</v>
      </c>
      <c r="AY32" s="3481">
        <v>6.02</v>
      </c>
      <c r="AZ32" s="3481">
        <v>46783</v>
      </c>
    </row>
    <row r="33" spans="1:52">
      <c r="A33" s="3481" t="s">
        <v>3816</v>
      </c>
      <c r="B33" s="3481" t="s">
        <v>3378</v>
      </c>
      <c r="C33" s="3481" t="s">
        <v>3817</v>
      </c>
      <c r="D33" s="3481" t="s">
        <v>3529</v>
      </c>
      <c r="E33" s="3481" t="s">
        <v>3530</v>
      </c>
      <c r="F33" s="3481" t="s">
        <v>3818</v>
      </c>
      <c r="G33" s="3481" t="s">
        <v>3819</v>
      </c>
      <c r="H33" s="3481" t="s">
        <v>3533</v>
      </c>
      <c r="I33" s="3481">
        <v>27077.63</v>
      </c>
      <c r="J33" s="3481">
        <v>56500</v>
      </c>
      <c r="K33" s="3481">
        <v>2.1</v>
      </c>
      <c r="L33" s="3481" t="s">
        <v>3534</v>
      </c>
      <c r="M33" s="3481" t="s">
        <v>3535</v>
      </c>
      <c r="N33" s="3481" t="s">
        <v>3781</v>
      </c>
      <c r="O33" s="3481" t="s">
        <v>3537</v>
      </c>
      <c r="P33" s="3481" t="s">
        <v>3538</v>
      </c>
      <c r="Q33" s="3481" t="s">
        <v>3802</v>
      </c>
      <c r="R33" s="3481" t="s">
        <v>3686</v>
      </c>
      <c r="S33" s="3481" t="s">
        <v>3686</v>
      </c>
      <c r="T33" s="3481" t="s">
        <v>3538</v>
      </c>
      <c r="U33" s="3481" t="s">
        <v>3538</v>
      </c>
      <c r="V33" s="3481" t="s">
        <v>3538</v>
      </c>
      <c r="W33" s="3481" t="s">
        <v>3538</v>
      </c>
      <c r="X33" s="3481">
        <v>0</v>
      </c>
      <c r="Y33" s="3481">
        <v>0</v>
      </c>
      <c r="Z33" s="3482">
        <v>44438.000497685185</v>
      </c>
      <c r="AA33" s="3482">
        <v>44462.000497685185</v>
      </c>
      <c r="AB33" s="3482">
        <v>44482.000497685185</v>
      </c>
      <c r="AC33" s="3482">
        <v>44482.000497685185</v>
      </c>
      <c r="AD33" s="3481" t="s">
        <v>3820</v>
      </c>
      <c r="AE33" s="3481" t="s">
        <v>3543</v>
      </c>
      <c r="AF33" s="3481" t="s">
        <v>3821</v>
      </c>
      <c r="AG33" s="3481" t="s">
        <v>3822</v>
      </c>
      <c r="AH33" s="3481" t="s">
        <v>3568</v>
      </c>
      <c r="AI33" s="3481">
        <v>82500</v>
      </c>
      <c r="AJ33" s="3481">
        <v>16500</v>
      </c>
      <c r="AK33" s="3481" t="s">
        <v>3786</v>
      </c>
      <c r="AL33" s="3481">
        <v>94875</v>
      </c>
      <c r="AM33" s="3481">
        <v>2031.2</v>
      </c>
      <c r="AN33" s="3481">
        <v>2335.88</v>
      </c>
      <c r="AO33" s="3481">
        <v>14602</v>
      </c>
      <c r="AP33" s="3481">
        <v>16792</v>
      </c>
      <c r="AQ33" s="3481" t="s">
        <v>3538</v>
      </c>
      <c r="AR33" s="3481" t="s">
        <v>3538</v>
      </c>
      <c r="AS33" s="3481">
        <v>15</v>
      </c>
      <c r="AT33" s="3481" t="s">
        <v>3728</v>
      </c>
      <c r="AU33" s="3481">
        <v>94875</v>
      </c>
      <c r="AV33" s="3481" t="s">
        <v>3557</v>
      </c>
      <c r="AW33" s="3481">
        <v>31900</v>
      </c>
      <c r="AX33" s="3481">
        <v>16792</v>
      </c>
      <c r="AY33" s="3481">
        <v>15</v>
      </c>
      <c r="AZ33" s="3481">
        <v>17298</v>
      </c>
    </row>
    <row r="34" spans="1:52">
      <c r="A34" s="3481" t="s">
        <v>3823</v>
      </c>
      <c r="B34" s="3481" t="s">
        <v>3378</v>
      </c>
      <c r="C34" s="3481" t="s">
        <v>3824</v>
      </c>
      <c r="D34" s="3481" t="s">
        <v>3529</v>
      </c>
      <c r="E34" s="3481" t="s">
        <v>3617</v>
      </c>
      <c r="F34" s="3481" t="s">
        <v>3808</v>
      </c>
      <c r="G34" s="3481" t="s">
        <v>3809</v>
      </c>
      <c r="H34" s="3481" t="s">
        <v>3533</v>
      </c>
      <c r="I34" s="3481">
        <v>25289.72</v>
      </c>
      <c r="J34" s="3481">
        <v>61500</v>
      </c>
      <c r="K34" s="3481">
        <v>2.4300000000000002</v>
      </c>
      <c r="L34" s="3481" t="s">
        <v>3534</v>
      </c>
      <c r="M34" s="3481" t="s">
        <v>3535</v>
      </c>
      <c r="N34" s="3481" t="s">
        <v>3781</v>
      </c>
      <c r="O34" s="3481" t="s">
        <v>3537</v>
      </c>
      <c r="P34" s="3481" t="s">
        <v>3538</v>
      </c>
      <c r="Q34" s="3481" t="s">
        <v>3802</v>
      </c>
      <c r="R34" s="3481" t="s">
        <v>3755</v>
      </c>
      <c r="S34" s="3481" t="s">
        <v>3755</v>
      </c>
      <c r="T34" s="3481" t="s">
        <v>3714</v>
      </c>
      <c r="U34" s="3481" t="s">
        <v>3715</v>
      </c>
      <c r="V34" s="3481" t="s">
        <v>3538</v>
      </c>
      <c r="W34" s="3481" t="s">
        <v>3538</v>
      </c>
      <c r="X34" s="3481">
        <v>0</v>
      </c>
      <c r="Y34" s="3481">
        <v>0</v>
      </c>
      <c r="Z34" s="3482">
        <v>44438.000497685185</v>
      </c>
      <c r="AA34" s="3482">
        <v>44462.000497685185</v>
      </c>
      <c r="AB34" s="3482">
        <v>44482.000497685185</v>
      </c>
      <c r="AC34" s="3482">
        <v>44487.000497685185</v>
      </c>
      <c r="AD34" s="3481" t="s">
        <v>3825</v>
      </c>
      <c r="AE34" s="3481" t="s">
        <v>3543</v>
      </c>
      <c r="AF34" s="3481" t="s">
        <v>3813</v>
      </c>
      <c r="AG34" s="3481" t="s">
        <v>3826</v>
      </c>
      <c r="AH34" s="3481" t="s">
        <v>3652</v>
      </c>
      <c r="AI34" s="3481">
        <v>419000</v>
      </c>
      <c r="AJ34" s="3481">
        <v>84000</v>
      </c>
      <c r="AK34" s="3481" t="s">
        <v>3786</v>
      </c>
      <c r="AL34" s="3481">
        <v>444000</v>
      </c>
      <c r="AM34" s="3481">
        <v>11045.33</v>
      </c>
      <c r="AN34" s="3481">
        <v>11704.36</v>
      </c>
      <c r="AO34" s="3481">
        <v>68130</v>
      </c>
      <c r="AP34" s="3481">
        <v>72195</v>
      </c>
      <c r="AQ34" s="3481" t="s">
        <v>3538</v>
      </c>
      <c r="AR34" s="3481" t="s">
        <v>3538</v>
      </c>
      <c r="AS34" s="3481">
        <v>5.97</v>
      </c>
      <c r="AT34" s="3481" t="s">
        <v>3728</v>
      </c>
      <c r="AU34" s="3481">
        <v>444000</v>
      </c>
      <c r="AV34" s="3481" t="s">
        <v>3557</v>
      </c>
      <c r="AW34" s="3481">
        <v>112000</v>
      </c>
      <c r="AX34" s="3481">
        <v>72195</v>
      </c>
      <c r="AY34" s="3481">
        <v>5.97</v>
      </c>
      <c r="AZ34" s="3481">
        <v>43870</v>
      </c>
    </row>
    <row r="35" spans="1:52">
      <c r="A35" s="3481" t="s">
        <v>3827</v>
      </c>
      <c r="B35" s="3481" t="s">
        <v>3378</v>
      </c>
      <c r="C35" s="3481" t="s">
        <v>3828</v>
      </c>
      <c r="D35" s="3481" t="s">
        <v>3529</v>
      </c>
      <c r="E35" s="3481" t="s">
        <v>3617</v>
      </c>
      <c r="F35" s="3481" t="s">
        <v>3618</v>
      </c>
      <c r="G35" s="3481" t="s">
        <v>3779</v>
      </c>
      <c r="H35" s="3481" t="s">
        <v>3573</v>
      </c>
      <c r="I35" s="3481">
        <v>59060.26</v>
      </c>
      <c r="J35" s="3481">
        <v>86350.39</v>
      </c>
      <c r="K35" s="3481" t="s">
        <v>3829</v>
      </c>
      <c r="L35" s="3481" t="s">
        <v>3534</v>
      </c>
      <c r="M35" s="3481" t="s">
        <v>3621</v>
      </c>
      <c r="N35" s="3481" t="s">
        <v>3781</v>
      </c>
      <c r="O35" s="3481" t="s">
        <v>3537</v>
      </c>
      <c r="P35" s="3481" t="s">
        <v>3538</v>
      </c>
      <c r="Q35" s="3481" t="s">
        <v>3830</v>
      </c>
      <c r="R35" s="3481" t="s">
        <v>3755</v>
      </c>
      <c r="S35" s="3481" t="s">
        <v>3648</v>
      </c>
      <c r="T35" s="3481" t="s">
        <v>3538</v>
      </c>
      <c r="U35" s="3481" t="s">
        <v>3538</v>
      </c>
      <c r="V35" s="3481" t="s">
        <v>3538</v>
      </c>
      <c r="W35" s="3481" t="s">
        <v>3538</v>
      </c>
      <c r="X35" s="3481">
        <v>0</v>
      </c>
      <c r="Y35" s="3481">
        <v>0</v>
      </c>
      <c r="Z35" s="3482">
        <v>44438.000497685185</v>
      </c>
      <c r="AA35" s="3482">
        <v>44462.000497685185</v>
      </c>
      <c r="AB35" s="3482">
        <v>44482.000497685185</v>
      </c>
      <c r="AC35" s="3482">
        <v>44482.000497685185</v>
      </c>
      <c r="AD35" s="3481" t="s">
        <v>3831</v>
      </c>
      <c r="AE35" s="3481" t="s">
        <v>3543</v>
      </c>
      <c r="AF35" s="3481" t="s">
        <v>3727</v>
      </c>
      <c r="AG35" s="3481" t="s">
        <v>3626</v>
      </c>
      <c r="AH35" s="3481" t="s">
        <v>3568</v>
      </c>
      <c r="AI35" s="3481">
        <v>426000</v>
      </c>
      <c r="AJ35" s="3481">
        <v>85500</v>
      </c>
      <c r="AK35" s="3481" t="s">
        <v>3786</v>
      </c>
      <c r="AL35" s="3481">
        <v>450000</v>
      </c>
      <c r="AM35" s="3481">
        <v>4808.6499999999996</v>
      </c>
      <c r="AN35" s="3481">
        <v>5079.5600000000004</v>
      </c>
      <c r="AO35" s="3481">
        <v>49334</v>
      </c>
      <c r="AP35" s="3481">
        <v>52113</v>
      </c>
      <c r="AQ35" s="3481" t="s">
        <v>3538</v>
      </c>
      <c r="AR35" s="3481" t="s">
        <v>3538</v>
      </c>
      <c r="AS35" s="3481">
        <v>5.63</v>
      </c>
      <c r="AT35" s="3481" t="s">
        <v>3815</v>
      </c>
      <c r="AU35" s="3481">
        <v>468600</v>
      </c>
      <c r="AV35" s="3481" t="s">
        <v>3548</v>
      </c>
      <c r="AW35" s="3481">
        <v>83000</v>
      </c>
      <c r="AX35" s="3481">
        <v>54267</v>
      </c>
      <c r="AY35" s="3481">
        <v>10</v>
      </c>
      <c r="AZ35" s="3481">
        <v>33666</v>
      </c>
    </row>
    <row r="36" spans="1:52">
      <c r="A36" s="3481" t="s">
        <v>3832</v>
      </c>
      <c r="B36" s="3481" t="s">
        <v>3378</v>
      </c>
      <c r="C36" s="3481" t="s">
        <v>3833</v>
      </c>
      <c r="D36" s="3481" t="s">
        <v>3529</v>
      </c>
      <c r="E36" s="3481" t="s">
        <v>3530</v>
      </c>
      <c r="F36" s="3481" t="s">
        <v>3551</v>
      </c>
      <c r="G36" s="3481" t="s">
        <v>3608</v>
      </c>
      <c r="H36" s="3481" t="s">
        <v>3573</v>
      </c>
      <c r="I36" s="3481">
        <v>67586.429999999993</v>
      </c>
      <c r="J36" s="3481">
        <v>149027</v>
      </c>
      <c r="K36" s="3481" t="s">
        <v>3834</v>
      </c>
      <c r="L36" s="3481" t="s">
        <v>3534</v>
      </c>
      <c r="M36" s="3481" t="s">
        <v>3621</v>
      </c>
      <c r="N36" s="3481" t="s">
        <v>3835</v>
      </c>
      <c r="O36" s="3481" t="s">
        <v>3537</v>
      </c>
      <c r="P36" s="3481" t="s">
        <v>3538</v>
      </c>
      <c r="Q36" s="3481" t="s">
        <v>3836</v>
      </c>
      <c r="R36" s="3481" t="s">
        <v>3837</v>
      </c>
      <c r="S36" s="3481" t="s">
        <v>3838</v>
      </c>
      <c r="T36" s="3481" t="s">
        <v>3839</v>
      </c>
      <c r="U36" s="3481" t="s">
        <v>3840</v>
      </c>
      <c r="V36" s="3481">
        <v>14100</v>
      </c>
      <c r="W36" s="3481">
        <v>14100</v>
      </c>
      <c r="X36" s="3481">
        <v>0</v>
      </c>
      <c r="Y36" s="3481">
        <v>0</v>
      </c>
      <c r="Z36" s="3482">
        <v>44286.000497685185</v>
      </c>
      <c r="AA36" s="3482">
        <v>44308.000497685185</v>
      </c>
      <c r="AB36" s="3482">
        <v>44324.000497685185</v>
      </c>
      <c r="AC36" s="3482">
        <v>44327.000497685185</v>
      </c>
      <c r="AD36" s="3481" t="s">
        <v>3841</v>
      </c>
      <c r="AE36" s="3481" t="s">
        <v>3543</v>
      </c>
      <c r="AF36" s="3481" t="s">
        <v>3842</v>
      </c>
      <c r="AG36" s="3481" t="s">
        <v>3843</v>
      </c>
      <c r="AH36" s="3481" t="s">
        <v>3664</v>
      </c>
      <c r="AI36" s="3481">
        <v>475000</v>
      </c>
      <c r="AJ36" s="3481">
        <v>95000</v>
      </c>
      <c r="AK36" s="3481" t="s">
        <v>3844</v>
      </c>
      <c r="AL36" s="3481">
        <v>499000</v>
      </c>
      <c r="AM36" s="3481">
        <v>4685.3599999999997</v>
      </c>
      <c r="AN36" s="3481">
        <v>4922.09</v>
      </c>
      <c r="AO36" s="3481">
        <v>31873</v>
      </c>
      <c r="AP36" s="3481">
        <v>33484</v>
      </c>
      <c r="AQ36" s="3481">
        <v>35204</v>
      </c>
      <c r="AR36" s="3481">
        <v>36983</v>
      </c>
      <c r="AS36" s="3481">
        <v>5.05</v>
      </c>
      <c r="AT36" s="3481" t="s">
        <v>3845</v>
      </c>
      <c r="AU36" s="3481">
        <v>499000</v>
      </c>
      <c r="AV36" s="3481" t="s">
        <v>3557</v>
      </c>
      <c r="AW36" s="3481" t="s">
        <v>3537</v>
      </c>
      <c r="AX36" s="3481">
        <v>33484</v>
      </c>
      <c r="AY36" s="3481">
        <v>5.05</v>
      </c>
      <c r="AZ36" s="3481" t="s">
        <v>3538</v>
      </c>
    </row>
    <row r="37" spans="1:52">
      <c r="A37" s="3481" t="s">
        <v>3846</v>
      </c>
      <c r="B37" s="3481" t="s">
        <v>3378</v>
      </c>
      <c r="C37" s="3481" t="s">
        <v>3847</v>
      </c>
      <c r="D37" s="3481" t="s">
        <v>3529</v>
      </c>
      <c r="E37" s="3481" t="s">
        <v>3559</v>
      </c>
      <c r="F37" s="3481" t="s">
        <v>3585</v>
      </c>
      <c r="G37" s="3481" t="s">
        <v>3602</v>
      </c>
      <c r="H37" s="3481" t="s">
        <v>3573</v>
      </c>
      <c r="I37" s="3481">
        <v>23471.66</v>
      </c>
      <c r="J37" s="3481">
        <v>70415</v>
      </c>
      <c r="K37" s="3481" t="s">
        <v>3848</v>
      </c>
      <c r="L37" s="3481" t="s">
        <v>3534</v>
      </c>
      <c r="M37" s="3481" t="s">
        <v>3849</v>
      </c>
      <c r="N37" s="3481" t="s">
        <v>3835</v>
      </c>
      <c r="O37" s="3481" t="s">
        <v>3537</v>
      </c>
      <c r="P37" s="3481" t="s">
        <v>3850</v>
      </c>
      <c r="Q37" s="3481" t="s">
        <v>3851</v>
      </c>
      <c r="R37" s="3481" t="s">
        <v>3852</v>
      </c>
      <c r="S37" s="3481" t="s">
        <v>3852</v>
      </c>
      <c r="T37" s="3481" t="s">
        <v>3538</v>
      </c>
      <c r="U37" s="3481" t="s">
        <v>3538</v>
      </c>
      <c r="V37" s="3481" t="s">
        <v>3538</v>
      </c>
      <c r="W37" s="3481">
        <v>0</v>
      </c>
      <c r="X37" s="3481">
        <v>0</v>
      </c>
      <c r="Y37" s="3481">
        <v>0</v>
      </c>
      <c r="Z37" s="3482">
        <v>44286.000497685185</v>
      </c>
      <c r="AA37" s="3482">
        <v>44308.000497685185</v>
      </c>
      <c r="AB37" s="3482">
        <v>44324.000497685185</v>
      </c>
      <c r="AC37" s="3482">
        <v>44343.000497685185</v>
      </c>
      <c r="AD37" s="3481" t="s">
        <v>3853</v>
      </c>
      <c r="AE37" s="3481" t="s">
        <v>3543</v>
      </c>
      <c r="AF37" s="3481" t="s">
        <v>3854</v>
      </c>
      <c r="AG37" s="3481" t="s">
        <v>3613</v>
      </c>
      <c r="AH37" s="3481" t="s">
        <v>3546</v>
      </c>
      <c r="AI37" s="3481">
        <v>243500</v>
      </c>
      <c r="AJ37" s="3481">
        <v>49000</v>
      </c>
      <c r="AK37" s="3481" t="s">
        <v>3844</v>
      </c>
      <c r="AL37" s="3481">
        <v>280000</v>
      </c>
      <c r="AM37" s="3481">
        <v>6916.14</v>
      </c>
      <c r="AN37" s="3481">
        <v>7952.85</v>
      </c>
      <c r="AO37" s="3481">
        <v>34581</v>
      </c>
      <c r="AP37" s="3481">
        <v>39764</v>
      </c>
      <c r="AQ37" s="3481" t="s">
        <v>3538</v>
      </c>
      <c r="AR37" s="3481" t="s">
        <v>3538</v>
      </c>
      <c r="AS37" s="3481">
        <v>14.99</v>
      </c>
      <c r="AT37" s="3481" t="s">
        <v>3845</v>
      </c>
      <c r="AU37" s="3481">
        <v>280000</v>
      </c>
      <c r="AV37" s="3481" t="s">
        <v>3557</v>
      </c>
      <c r="AW37" s="3481" t="s">
        <v>3537</v>
      </c>
      <c r="AX37" s="3481">
        <v>39764</v>
      </c>
      <c r="AY37" s="3481">
        <v>14.99</v>
      </c>
      <c r="AZ37" s="3481" t="s">
        <v>3538</v>
      </c>
    </row>
    <row r="38" spans="1:52" s="3487" customFormat="1">
      <c r="A38" s="3487" t="s">
        <v>3855</v>
      </c>
      <c r="B38" s="3487" t="s">
        <v>3378</v>
      </c>
      <c r="C38" s="3487" t="s">
        <v>3856</v>
      </c>
      <c r="D38" s="3487" t="s">
        <v>3529</v>
      </c>
      <c r="E38" s="3487" t="s">
        <v>3530</v>
      </c>
      <c r="F38" s="3487" t="s">
        <v>3657</v>
      </c>
      <c r="G38" s="3487" t="s">
        <v>3857</v>
      </c>
      <c r="H38" s="3487" t="s">
        <v>3533</v>
      </c>
      <c r="I38" s="3487">
        <v>31537.81</v>
      </c>
      <c r="J38" s="3487">
        <v>88306</v>
      </c>
      <c r="K38" s="3487" t="s">
        <v>3685</v>
      </c>
      <c r="L38" s="3487" t="s">
        <v>3534</v>
      </c>
      <c r="M38" s="3487" t="s">
        <v>3535</v>
      </c>
      <c r="N38" s="3487" t="s">
        <v>3835</v>
      </c>
      <c r="O38" s="3487" t="s">
        <v>3537</v>
      </c>
      <c r="P38" s="3487" t="s">
        <v>3850</v>
      </c>
      <c r="Q38" s="3487" t="s">
        <v>3858</v>
      </c>
      <c r="R38" s="3487" t="s">
        <v>3838</v>
      </c>
      <c r="S38" s="3487" t="s">
        <v>3838</v>
      </c>
      <c r="T38" s="3487" t="s">
        <v>3839</v>
      </c>
      <c r="U38" s="3487" t="s">
        <v>3840</v>
      </c>
      <c r="V38" s="3487">
        <v>0</v>
      </c>
      <c r="W38" s="3487">
        <v>0</v>
      </c>
      <c r="X38" s="3487">
        <v>0</v>
      </c>
      <c r="Y38" s="3487">
        <v>0</v>
      </c>
      <c r="Z38" s="3488">
        <v>44286.000497685185</v>
      </c>
      <c r="AA38" s="3488">
        <v>44308.000497685185</v>
      </c>
      <c r="AB38" s="3488">
        <v>44324.000497685185</v>
      </c>
      <c r="AC38" s="3488">
        <v>44327.000497685185</v>
      </c>
      <c r="AD38" s="3487" t="s">
        <v>3859</v>
      </c>
      <c r="AE38" s="3487" t="s">
        <v>3543</v>
      </c>
      <c r="AF38" s="3487" t="s">
        <v>3842</v>
      </c>
      <c r="AG38" s="3487" t="s">
        <v>3860</v>
      </c>
      <c r="AH38" s="3487" t="s">
        <v>3861</v>
      </c>
      <c r="AI38" s="3487">
        <v>343000</v>
      </c>
      <c r="AJ38" s="3487">
        <v>69000</v>
      </c>
      <c r="AK38" s="3487" t="s">
        <v>3844</v>
      </c>
      <c r="AL38" s="3487">
        <v>361000</v>
      </c>
      <c r="AM38" s="3487">
        <v>7250.56</v>
      </c>
      <c r="AN38" s="3487">
        <v>7631.05</v>
      </c>
      <c r="AO38" s="3487">
        <v>38842</v>
      </c>
      <c r="AP38" s="3487">
        <v>40881</v>
      </c>
      <c r="AQ38" s="3487" t="s">
        <v>3538</v>
      </c>
      <c r="AR38" s="3487" t="s">
        <v>3538</v>
      </c>
      <c r="AS38" s="3487">
        <v>5.25</v>
      </c>
      <c r="AT38" s="3487" t="s">
        <v>3845</v>
      </c>
      <c r="AU38" s="3487">
        <v>361000</v>
      </c>
      <c r="AV38" s="3487" t="s">
        <v>3557</v>
      </c>
      <c r="AW38" s="3487" t="s">
        <v>3537</v>
      </c>
      <c r="AX38" s="3487">
        <v>40881</v>
      </c>
      <c r="AY38" s="3487">
        <v>5.25</v>
      </c>
      <c r="AZ38" s="3487" t="s">
        <v>3538</v>
      </c>
    </row>
    <row r="39" spans="1:52">
      <c r="A39" s="3481" t="s">
        <v>3862</v>
      </c>
      <c r="B39" s="3481" t="s">
        <v>3378</v>
      </c>
      <c r="C39" s="3481" t="s">
        <v>3863</v>
      </c>
      <c r="D39" s="3481" t="s">
        <v>3529</v>
      </c>
      <c r="E39" s="3481" t="s">
        <v>3617</v>
      </c>
      <c r="F39" s="3481" t="s">
        <v>3864</v>
      </c>
      <c r="G39" s="3481" t="s">
        <v>3865</v>
      </c>
      <c r="H39" s="3481" t="s">
        <v>3533</v>
      </c>
      <c r="I39" s="3481">
        <v>57020.91</v>
      </c>
      <c r="J39" s="3481">
        <v>92371</v>
      </c>
      <c r="K39" s="3481" t="s">
        <v>3866</v>
      </c>
      <c r="L39" s="3481" t="s">
        <v>3534</v>
      </c>
      <c r="M39" s="3481" t="s">
        <v>3535</v>
      </c>
      <c r="N39" s="3481" t="s">
        <v>3835</v>
      </c>
      <c r="O39" s="3481">
        <v>0</v>
      </c>
      <c r="P39" s="3481" t="s">
        <v>3538</v>
      </c>
      <c r="Q39" s="3481" t="s">
        <v>3867</v>
      </c>
      <c r="R39" s="3481" t="s">
        <v>3868</v>
      </c>
      <c r="S39" s="3481" t="s">
        <v>3868</v>
      </c>
      <c r="T39" s="3481" t="s">
        <v>3538</v>
      </c>
      <c r="U39" s="3481" t="s">
        <v>3538</v>
      </c>
      <c r="V39" s="3481">
        <v>0</v>
      </c>
      <c r="W39" s="3481">
        <v>0</v>
      </c>
      <c r="X39" s="3481">
        <v>0</v>
      </c>
      <c r="Y39" s="3481">
        <v>0</v>
      </c>
      <c r="Z39" s="3482">
        <v>44286.000497685185</v>
      </c>
      <c r="AA39" s="3482">
        <v>44308.000497685185</v>
      </c>
      <c r="AB39" s="3482">
        <v>44324.000497685185</v>
      </c>
      <c r="AC39" s="3482">
        <v>44342.000497685185</v>
      </c>
      <c r="AD39" s="3481" t="s">
        <v>3869</v>
      </c>
      <c r="AE39" s="3481" t="s">
        <v>3543</v>
      </c>
      <c r="AF39" s="3481" t="s">
        <v>3870</v>
      </c>
      <c r="AG39" s="3481" t="s">
        <v>3871</v>
      </c>
      <c r="AH39" s="3481" t="s">
        <v>3556</v>
      </c>
      <c r="AI39" s="3481">
        <v>621000</v>
      </c>
      <c r="AJ39" s="3481">
        <v>125000</v>
      </c>
      <c r="AK39" s="3481" t="s">
        <v>3844</v>
      </c>
      <c r="AL39" s="3481">
        <v>637000</v>
      </c>
      <c r="AM39" s="3481">
        <v>7260.49</v>
      </c>
      <c r="AN39" s="3481">
        <v>7447.56</v>
      </c>
      <c r="AO39" s="3481">
        <v>67229</v>
      </c>
      <c r="AP39" s="3481">
        <v>68961</v>
      </c>
      <c r="AQ39" s="3481" t="s">
        <v>3538</v>
      </c>
      <c r="AR39" s="3481" t="s">
        <v>3538</v>
      </c>
      <c r="AS39" s="3481">
        <v>2.58</v>
      </c>
      <c r="AT39" s="3481" t="s">
        <v>3845</v>
      </c>
      <c r="AU39" s="3481">
        <v>637000</v>
      </c>
      <c r="AV39" s="3481" t="s">
        <v>3557</v>
      </c>
      <c r="AW39" s="3481" t="s">
        <v>3537</v>
      </c>
      <c r="AX39" s="3481">
        <v>68961</v>
      </c>
      <c r="AY39" s="3481">
        <v>2.58</v>
      </c>
      <c r="AZ39" s="3481" t="s">
        <v>3538</v>
      </c>
    </row>
    <row r="40" spans="1:52">
      <c r="A40" s="3481" t="s">
        <v>3872</v>
      </c>
      <c r="B40" s="3481" t="s">
        <v>3378</v>
      </c>
      <c r="C40" s="3481" t="s">
        <v>3873</v>
      </c>
      <c r="D40" s="3481" t="s">
        <v>3529</v>
      </c>
      <c r="E40" s="3481" t="s">
        <v>3559</v>
      </c>
      <c r="F40" s="3481" t="s">
        <v>3874</v>
      </c>
      <c r="G40" s="3481" t="s">
        <v>3875</v>
      </c>
      <c r="H40" s="3481" t="s">
        <v>3573</v>
      </c>
      <c r="I40" s="3481">
        <v>85059.12</v>
      </c>
      <c r="J40" s="3481">
        <v>242377.36</v>
      </c>
      <c r="K40" s="3481" t="s">
        <v>3685</v>
      </c>
      <c r="L40" s="3481" t="s">
        <v>3534</v>
      </c>
      <c r="M40" s="3481" t="s">
        <v>3849</v>
      </c>
      <c r="N40" s="3481" t="s">
        <v>3835</v>
      </c>
      <c r="O40" s="3481" t="s">
        <v>3537</v>
      </c>
      <c r="P40" s="3481" t="s">
        <v>3850</v>
      </c>
      <c r="Q40" s="3481" t="s">
        <v>3538</v>
      </c>
      <c r="R40" s="3481" t="s">
        <v>3852</v>
      </c>
      <c r="S40" s="3481" t="s">
        <v>3852</v>
      </c>
      <c r="T40" s="3481" t="s">
        <v>3538</v>
      </c>
      <c r="U40" s="3481" t="s">
        <v>3538</v>
      </c>
      <c r="V40" s="3481" t="s">
        <v>3538</v>
      </c>
      <c r="W40" s="3481">
        <v>0</v>
      </c>
      <c r="X40" s="3481">
        <v>0</v>
      </c>
      <c r="Y40" s="3481">
        <v>0</v>
      </c>
      <c r="Z40" s="3482">
        <v>44286.000497685185</v>
      </c>
      <c r="AA40" s="3482">
        <v>44308.000497685185</v>
      </c>
      <c r="AB40" s="3482">
        <v>44324.000497685185</v>
      </c>
      <c r="AC40" s="3482">
        <v>44342.000497685185</v>
      </c>
      <c r="AD40" s="3481" t="s">
        <v>3876</v>
      </c>
      <c r="AE40" s="3481" t="s">
        <v>3543</v>
      </c>
      <c r="AF40" s="3481" t="s">
        <v>3877</v>
      </c>
      <c r="AG40" s="3481" t="s">
        <v>3718</v>
      </c>
      <c r="AH40" s="3481" t="s">
        <v>3719</v>
      </c>
      <c r="AI40" s="3481">
        <v>593000</v>
      </c>
      <c r="AJ40" s="3481">
        <v>120000</v>
      </c>
      <c r="AK40" s="3481" t="s">
        <v>3844</v>
      </c>
      <c r="AL40" s="3481">
        <v>682000</v>
      </c>
      <c r="AM40" s="3481">
        <v>4647.75</v>
      </c>
      <c r="AN40" s="3481">
        <v>5345.3</v>
      </c>
      <c r="AO40" s="3481">
        <v>24466</v>
      </c>
      <c r="AP40" s="3481">
        <v>28138</v>
      </c>
      <c r="AQ40" s="3481" t="s">
        <v>3538</v>
      </c>
      <c r="AR40" s="3481" t="s">
        <v>3538</v>
      </c>
      <c r="AS40" s="3481">
        <v>15.01</v>
      </c>
      <c r="AT40" s="3481" t="s">
        <v>3845</v>
      </c>
      <c r="AU40" s="3481">
        <v>682000</v>
      </c>
      <c r="AV40" s="3481" t="s">
        <v>3557</v>
      </c>
      <c r="AW40" s="3481" t="s">
        <v>3537</v>
      </c>
      <c r="AX40" s="3481">
        <v>28138</v>
      </c>
      <c r="AY40" s="3481">
        <v>15.01</v>
      </c>
      <c r="AZ40" s="3481" t="s">
        <v>3538</v>
      </c>
    </row>
    <row r="41" spans="1:52">
      <c r="A41" s="3481" t="s">
        <v>3878</v>
      </c>
      <c r="B41" s="3481" t="s">
        <v>3378</v>
      </c>
      <c r="C41" s="3481" t="s">
        <v>3879</v>
      </c>
      <c r="D41" s="3481" t="s">
        <v>3529</v>
      </c>
      <c r="E41" s="3481" t="s">
        <v>3530</v>
      </c>
      <c r="F41" s="3481" t="s">
        <v>3642</v>
      </c>
      <c r="G41" s="3481" t="s">
        <v>3643</v>
      </c>
      <c r="H41" s="3481" t="s">
        <v>3533</v>
      </c>
      <c r="I41" s="3481">
        <v>16028.4</v>
      </c>
      <c r="J41" s="3481">
        <v>25645.439999999999</v>
      </c>
      <c r="K41" s="3481" t="s">
        <v>3866</v>
      </c>
      <c r="L41" s="3481" t="s">
        <v>3534</v>
      </c>
      <c r="M41" s="3481" t="s">
        <v>3535</v>
      </c>
      <c r="N41" s="3481" t="s">
        <v>3835</v>
      </c>
      <c r="O41" s="3481" t="s">
        <v>3537</v>
      </c>
      <c r="P41" s="3481" t="s">
        <v>3538</v>
      </c>
      <c r="Q41" s="3481" t="s">
        <v>3880</v>
      </c>
      <c r="R41" s="3481" t="s">
        <v>3881</v>
      </c>
      <c r="S41" s="3481" t="s">
        <v>3882</v>
      </c>
      <c r="T41" s="3481" t="s">
        <v>3839</v>
      </c>
      <c r="U41" s="3481" t="s">
        <v>3840</v>
      </c>
      <c r="V41" s="3481">
        <v>0</v>
      </c>
      <c r="W41" s="3481">
        <v>0</v>
      </c>
      <c r="X41" s="3481">
        <v>0</v>
      </c>
      <c r="Y41" s="3481">
        <v>0</v>
      </c>
      <c r="Z41" s="3482">
        <v>44286.000497685185</v>
      </c>
      <c r="AA41" s="3482">
        <v>44308.000497685185</v>
      </c>
      <c r="AB41" s="3482">
        <v>44324.000497685185</v>
      </c>
      <c r="AC41" s="3482">
        <v>44327.000497685185</v>
      </c>
      <c r="AD41" s="3481" t="s">
        <v>3883</v>
      </c>
      <c r="AE41" s="3481" t="s">
        <v>3543</v>
      </c>
      <c r="AF41" s="3481" t="s">
        <v>3884</v>
      </c>
      <c r="AG41" s="3481" t="s">
        <v>3885</v>
      </c>
      <c r="AH41" s="3481" t="s">
        <v>3556</v>
      </c>
      <c r="AI41" s="3481">
        <v>55500</v>
      </c>
      <c r="AJ41" s="3481">
        <v>12000</v>
      </c>
      <c r="AK41" s="3481" t="s">
        <v>3844</v>
      </c>
      <c r="AL41" s="3481">
        <v>66600</v>
      </c>
      <c r="AM41" s="3481">
        <v>2308.4</v>
      </c>
      <c r="AN41" s="3481">
        <v>2770.08</v>
      </c>
      <c r="AO41" s="3481">
        <v>21641</v>
      </c>
      <c r="AP41" s="3481">
        <v>25970</v>
      </c>
      <c r="AQ41" s="3481" t="s">
        <v>3538</v>
      </c>
      <c r="AR41" s="3481" t="s">
        <v>3538</v>
      </c>
      <c r="AS41" s="3481">
        <v>20</v>
      </c>
      <c r="AT41" s="3481" t="s">
        <v>3845</v>
      </c>
      <c r="AU41" s="3481">
        <v>66600</v>
      </c>
      <c r="AV41" s="3481" t="s">
        <v>3557</v>
      </c>
      <c r="AW41" s="3481" t="s">
        <v>3537</v>
      </c>
      <c r="AX41" s="3481">
        <v>25970</v>
      </c>
      <c r="AY41" s="3481">
        <v>20</v>
      </c>
      <c r="AZ41" s="3481" t="s">
        <v>3538</v>
      </c>
    </row>
    <row r="42" spans="1:52">
      <c r="A42" s="3481" t="s">
        <v>3886</v>
      </c>
      <c r="B42" s="3481" t="s">
        <v>3378</v>
      </c>
      <c r="C42" s="3481" t="s">
        <v>3887</v>
      </c>
      <c r="D42" s="3481" t="s">
        <v>3529</v>
      </c>
      <c r="E42" s="3481" t="s">
        <v>3559</v>
      </c>
      <c r="F42" s="3481" t="s">
        <v>3675</v>
      </c>
      <c r="G42" s="3481" t="s">
        <v>3736</v>
      </c>
      <c r="H42" s="3481" t="s">
        <v>3533</v>
      </c>
      <c r="I42" s="3481">
        <v>32382.01</v>
      </c>
      <c r="J42" s="3481">
        <v>80955</v>
      </c>
      <c r="K42" s="3481" t="s">
        <v>3888</v>
      </c>
      <c r="L42" s="3481" t="s">
        <v>3534</v>
      </c>
      <c r="M42" s="3481" t="s">
        <v>3535</v>
      </c>
      <c r="N42" s="3481" t="s">
        <v>3835</v>
      </c>
      <c r="O42" s="3481" t="s">
        <v>3537</v>
      </c>
      <c r="P42" s="3481" t="s">
        <v>3538</v>
      </c>
      <c r="Q42" s="3481" t="s">
        <v>3889</v>
      </c>
      <c r="R42" s="3481" t="s">
        <v>3890</v>
      </c>
      <c r="S42" s="3481" t="s">
        <v>3890</v>
      </c>
      <c r="T42" s="3481" t="s">
        <v>3839</v>
      </c>
      <c r="U42" s="3481" t="s">
        <v>3840</v>
      </c>
      <c r="V42" s="3481">
        <v>0</v>
      </c>
      <c r="W42" s="3481">
        <v>0</v>
      </c>
      <c r="X42" s="3481">
        <v>0</v>
      </c>
      <c r="Y42" s="3481">
        <v>0</v>
      </c>
      <c r="Z42" s="3482">
        <v>44286.000497685185</v>
      </c>
      <c r="AA42" s="3482">
        <v>44308.000497685185</v>
      </c>
      <c r="AB42" s="3482">
        <v>44324.000497685185</v>
      </c>
      <c r="AC42" s="3482">
        <v>44340.000497685185</v>
      </c>
      <c r="AD42" s="3481" t="s">
        <v>3891</v>
      </c>
      <c r="AE42" s="3481" t="s">
        <v>3543</v>
      </c>
      <c r="AF42" s="3481" t="s">
        <v>3892</v>
      </c>
      <c r="AG42" s="3481" t="s">
        <v>3893</v>
      </c>
      <c r="AH42" s="3481" t="s">
        <v>3894</v>
      </c>
      <c r="AI42" s="3481">
        <v>300000</v>
      </c>
      <c r="AJ42" s="3481">
        <v>60000</v>
      </c>
      <c r="AK42" s="3481" t="s">
        <v>3844</v>
      </c>
      <c r="AL42" s="3481">
        <v>315000</v>
      </c>
      <c r="AM42" s="3481">
        <v>6176.27</v>
      </c>
      <c r="AN42" s="3481">
        <v>6485.08</v>
      </c>
      <c r="AO42" s="3481">
        <v>37058</v>
      </c>
      <c r="AP42" s="3481">
        <v>38911</v>
      </c>
      <c r="AQ42" s="3481" t="s">
        <v>3538</v>
      </c>
      <c r="AR42" s="3481" t="s">
        <v>3538</v>
      </c>
      <c r="AS42" s="3481">
        <v>5</v>
      </c>
      <c r="AT42" s="3481" t="s">
        <v>3845</v>
      </c>
      <c r="AU42" s="3481" t="s">
        <v>3537</v>
      </c>
      <c r="AV42" s="3481" t="s">
        <v>3538</v>
      </c>
      <c r="AW42" s="3481" t="s">
        <v>3537</v>
      </c>
      <c r="AX42" s="3481" t="s">
        <v>3538</v>
      </c>
      <c r="AY42" s="3481" t="s">
        <v>3538</v>
      </c>
      <c r="AZ42" s="3481" t="s">
        <v>3538</v>
      </c>
    </row>
    <row r="43" spans="1:52">
      <c r="A43" s="3481" t="s">
        <v>3895</v>
      </c>
      <c r="B43" s="3481" t="s">
        <v>3378</v>
      </c>
      <c r="C43" s="3481" t="s">
        <v>3896</v>
      </c>
      <c r="D43" s="3481" t="s">
        <v>3529</v>
      </c>
      <c r="E43" s="3481" t="s">
        <v>3559</v>
      </c>
      <c r="F43" s="3481" t="s">
        <v>3585</v>
      </c>
      <c r="G43" s="3481" t="s">
        <v>3602</v>
      </c>
      <c r="H43" s="3481" t="s">
        <v>3533</v>
      </c>
      <c r="I43" s="3481">
        <v>41186.94</v>
      </c>
      <c r="J43" s="3481">
        <v>102967</v>
      </c>
      <c r="K43" s="3481" t="s">
        <v>3658</v>
      </c>
      <c r="L43" s="3481" t="s">
        <v>3534</v>
      </c>
      <c r="M43" s="3481" t="s">
        <v>3535</v>
      </c>
      <c r="N43" s="3481" t="s">
        <v>3835</v>
      </c>
      <c r="O43" s="3481" t="s">
        <v>3537</v>
      </c>
      <c r="P43" s="3481" t="s">
        <v>3850</v>
      </c>
      <c r="Q43" s="3481" t="s">
        <v>3851</v>
      </c>
      <c r="R43" s="3481" t="s">
        <v>3890</v>
      </c>
      <c r="S43" s="3481" t="s">
        <v>3897</v>
      </c>
      <c r="T43" s="3481" t="s">
        <v>3839</v>
      </c>
      <c r="U43" s="3481" t="s">
        <v>3840</v>
      </c>
      <c r="V43" s="3481">
        <v>10300</v>
      </c>
      <c r="W43" s="3481">
        <v>10300</v>
      </c>
      <c r="X43" s="3481">
        <v>0</v>
      </c>
      <c r="Y43" s="3481">
        <v>0</v>
      </c>
      <c r="Z43" s="3482">
        <v>44286.000497685185</v>
      </c>
      <c r="AA43" s="3482">
        <v>44308.000497685185</v>
      </c>
      <c r="AB43" s="3482">
        <v>44324.000497685185</v>
      </c>
      <c r="AC43" s="3482">
        <v>44326.000497685185</v>
      </c>
      <c r="AD43" s="3481" t="s">
        <v>3898</v>
      </c>
      <c r="AE43" s="3481" t="s">
        <v>3543</v>
      </c>
      <c r="AF43" s="3481" t="s">
        <v>3899</v>
      </c>
      <c r="AG43" s="3481" t="s">
        <v>3900</v>
      </c>
      <c r="AH43" s="3481" t="s">
        <v>3901</v>
      </c>
      <c r="AI43" s="3481">
        <v>443000</v>
      </c>
      <c r="AJ43" s="3481">
        <v>89000</v>
      </c>
      <c r="AK43" s="3481" t="s">
        <v>3844</v>
      </c>
      <c r="AL43" s="3481">
        <v>509400</v>
      </c>
      <c r="AM43" s="3481">
        <v>7170.56</v>
      </c>
      <c r="AN43" s="3481">
        <v>8245.33</v>
      </c>
      <c r="AO43" s="3481">
        <v>43023</v>
      </c>
      <c r="AP43" s="3481">
        <v>49472</v>
      </c>
      <c r="AQ43" s="3481">
        <v>47806</v>
      </c>
      <c r="AR43" s="3481">
        <v>54971</v>
      </c>
      <c r="AS43" s="3481">
        <v>14.99</v>
      </c>
      <c r="AT43" s="3481" t="s">
        <v>3845</v>
      </c>
      <c r="AU43" s="3481">
        <v>509400</v>
      </c>
      <c r="AV43" s="3481" t="s">
        <v>3557</v>
      </c>
      <c r="AW43" s="3481" t="s">
        <v>3537</v>
      </c>
      <c r="AX43" s="3481">
        <v>49472</v>
      </c>
      <c r="AY43" s="3481">
        <v>14.99</v>
      </c>
      <c r="AZ43" s="3481" t="s">
        <v>3538</v>
      </c>
    </row>
    <row r="44" spans="1:52">
      <c r="A44" s="3481" t="s">
        <v>3902</v>
      </c>
      <c r="B44" s="3481" t="s">
        <v>3378</v>
      </c>
      <c r="C44" s="3481" t="s">
        <v>3903</v>
      </c>
      <c r="D44" s="3481" t="s">
        <v>3529</v>
      </c>
      <c r="E44" s="3481" t="s">
        <v>3559</v>
      </c>
      <c r="F44" s="3481" t="s">
        <v>3675</v>
      </c>
      <c r="G44" s="3481" t="s">
        <v>3736</v>
      </c>
      <c r="H44" s="3481" t="s">
        <v>3533</v>
      </c>
      <c r="I44" s="3481">
        <v>48808.67</v>
      </c>
      <c r="J44" s="3481">
        <v>122022</v>
      </c>
      <c r="K44" s="3481" t="s">
        <v>3888</v>
      </c>
      <c r="L44" s="3481" t="s">
        <v>3534</v>
      </c>
      <c r="M44" s="3481" t="s">
        <v>3535</v>
      </c>
      <c r="N44" s="3481" t="s">
        <v>3835</v>
      </c>
      <c r="O44" s="3481">
        <v>0</v>
      </c>
      <c r="P44" s="3481" t="s">
        <v>3538</v>
      </c>
      <c r="Q44" s="3481" t="s">
        <v>3889</v>
      </c>
      <c r="R44" s="3481" t="s">
        <v>3890</v>
      </c>
      <c r="S44" s="3481" t="s">
        <v>3890</v>
      </c>
      <c r="T44" s="3481" t="s">
        <v>3839</v>
      </c>
      <c r="U44" s="3481" t="s">
        <v>3840</v>
      </c>
      <c r="V44" s="3481">
        <v>0</v>
      </c>
      <c r="W44" s="3481">
        <v>0</v>
      </c>
      <c r="X44" s="3481">
        <v>0</v>
      </c>
      <c r="Y44" s="3481">
        <v>0</v>
      </c>
      <c r="Z44" s="3482">
        <v>44286.000497685185</v>
      </c>
      <c r="AA44" s="3482">
        <v>44308.000497685185</v>
      </c>
      <c r="AB44" s="3482">
        <v>44324.000497685185</v>
      </c>
      <c r="AC44" s="3482">
        <v>44343.000497685185</v>
      </c>
      <c r="AD44" s="3481" t="s">
        <v>3904</v>
      </c>
      <c r="AE44" s="3481" t="s">
        <v>3543</v>
      </c>
      <c r="AF44" s="3481" t="s">
        <v>3905</v>
      </c>
      <c r="AG44" s="3481" t="s">
        <v>3906</v>
      </c>
      <c r="AH44" s="3481" t="s">
        <v>3907</v>
      </c>
      <c r="AI44" s="3481">
        <v>519000</v>
      </c>
      <c r="AJ44" s="3481">
        <v>104000</v>
      </c>
      <c r="AK44" s="3481" t="s">
        <v>3844</v>
      </c>
      <c r="AL44" s="3481">
        <v>545000</v>
      </c>
      <c r="AM44" s="3481">
        <v>7088.9</v>
      </c>
      <c r="AN44" s="3481">
        <v>7444.03</v>
      </c>
      <c r="AO44" s="3481">
        <v>42533</v>
      </c>
      <c r="AP44" s="3481">
        <v>44664</v>
      </c>
      <c r="AQ44" s="3481" t="s">
        <v>3538</v>
      </c>
      <c r="AR44" s="3481" t="s">
        <v>3538</v>
      </c>
      <c r="AS44" s="3481">
        <v>5.01</v>
      </c>
      <c r="AT44" s="3481" t="s">
        <v>3845</v>
      </c>
      <c r="AU44" s="3481">
        <v>545000</v>
      </c>
      <c r="AV44" s="3481" t="s">
        <v>3557</v>
      </c>
      <c r="AW44" s="3481" t="s">
        <v>3537</v>
      </c>
      <c r="AX44" s="3481">
        <v>44664</v>
      </c>
      <c r="AY44" s="3481">
        <v>5.01</v>
      </c>
      <c r="AZ44" s="3481" t="s">
        <v>3538</v>
      </c>
    </row>
    <row r="45" spans="1:52">
      <c r="A45" s="3481" t="s">
        <v>3908</v>
      </c>
      <c r="B45" s="3481" t="s">
        <v>3378</v>
      </c>
      <c r="C45" s="3481" t="s">
        <v>3909</v>
      </c>
      <c r="D45" s="3481" t="s">
        <v>3529</v>
      </c>
      <c r="E45" s="3481" t="s">
        <v>3559</v>
      </c>
      <c r="F45" s="3481" t="s">
        <v>3910</v>
      </c>
      <c r="G45" s="3481" t="s">
        <v>3911</v>
      </c>
      <c r="H45" s="3481" t="s">
        <v>3533</v>
      </c>
      <c r="I45" s="3481">
        <v>38953.300000000003</v>
      </c>
      <c r="J45" s="3481">
        <v>50639</v>
      </c>
      <c r="K45" s="3481" t="s">
        <v>3912</v>
      </c>
      <c r="L45" s="3481" t="s">
        <v>3534</v>
      </c>
      <c r="M45" s="3481" t="s">
        <v>3535</v>
      </c>
      <c r="N45" s="3481" t="s">
        <v>3835</v>
      </c>
      <c r="O45" s="3481" t="s">
        <v>3537</v>
      </c>
      <c r="P45" s="3481" t="s">
        <v>3850</v>
      </c>
      <c r="Q45" s="3481" t="s">
        <v>3913</v>
      </c>
      <c r="R45" s="3481" t="s">
        <v>3868</v>
      </c>
      <c r="S45" s="3481" t="s">
        <v>3541</v>
      </c>
      <c r="T45" s="3481" t="s">
        <v>3538</v>
      </c>
      <c r="U45" s="3481" t="s">
        <v>3538</v>
      </c>
      <c r="V45" s="3481" t="s">
        <v>3538</v>
      </c>
      <c r="W45" s="3481">
        <v>0</v>
      </c>
      <c r="X45" s="3481">
        <v>0</v>
      </c>
      <c r="Y45" s="3481">
        <v>0</v>
      </c>
      <c r="Z45" s="3482">
        <v>44286.000497685185</v>
      </c>
      <c r="AA45" s="3482">
        <v>44308.000497685185</v>
      </c>
      <c r="AB45" s="3482">
        <v>44324.000497685185</v>
      </c>
      <c r="AC45" s="3482">
        <v>44326.000497685185</v>
      </c>
      <c r="AD45" s="3481" t="s">
        <v>3914</v>
      </c>
      <c r="AE45" s="3481" t="s">
        <v>3543</v>
      </c>
      <c r="AF45" s="3481" t="s">
        <v>3915</v>
      </c>
      <c r="AG45" s="3481" t="s">
        <v>3871</v>
      </c>
      <c r="AH45" s="3481" t="s">
        <v>3556</v>
      </c>
      <c r="AI45" s="3481">
        <v>258300</v>
      </c>
      <c r="AJ45" s="3481">
        <v>51660</v>
      </c>
      <c r="AK45" s="3481" t="s">
        <v>3844</v>
      </c>
      <c r="AL45" s="3481">
        <v>268300</v>
      </c>
      <c r="AM45" s="3481">
        <v>4420.68</v>
      </c>
      <c r="AN45" s="3481">
        <v>4591.82</v>
      </c>
      <c r="AO45" s="3481">
        <v>51008</v>
      </c>
      <c r="AP45" s="3481">
        <v>52983</v>
      </c>
      <c r="AQ45" s="3481" t="s">
        <v>3538</v>
      </c>
      <c r="AR45" s="3481" t="s">
        <v>3538</v>
      </c>
      <c r="AS45" s="3481">
        <v>3.87</v>
      </c>
      <c r="AT45" s="3481" t="s">
        <v>3845</v>
      </c>
      <c r="AU45" s="3481">
        <v>268300</v>
      </c>
      <c r="AV45" s="3481" t="s">
        <v>3557</v>
      </c>
      <c r="AW45" s="3481" t="s">
        <v>3537</v>
      </c>
      <c r="AX45" s="3481">
        <v>52983</v>
      </c>
      <c r="AY45" s="3481">
        <v>3.87</v>
      </c>
      <c r="AZ45" s="3481" t="s">
        <v>3538</v>
      </c>
    </row>
    <row r="46" spans="1:52">
      <c r="A46" s="3481" t="s">
        <v>3916</v>
      </c>
      <c r="B46" s="3481" t="s">
        <v>3378</v>
      </c>
      <c r="C46" s="3481" t="s">
        <v>3917</v>
      </c>
      <c r="D46" s="3481" t="s">
        <v>3529</v>
      </c>
      <c r="E46" s="3481" t="s">
        <v>3559</v>
      </c>
      <c r="F46" s="3481" t="s">
        <v>3585</v>
      </c>
      <c r="G46" s="3481" t="s">
        <v>3918</v>
      </c>
      <c r="H46" s="3481" t="s">
        <v>3533</v>
      </c>
      <c r="I46" s="3481">
        <v>17102.490000000002</v>
      </c>
      <c r="J46" s="3481">
        <v>47887</v>
      </c>
      <c r="K46" s="3481" t="s">
        <v>3685</v>
      </c>
      <c r="L46" s="3481" t="s">
        <v>3534</v>
      </c>
      <c r="M46" s="3481" t="s">
        <v>3535</v>
      </c>
      <c r="N46" s="3481" t="s">
        <v>3835</v>
      </c>
      <c r="O46" s="3481" t="s">
        <v>3537</v>
      </c>
      <c r="P46" s="3481" t="s">
        <v>3538</v>
      </c>
      <c r="Q46" s="3481" t="s">
        <v>3858</v>
      </c>
      <c r="R46" s="3481" t="s">
        <v>3890</v>
      </c>
      <c r="S46" s="3481" t="s">
        <v>3897</v>
      </c>
      <c r="T46" s="3481" t="s">
        <v>3839</v>
      </c>
      <c r="U46" s="3481" t="s">
        <v>3840</v>
      </c>
      <c r="V46" s="3481">
        <v>0</v>
      </c>
      <c r="W46" s="3481">
        <v>0</v>
      </c>
      <c r="X46" s="3481">
        <v>0</v>
      </c>
      <c r="Y46" s="3481">
        <v>0</v>
      </c>
      <c r="Z46" s="3482">
        <v>44286.000497685185</v>
      </c>
      <c r="AA46" s="3482">
        <v>44308.000497685185</v>
      </c>
      <c r="AB46" s="3482">
        <v>44324.000497685185</v>
      </c>
      <c r="AC46" s="3482">
        <v>44326.000497685185</v>
      </c>
      <c r="AD46" s="3481" t="s">
        <v>3919</v>
      </c>
      <c r="AE46" s="3481" t="s">
        <v>3543</v>
      </c>
      <c r="AF46" s="3481" t="s">
        <v>3920</v>
      </c>
      <c r="AG46" s="3481" t="s">
        <v>3921</v>
      </c>
      <c r="AH46" s="3481" t="s">
        <v>3568</v>
      </c>
      <c r="AI46" s="3481">
        <v>217000</v>
      </c>
      <c r="AJ46" s="3481">
        <v>44000</v>
      </c>
      <c r="AK46" s="3481" t="s">
        <v>3844</v>
      </c>
      <c r="AL46" s="3481">
        <v>228000</v>
      </c>
      <c r="AM46" s="3481">
        <v>8458.81</v>
      </c>
      <c r="AN46" s="3481">
        <v>8887.59</v>
      </c>
      <c r="AO46" s="3481">
        <v>45315</v>
      </c>
      <c r="AP46" s="3481">
        <v>47612</v>
      </c>
      <c r="AQ46" s="3481" t="s">
        <v>3538</v>
      </c>
      <c r="AR46" s="3481" t="s">
        <v>3538</v>
      </c>
      <c r="AS46" s="3481">
        <v>5.07</v>
      </c>
      <c r="AT46" s="3481" t="s">
        <v>3845</v>
      </c>
      <c r="AU46" s="3481">
        <v>228000</v>
      </c>
      <c r="AV46" s="3481" t="s">
        <v>3557</v>
      </c>
      <c r="AW46" s="3481" t="s">
        <v>3537</v>
      </c>
      <c r="AX46" s="3481">
        <v>47612</v>
      </c>
      <c r="AY46" s="3481">
        <v>5.07</v>
      </c>
      <c r="AZ46" s="3481" t="s">
        <v>3538</v>
      </c>
    </row>
    <row r="47" spans="1:52">
      <c r="A47" s="3481" t="s">
        <v>3922</v>
      </c>
      <c r="B47" s="3481" t="s">
        <v>3378</v>
      </c>
      <c r="C47" s="3481" t="s">
        <v>3923</v>
      </c>
      <c r="D47" s="3481" t="s">
        <v>3529</v>
      </c>
      <c r="E47" s="3481" t="s">
        <v>3559</v>
      </c>
      <c r="F47" s="3481" t="s">
        <v>3585</v>
      </c>
      <c r="G47" s="3481" t="s">
        <v>3602</v>
      </c>
      <c r="H47" s="3481" t="s">
        <v>3533</v>
      </c>
      <c r="I47" s="3481">
        <v>34118.69</v>
      </c>
      <c r="J47" s="3481">
        <v>85297</v>
      </c>
      <c r="K47" s="3481" t="s">
        <v>3658</v>
      </c>
      <c r="L47" s="3481" t="s">
        <v>3534</v>
      </c>
      <c r="M47" s="3481" t="s">
        <v>3535</v>
      </c>
      <c r="N47" s="3481" t="s">
        <v>3835</v>
      </c>
      <c r="O47" s="3481" t="s">
        <v>3537</v>
      </c>
      <c r="P47" s="3481" t="s">
        <v>3850</v>
      </c>
      <c r="Q47" s="3481" t="s">
        <v>3851</v>
      </c>
      <c r="R47" s="3481" t="s">
        <v>3890</v>
      </c>
      <c r="S47" s="3481" t="s">
        <v>3897</v>
      </c>
      <c r="T47" s="3481" t="s">
        <v>3839</v>
      </c>
      <c r="U47" s="3481" t="s">
        <v>3840</v>
      </c>
      <c r="V47" s="3481">
        <v>8600</v>
      </c>
      <c r="W47" s="3481">
        <v>8600</v>
      </c>
      <c r="X47" s="3481">
        <v>0</v>
      </c>
      <c r="Y47" s="3481">
        <v>0</v>
      </c>
      <c r="Z47" s="3482">
        <v>44286.000497685185</v>
      </c>
      <c r="AA47" s="3482">
        <v>44308.000497685185</v>
      </c>
      <c r="AB47" s="3482">
        <v>44324.000497685185</v>
      </c>
      <c r="AC47" s="3482">
        <v>44326.000497685185</v>
      </c>
      <c r="AD47" s="3481" t="s">
        <v>3924</v>
      </c>
      <c r="AE47" s="3481" t="s">
        <v>3543</v>
      </c>
      <c r="AF47" s="3481" t="s">
        <v>3925</v>
      </c>
      <c r="AG47" s="3481" t="s">
        <v>3926</v>
      </c>
      <c r="AH47" s="3481" t="s">
        <v>3598</v>
      </c>
      <c r="AI47" s="3481">
        <v>367000</v>
      </c>
      <c r="AJ47" s="3481">
        <v>74000</v>
      </c>
      <c r="AK47" s="3481" t="s">
        <v>3844</v>
      </c>
      <c r="AL47" s="3481">
        <v>422000</v>
      </c>
      <c r="AM47" s="3481">
        <v>7171.05</v>
      </c>
      <c r="AN47" s="3481">
        <v>8245.7199999999993</v>
      </c>
      <c r="AO47" s="3481">
        <v>43026</v>
      </c>
      <c r="AP47" s="3481">
        <v>49474</v>
      </c>
      <c r="AQ47" s="3481">
        <v>47851</v>
      </c>
      <c r="AR47" s="3481">
        <v>55022</v>
      </c>
      <c r="AS47" s="3481">
        <v>14.99</v>
      </c>
      <c r="AT47" s="3481" t="s">
        <v>3845</v>
      </c>
      <c r="AU47" s="3481">
        <v>422000</v>
      </c>
      <c r="AV47" s="3481" t="s">
        <v>3557</v>
      </c>
      <c r="AW47" s="3481" t="s">
        <v>3537</v>
      </c>
      <c r="AX47" s="3481">
        <v>49474</v>
      </c>
      <c r="AY47" s="3481">
        <v>14.99</v>
      </c>
      <c r="AZ47" s="3481" t="s">
        <v>3538</v>
      </c>
    </row>
    <row r="48" spans="1:52">
      <c r="A48" s="3481" t="s">
        <v>3927</v>
      </c>
      <c r="B48" s="3481" t="s">
        <v>3378</v>
      </c>
      <c r="C48" s="3481" t="s">
        <v>3928</v>
      </c>
      <c r="D48" s="3481" t="s">
        <v>3529</v>
      </c>
      <c r="E48" s="3481" t="s">
        <v>3559</v>
      </c>
      <c r="F48" s="3481" t="s">
        <v>3675</v>
      </c>
      <c r="G48" s="3481" t="s">
        <v>3736</v>
      </c>
      <c r="H48" s="3481" t="s">
        <v>3573</v>
      </c>
      <c r="I48" s="3481">
        <v>32742.57</v>
      </c>
      <c r="J48" s="3481">
        <v>73016</v>
      </c>
      <c r="K48" s="3481" t="s">
        <v>3929</v>
      </c>
      <c r="L48" s="3481" t="s">
        <v>3534</v>
      </c>
      <c r="M48" s="3481" t="s">
        <v>3693</v>
      </c>
      <c r="N48" s="3481" t="s">
        <v>3835</v>
      </c>
      <c r="O48" s="3481" t="s">
        <v>3537</v>
      </c>
      <c r="P48" s="3481" t="s">
        <v>3538</v>
      </c>
      <c r="Q48" s="3481" t="s">
        <v>3930</v>
      </c>
      <c r="R48" s="3481" t="s">
        <v>3890</v>
      </c>
      <c r="S48" s="3481" t="s">
        <v>3890</v>
      </c>
      <c r="T48" s="3481" t="s">
        <v>3839</v>
      </c>
      <c r="U48" s="3481" t="s">
        <v>3840</v>
      </c>
      <c r="V48" s="3481">
        <v>0</v>
      </c>
      <c r="W48" s="3481">
        <v>0</v>
      </c>
      <c r="X48" s="3481">
        <v>0</v>
      </c>
      <c r="Y48" s="3481">
        <v>0</v>
      </c>
      <c r="Z48" s="3482">
        <v>44286.000497685185</v>
      </c>
      <c r="AA48" s="3482">
        <v>44308.000497685185</v>
      </c>
      <c r="AB48" s="3482">
        <v>44324.000497685185</v>
      </c>
      <c r="AC48" s="3482">
        <v>44343.000497685185</v>
      </c>
      <c r="AD48" s="3481" t="s">
        <v>3931</v>
      </c>
      <c r="AE48" s="3481" t="s">
        <v>3543</v>
      </c>
      <c r="AF48" s="3481" t="s">
        <v>3932</v>
      </c>
      <c r="AG48" s="3481" t="s">
        <v>3933</v>
      </c>
      <c r="AH48" s="3481" t="s">
        <v>3568</v>
      </c>
      <c r="AI48" s="3481">
        <v>294500</v>
      </c>
      <c r="AJ48" s="3481">
        <v>59000</v>
      </c>
      <c r="AK48" s="3481" t="s">
        <v>3844</v>
      </c>
      <c r="AL48" s="3481">
        <v>309500</v>
      </c>
      <c r="AM48" s="3481">
        <v>5996.27</v>
      </c>
      <c r="AN48" s="3481">
        <v>6301.68</v>
      </c>
      <c r="AO48" s="3481">
        <v>40334</v>
      </c>
      <c r="AP48" s="3481">
        <v>42388</v>
      </c>
      <c r="AQ48" s="3481" t="s">
        <v>3538</v>
      </c>
      <c r="AR48" s="3481" t="s">
        <v>3538</v>
      </c>
      <c r="AS48" s="3481">
        <v>5.09</v>
      </c>
      <c r="AT48" s="3481" t="s">
        <v>3845</v>
      </c>
      <c r="AU48" s="3481">
        <v>309500</v>
      </c>
      <c r="AV48" s="3481" t="s">
        <v>3557</v>
      </c>
      <c r="AW48" s="3481" t="s">
        <v>3537</v>
      </c>
      <c r="AX48" s="3481">
        <v>42388</v>
      </c>
      <c r="AY48" s="3481">
        <v>5.09</v>
      </c>
      <c r="AZ48" s="3481" t="s">
        <v>3538</v>
      </c>
    </row>
    <row r="49" spans="1:52">
      <c r="A49" s="3481" t="s">
        <v>3934</v>
      </c>
      <c r="B49" s="3481" t="s">
        <v>3378</v>
      </c>
      <c r="C49" s="3481" t="s">
        <v>3935</v>
      </c>
      <c r="D49" s="3481" t="s">
        <v>3529</v>
      </c>
      <c r="E49" s="3481" t="s">
        <v>3617</v>
      </c>
      <c r="F49" s="3481" t="s">
        <v>3864</v>
      </c>
      <c r="G49" s="3481" t="s">
        <v>3865</v>
      </c>
      <c r="H49" s="3481" t="s">
        <v>3533</v>
      </c>
      <c r="I49" s="3481">
        <v>52686.19</v>
      </c>
      <c r="J49" s="3481">
        <v>83160</v>
      </c>
      <c r="K49" s="3481" t="s">
        <v>3866</v>
      </c>
      <c r="L49" s="3481" t="s">
        <v>3534</v>
      </c>
      <c r="M49" s="3481" t="s">
        <v>3535</v>
      </c>
      <c r="N49" s="3481" t="s">
        <v>3835</v>
      </c>
      <c r="O49" s="3481" t="s">
        <v>3537</v>
      </c>
      <c r="P49" s="3481" t="s">
        <v>3538</v>
      </c>
      <c r="Q49" s="3481" t="s">
        <v>3867</v>
      </c>
      <c r="R49" s="3481" t="s">
        <v>3936</v>
      </c>
      <c r="S49" s="3481" t="s">
        <v>3936</v>
      </c>
      <c r="T49" s="3481" t="s">
        <v>3538</v>
      </c>
      <c r="U49" s="3481" t="s">
        <v>3538</v>
      </c>
      <c r="V49" s="3481">
        <v>0</v>
      </c>
      <c r="W49" s="3481">
        <v>0</v>
      </c>
      <c r="X49" s="3481">
        <v>0</v>
      </c>
      <c r="Y49" s="3481">
        <v>0</v>
      </c>
      <c r="Z49" s="3482">
        <v>44286.000497685185</v>
      </c>
      <c r="AA49" s="3482">
        <v>44308.000497685185</v>
      </c>
      <c r="AB49" s="3482">
        <v>44324.000497685185</v>
      </c>
      <c r="AC49" s="3482">
        <v>44342.000497685185</v>
      </c>
      <c r="AD49" s="3481" t="s">
        <v>3937</v>
      </c>
      <c r="AE49" s="3481" t="s">
        <v>3543</v>
      </c>
      <c r="AF49" s="3481" t="s">
        <v>3938</v>
      </c>
      <c r="AG49" s="3481" t="s">
        <v>3939</v>
      </c>
      <c r="AH49" s="3481" t="s">
        <v>3771</v>
      </c>
      <c r="AI49" s="3481">
        <v>559000</v>
      </c>
      <c r="AJ49" s="3481">
        <v>112000</v>
      </c>
      <c r="AK49" s="3481" t="s">
        <v>3844</v>
      </c>
      <c r="AL49" s="3481">
        <v>573000</v>
      </c>
      <c r="AM49" s="3481">
        <v>7073.33</v>
      </c>
      <c r="AN49" s="3481">
        <v>7250.48</v>
      </c>
      <c r="AO49" s="3481">
        <v>67220</v>
      </c>
      <c r="AP49" s="3481">
        <v>68903</v>
      </c>
      <c r="AQ49" s="3481" t="s">
        <v>3538</v>
      </c>
      <c r="AR49" s="3481" t="s">
        <v>3538</v>
      </c>
      <c r="AS49" s="3481">
        <v>2.5</v>
      </c>
      <c r="AT49" s="3481" t="s">
        <v>3845</v>
      </c>
      <c r="AU49" s="3481">
        <v>573000</v>
      </c>
      <c r="AV49" s="3481" t="s">
        <v>3557</v>
      </c>
      <c r="AW49" s="3481" t="s">
        <v>3537</v>
      </c>
      <c r="AX49" s="3481">
        <v>68903</v>
      </c>
      <c r="AY49" s="3481">
        <v>2.5</v>
      </c>
      <c r="AZ49" s="3481" t="s">
        <v>3538</v>
      </c>
    </row>
    <row r="50" spans="1:52">
      <c r="A50" s="3481" t="s">
        <v>3940</v>
      </c>
      <c r="B50" s="3481" t="s">
        <v>3378</v>
      </c>
      <c r="C50" s="3481" t="s">
        <v>3941</v>
      </c>
      <c r="D50" s="3481" t="s">
        <v>3529</v>
      </c>
      <c r="E50" s="3481" t="s">
        <v>3559</v>
      </c>
      <c r="F50" s="3481" t="s">
        <v>3910</v>
      </c>
      <c r="G50" s="3481" t="s">
        <v>3911</v>
      </c>
      <c r="H50" s="3481" t="s">
        <v>3533</v>
      </c>
      <c r="I50" s="3481">
        <v>57008.47</v>
      </c>
      <c r="J50" s="3481">
        <v>74111</v>
      </c>
      <c r="K50" s="3481" t="s">
        <v>3912</v>
      </c>
      <c r="L50" s="3481" t="s">
        <v>3534</v>
      </c>
      <c r="M50" s="3481" t="s">
        <v>3535</v>
      </c>
      <c r="N50" s="3481" t="s">
        <v>3835</v>
      </c>
      <c r="O50" s="3481" t="s">
        <v>3537</v>
      </c>
      <c r="P50" s="3481" t="s">
        <v>3850</v>
      </c>
      <c r="Q50" s="3481" t="s">
        <v>3913</v>
      </c>
      <c r="R50" s="3481" t="s">
        <v>3868</v>
      </c>
      <c r="S50" s="3481" t="s">
        <v>3541</v>
      </c>
      <c r="T50" s="3481" t="s">
        <v>3538</v>
      </c>
      <c r="U50" s="3481" t="s">
        <v>3538</v>
      </c>
      <c r="V50" s="3481">
        <v>0</v>
      </c>
      <c r="W50" s="3481">
        <v>0</v>
      </c>
      <c r="X50" s="3481">
        <v>0</v>
      </c>
      <c r="Y50" s="3481">
        <v>0</v>
      </c>
      <c r="Z50" s="3482">
        <v>44286.000497685185</v>
      </c>
      <c r="AA50" s="3482">
        <v>44308.000497685185</v>
      </c>
      <c r="AB50" s="3482">
        <v>44324.000497685185</v>
      </c>
      <c r="AC50" s="3482">
        <v>44326.000497685185</v>
      </c>
      <c r="AD50" s="3481" t="s">
        <v>3942</v>
      </c>
      <c r="AE50" s="3481" t="s">
        <v>3543</v>
      </c>
      <c r="AF50" s="3481" t="s">
        <v>3943</v>
      </c>
      <c r="AG50" s="3481" t="s">
        <v>3944</v>
      </c>
      <c r="AH50" s="3481" t="s">
        <v>3945</v>
      </c>
      <c r="AI50" s="3481">
        <v>378000</v>
      </c>
      <c r="AJ50" s="3481">
        <v>76000</v>
      </c>
      <c r="AK50" s="3481" t="s">
        <v>3844</v>
      </c>
      <c r="AL50" s="3481">
        <v>392700</v>
      </c>
      <c r="AM50" s="3481">
        <v>4420.3999999999996</v>
      </c>
      <c r="AN50" s="3481">
        <v>4592.3</v>
      </c>
      <c r="AO50" s="3481">
        <v>51005</v>
      </c>
      <c r="AP50" s="3481">
        <v>52988</v>
      </c>
      <c r="AQ50" s="3481" t="s">
        <v>3538</v>
      </c>
      <c r="AR50" s="3481" t="s">
        <v>3538</v>
      </c>
      <c r="AS50" s="3481">
        <v>3.89</v>
      </c>
      <c r="AT50" s="3481" t="s">
        <v>3845</v>
      </c>
      <c r="AU50" s="3481">
        <v>392700</v>
      </c>
      <c r="AV50" s="3481" t="s">
        <v>3557</v>
      </c>
      <c r="AW50" s="3481" t="s">
        <v>3537</v>
      </c>
      <c r="AX50" s="3481">
        <v>52988</v>
      </c>
      <c r="AY50" s="3481">
        <v>3.89</v>
      </c>
      <c r="AZ50" s="3481" t="s">
        <v>3538</v>
      </c>
    </row>
    <row r="51" spans="1:52">
      <c r="A51" s="3481" t="s">
        <v>3946</v>
      </c>
      <c r="B51" s="3481" t="s">
        <v>3378</v>
      </c>
      <c r="C51" s="3481" t="s">
        <v>3947</v>
      </c>
      <c r="D51" s="3481" t="s">
        <v>3529</v>
      </c>
      <c r="E51" s="3481" t="s">
        <v>3559</v>
      </c>
      <c r="F51" s="3481" t="s">
        <v>3585</v>
      </c>
      <c r="G51" s="3481" t="s">
        <v>3918</v>
      </c>
      <c r="H51" s="3481" t="s">
        <v>3533</v>
      </c>
      <c r="I51" s="3481">
        <v>26609.75</v>
      </c>
      <c r="J51" s="3481">
        <v>74507</v>
      </c>
      <c r="K51" s="3481" t="s">
        <v>3685</v>
      </c>
      <c r="L51" s="3481" t="s">
        <v>3534</v>
      </c>
      <c r="M51" s="3481" t="s">
        <v>3535</v>
      </c>
      <c r="N51" s="3481" t="s">
        <v>3536</v>
      </c>
      <c r="O51" s="3481" t="s">
        <v>3537</v>
      </c>
      <c r="P51" s="3481" t="s">
        <v>3538</v>
      </c>
      <c r="Q51" s="3481" t="s">
        <v>3948</v>
      </c>
      <c r="R51" s="3481" t="s">
        <v>3949</v>
      </c>
      <c r="S51" s="3481" t="s">
        <v>3950</v>
      </c>
      <c r="T51" s="3481" t="s">
        <v>3538</v>
      </c>
      <c r="U51" s="3481" t="s">
        <v>3538</v>
      </c>
      <c r="V51" s="3481" t="s">
        <v>3538</v>
      </c>
      <c r="W51" s="3481">
        <v>0</v>
      </c>
      <c r="X51" s="3481">
        <v>0</v>
      </c>
      <c r="Y51" s="3481">
        <v>0</v>
      </c>
      <c r="Z51" s="3482">
        <v>44145.000497685185</v>
      </c>
      <c r="AA51" s="3482">
        <v>44165.000497685185</v>
      </c>
      <c r="AB51" s="3482">
        <v>44179.000497685185</v>
      </c>
      <c r="AC51" s="3482">
        <v>44179.000497685185</v>
      </c>
      <c r="AD51" s="3481" t="s">
        <v>3951</v>
      </c>
      <c r="AE51" s="3481" t="s">
        <v>3543</v>
      </c>
      <c r="AF51" s="3481" t="s">
        <v>3952</v>
      </c>
      <c r="AG51" s="3481" t="s">
        <v>3953</v>
      </c>
      <c r="AH51" s="3481" t="s">
        <v>3954</v>
      </c>
      <c r="AI51" s="3481">
        <v>338400</v>
      </c>
      <c r="AJ51" s="3481">
        <v>68000</v>
      </c>
      <c r="AK51" s="3481" t="s">
        <v>3955</v>
      </c>
      <c r="AL51" s="3481">
        <v>350244</v>
      </c>
      <c r="AM51" s="3481">
        <v>8478.1</v>
      </c>
      <c r="AN51" s="3481">
        <v>8774.83</v>
      </c>
      <c r="AO51" s="3481">
        <v>45419</v>
      </c>
      <c r="AP51" s="3481">
        <v>47008</v>
      </c>
      <c r="AQ51" s="3481" t="s">
        <v>3538</v>
      </c>
      <c r="AR51" s="3481" t="s">
        <v>3538</v>
      </c>
      <c r="AS51" s="3481">
        <v>3.5</v>
      </c>
      <c r="AT51" s="3481" t="s">
        <v>3845</v>
      </c>
      <c r="AU51" s="3481" t="s">
        <v>3537</v>
      </c>
      <c r="AV51" s="3481" t="s">
        <v>3538</v>
      </c>
      <c r="AW51" s="3481">
        <v>71000</v>
      </c>
      <c r="AX51" s="3481" t="s">
        <v>3538</v>
      </c>
      <c r="AY51" s="3481" t="s">
        <v>3538</v>
      </c>
      <c r="AZ51" s="3481">
        <v>25581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54" sqref="D5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5">
        <f>MATCH(B1,'数据-取费表'!A6:A16,0)+5</f>
        <v>10</v>
      </c>
    </row>
    <row r="2" spans="1:9" s="200" customFormat="1" ht="18" customHeight="1">
      <c r="A2" s="201" t="s">
        <v>1461</v>
      </c>
      <c r="B2" s="202">
        <f ca="1">IF(D2="——",C52,C52-E2)</f>
        <v>148364</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27358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110697</v>
      </c>
      <c r="D5" s="211" t="s">
        <v>1468</v>
      </c>
      <c r="E5" s="212" t="s">
        <v>1469</v>
      </c>
      <c r="F5" s="212" t="s">
        <v>1470</v>
      </c>
      <c r="G5" s="213"/>
    </row>
    <row r="6" spans="1:9" s="214" customFormat="1" ht="13.5" customHeight="1">
      <c r="A6" s="777" t="s">
        <v>1471</v>
      </c>
      <c r="B6" s="215" t="s">
        <v>1472</v>
      </c>
      <c r="C6" s="216">
        <f>'土地比较法-住宅、综合'!F65</f>
        <v>106460</v>
      </c>
      <c r="D6" s="217"/>
      <c r="E6" s="218"/>
      <c r="F6" s="218"/>
      <c r="G6" s="219"/>
    </row>
    <row r="7" spans="1:9" s="214" customFormat="1" ht="13.5" customHeight="1">
      <c r="A7" s="777" t="s">
        <v>1473</v>
      </c>
      <c r="B7" s="215" t="s">
        <v>1474</v>
      </c>
      <c r="C7" s="220">
        <f>ROUND(C6*F7,0)</f>
        <v>3247</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990</v>
      </c>
      <c r="D8" s="222"/>
      <c r="E8" s="220"/>
      <c r="F8" s="221"/>
      <c r="G8" s="1855" t="s">
        <v>3980</v>
      </c>
    </row>
    <row r="9" spans="1:9" s="214" customFormat="1" ht="13.5" customHeight="1">
      <c r="A9" s="778" t="s">
        <v>355</v>
      </c>
      <c r="B9" s="224" t="s">
        <v>1477</v>
      </c>
      <c r="C9" s="225">
        <f ca="1">ROUND(D9*E9/10000,0)</f>
        <v>382</v>
      </c>
      <c r="D9" s="844">
        <f ca="1">IF(B1="",'数据-汇总表'!E5,IF(INDIRECT("'数据-取费表'!c"&amp;$G$1)="住宅",INDIRECT("'数据-取费表'!k"&amp;$G$1),0))</f>
        <v>23853.78</v>
      </c>
      <c r="E9" s="225">
        <f>'数据-取费表'!B27</f>
        <v>160</v>
      </c>
      <c r="F9" s="221"/>
      <c r="G9" s="1856" t="s">
        <v>3981</v>
      </c>
      <c r="H9" s="1136"/>
      <c r="I9" s="1857" t="s">
        <v>1478</v>
      </c>
    </row>
    <row r="10" spans="1:9" s="214" customFormat="1" ht="13.5" customHeight="1">
      <c r="A10" s="778" t="s">
        <v>356</v>
      </c>
      <c r="B10" s="224" t="s">
        <v>1479</v>
      </c>
      <c r="C10" s="225">
        <f ca="1">ROUND(D10*E10/10000,0)</f>
        <v>608</v>
      </c>
      <c r="D10" s="844">
        <f ca="1">IF(B1="",'数据-汇总表'!E6,IF(INDIRECT("'数据-取费表'!c"&amp;$G$1)="住宅",INDIRECT("'数据-取费表'!s"&amp;$G$1),INDIRECT("'数据-取费表'!k"&amp;$G$1)+INDIRECT("'数据-取费表'!s"&amp;$G$1)))</f>
        <v>30375.979999999967</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54229.759999999966</v>
      </c>
      <c r="E19" s="211">
        <f>'数据-取费表'!B31</f>
        <v>165</v>
      </c>
      <c r="F19" s="231"/>
      <c r="G19" s="1855" t="s">
        <v>3982</v>
      </c>
    </row>
    <row r="20" spans="1:7" s="214" customFormat="1" ht="13.5" customHeight="1">
      <c r="A20" s="255" t="s">
        <v>1492</v>
      </c>
      <c r="B20" s="210" t="s">
        <v>1493</v>
      </c>
      <c r="C20" s="232">
        <f ca="1">ROUND((C5+C19)*F20,0)</f>
        <v>2214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5793</v>
      </c>
      <c r="D22" s="235">
        <f ca="1">C26</f>
        <v>5.0000000000000001E-4</v>
      </c>
      <c r="E22" s="236" t="s">
        <v>1497</v>
      </c>
      <c r="F22" s="237">
        <f ca="1">'数据-取费表'!B40</f>
        <v>4.1499999999999995E-2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5736</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57</v>
      </c>
      <c r="D25" s="238"/>
      <c r="E25" s="241"/>
      <c r="F25" s="239"/>
      <c r="G25" s="242" t="s">
        <v>1509</v>
      </c>
    </row>
    <row r="26" spans="1:7" s="214" customFormat="1">
      <c r="A26" s="779"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5612</v>
      </c>
      <c r="D27" s="235">
        <f ca="1">C29</f>
        <v>1E-3</v>
      </c>
      <c r="E27" s="236" t="s">
        <v>1513</v>
      </c>
      <c r="F27" s="246">
        <f ca="1">IF(B1="",'数据-取费表'!Q16,INDIRECT("'数据-取费表'!q"&amp;$G$1))</f>
        <v>0.1</v>
      </c>
      <c r="G27" s="247" t="s">
        <v>1514</v>
      </c>
    </row>
    <row r="28" spans="1:7" s="214" customFormat="1" ht="13.5" customHeight="1">
      <c r="A28" s="779" t="s">
        <v>346</v>
      </c>
      <c r="B28" s="248" t="s">
        <v>1515</v>
      </c>
      <c r="C28" s="249">
        <f ca="1">ROUND((C5+C19+C20)*F27*'数据-取费表'!B21/'数据-取费表'!B20,0)</f>
        <v>5612</v>
      </c>
      <c r="D28" s="235"/>
      <c r="E28" s="236"/>
      <c r="F28" s="246"/>
      <c r="G28" s="247"/>
    </row>
    <row r="29" spans="1:7" s="214" customFormat="1" ht="13.5" customHeight="1">
      <c r="A29" s="779" t="s">
        <v>347</v>
      </c>
      <c r="B29" s="248" t="s">
        <v>1516</v>
      </c>
      <c r="C29" s="238">
        <f ca="1">ROUND(C21*F27*'数据-取费表'!B21/'数据-取费表'!B20,4)</f>
        <v>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134236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11384</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10266</v>
      </c>
      <c r="D34" s="217"/>
      <c r="E34" s="220"/>
      <c r="F34" s="257">
        <f ca="1">IF('数据-取费表'!B24=0,1,IF(B1="",'数据-取费表'!N16,INDIRECT("'数据-取费表'!n"&amp;$G$1)))</f>
        <v>0.497</v>
      </c>
      <c r="G34" s="219" t="s">
        <v>1525</v>
      </c>
    </row>
    <row r="35" spans="1:7" ht="13.5" customHeight="1">
      <c r="A35" s="779" t="s">
        <v>351</v>
      </c>
      <c r="B35" s="215" t="s">
        <v>1526</v>
      </c>
      <c r="C35" s="220">
        <f ca="1">ROUND(C34*F35,0)</f>
        <v>308</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117</v>
      </c>
      <c r="D36" s="220"/>
      <c r="E36" s="220"/>
      <c r="F36" s="259">
        <f>'数据-取费表'!B34</f>
        <v>0.03</v>
      </c>
      <c r="G36" s="260" t="s">
        <v>1529</v>
      </c>
    </row>
    <row r="37" spans="1:7" s="258" customFormat="1" ht="13.5" customHeight="1">
      <c r="A37" s="779" t="s">
        <v>353</v>
      </c>
      <c r="B37" s="215" t="s">
        <v>1530</v>
      </c>
      <c r="C37" s="249">
        <f ca="1">ROUND(E37*D37*F34/10000,0)</f>
        <v>539</v>
      </c>
      <c r="D37" s="217">
        <f ca="1">D19</f>
        <v>54229.759999999966</v>
      </c>
      <c r="E37" s="249">
        <f>'数据-取费表'!B35</f>
        <v>200</v>
      </c>
      <c r="F37" s="259"/>
      <c r="G37" s="261" t="s">
        <v>1531</v>
      </c>
    </row>
    <row r="38" spans="1:7" ht="13.5" customHeight="1">
      <c r="A38" s="779" t="s">
        <v>354</v>
      </c>
      <c r="B38" s="215" t="s">
        <v>1532</v>
      </c>
      <c r="C38" s="220">
        <f ca="1">ROUND(C34*F38,0)</f>
        <v>154</v>
      </c>
      <c r="D38" s="220"/>
      <c r="E38" s="220"/>
      <c r="F38" s="259">
        <f>'数据-取费表'!B36</f>
        <v>1.4999999999999999E-2</v>
      </c>
      <c r="G38" s="219" t="s">
        <v>1527</v>
      </c>
    </row>
    <row r="39" spans="1:7" s="214" customFormat="1" ht="13.5" customHeight="1">
      <c r="A39" s="255" t="s">
        <v>1533</v>
      </c>
      <c r="B39" s="210" t="s">
        <v>1534</v>
      </c>
      <c r="C39" s="232">
        <f ca="1">ROUND(C33*F20,0)</f>
        <v>228</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297</v>
      </c>
      <c r="D41" s="235">
        <f ca="1">C44</f>
        <v>5.0000000000000001E-4</v>
      </c>
      <c r="E41" s="236" t="s">
        <v>1538</v>
      </c>
      <c r="F41" s="237">
        <f ca="1">F22</f>
        <v>4.1499999999999995E-2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291</v>
      </c>
      <c r="D42" s="238"/>
      <c r="E42" s="238"/>
      <c r="F42" s="239"/>
      <c r="G42" s="3721" t="s">
        <v>1543</v>
      </c>
    </row>
    <row r="43" spans="1:7" ht="13.5" customHeight="1">
      <c r="A43" s="779" t="s">
        <v>347</v>
      </c>
      <c r="B43" s="215" t="s">
        <v>1544</v>
      </c>
      <c r="C43" s="238">
        <f ca="1">ROUND(IF('数据-取费表'!B22&lt;=1,C39*F22*'数据-取费表'!B21/2,C39*(POWER((1+F22),'数据-取费表'!B21/2)-1)),0)</f>
        <v>6</v>
      </c>
      <c r="D43" s="238"/>
      <c r="E43" s="238"/>
      <c r="F43" s="239"/>
      <c r="G43" s="3722"/>
    </row>
    <row r="44" spans="1:7" ht="13.5" customHeight="1">
      <c r="A44" s="779" t="s">
        <v>348</v>
      </c>
      <c r="B44" s="215" t="s">
        <v>1545</v>
      </c>
      <c r="C44" s="238">
        <f ca="1">ROUND(IF('数据-取费表'!B22&lt;=1,C40*F22*'数据-取费表'!B21/2,C40*(POWER((1+F22),'数据-取费表'!B21/2)-1)),4)</f>
        <v>5.0000000000000001E-4</v>
      </c>
      <c r="D44" s="238"/>
      <c r="E44" s="238"/>
      <c r="F44" s="239"/>
      <c r="G44" s="3723"/>
    </row>
    <row r="45" spans="1:7" s="214" customFormat="1" ht="13.5" customHeight="1">
      <c r="A45" s="255" t="s">
        <v>1546</v>
      </c>
      <c r="B45" s="244" t="s">
        <v>1512</v>
      </c>
      <c r="C45" s="245">
        <f ca="1">C46</f>
        <v>1161</v>
      </c>
      <c r="D45" s="235">
        <f ca="1">C47</f>
        <v>2E-3</v>
      </c>
      <c r="E45" s="236" t="s">
        <v>1538</v>
      </c>
      <c r="F45" s="246">
        <f ca="1">F27</f>
        <v>0.1</v>
      </c>
      <c r="G45" s="247" t="s">
        <v>1547</v>
      </c>
    </row>
    <row r="46" spans="1:7" s="214" customFormat="1" ht="13.5" customHeight="1">
      <c r="A46" s="779" t="s">
        <v>346</v>
      </c>
      <c r="B46" s="248" t="s">
        <v>1548</v>
      </c>
      <c r="C46" s="249">
        <f ca="1">ROUND((C33+C39)*F27,0)</f>
        <v>1161</v>
      </c>
      <c r="D46" s="263"/>
      <c r="E46" s="236"/>
      <c r="F46" s="246"/>
      <c r="G46" s="247"/>
    </row>
    <row r="47" spans="1:7" s="214" customFormat="1" ht="13.5" customHeight="1">
      <c r="A47" s="779" t="s">
        <v>347</v>
      </c>
      <c r="B47" s="248" t="s">
        <v>1549</v>
      </c>
      <c r="C47" s="238">
        <f ca="1">ROUND(C40*F27,4)</f>
        <v>2E-3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14128</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14128</v>
      </c>
      <c r="D51" s="232"/>
      <c r="E51" s="232"/>
      <c r="F51" s="264"/>
      <c r="G51" s="234" t="s">
        <v>1559</v>
      </c>
    </row>
    <row r="52" spans="1:7" s="208" customFormat="1" ht="16.5" thickBot="1">
      <c r="A52" s="265" t="s">
        <v>1560</v>
      </c>
      <c r="B52" s="266"/>
      <c r="C52" s="267">
        <f ca="1">C31+C51</f>
        <v>148364</v>
      </c>
      <c r="D52" s="266"/>
      <c r="E52" s="266"/>
      <c r="F52" s="266"/>
      <c r="G52" s="268"/>
    </row>
    <row r="55" spans="1:7" ht="15">
      <c r="B55" s="270" t="s">
        <v>1561</v>
      </c>
      <c r="C55" s="271"/>
    </row>
    <row r="56" spans="1:7">
      <c r="B56" s="273" t="s">
        <v>802</v>
      </c>
      <c r="C56" s="275">
        <f ca="1">1-C57</f>
        <v>0.90500000000000003</v>
      </c>
    </row>
    <row r="57" spans="1:7">
      <c r="B57" s="273" t="s">
        <v>803</v>
      </c>
      <c r="C57" s="274">
        <f ca="1">ROUND(C51/C52,3)</f>
        <v>9.5000000000000001E-2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5">
        <f>MATCH(B1,'数据-取费表'!A6:A16,0)+5</f>
        <v>10</v>
      </c>
      <c r="H1" s="1060" t="str">
        <f>IF(ISERROR(FIND("住宅",B1)),"非住宅","住宅")</f>
        <v>非住宅</v>
      </c>
    </row>
    <row r="2" spans="1:8" s="200" customFormat="1" ht="18" customHeight="1">
      <c r="A2" s="201" t="s">
        <v>1461</v>
      </c>
      <c r="B2" s="3420">
        <f ca="1">ROUND(IF(D2="——",C52/10000,C52/10000-E2),4)</f>
        <v>31694.778900000001</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5845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9891801</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9891801</v>
      </c>
      <c r="D8" s="222"/>
      <c r="E8" s="220"/>
      <c r="F8" s="221"/>
      <c r="G8" s="1855"/>
    </row>
    <row r="9" spans="1:8" s="214" customFormat="1" ht="13.5" customHeight="1">
      <c r="A9" s="778" t="s">
        <v>355</v>
      </c>
      <c r="B9" s="224" t="s">
        <v>1477</v>
      </c>
      <c r="C9" s="225">
        <f ca="1">ROUND(D9*E9,0)</f>
        <v>3816605</v>
      </c>
      <c r="D9" s="844">
        <f ca="1">IF(B1="",'数据-汇总表'!E5,IF(INDIRECT("'数据-取费表'!c"&amp;$G$1)="住宅",INDIRECT("'数据-取费表'!k"&amp;$G$1),0))</f>
        <v>23853.78</v>
      </c>
      <c r="E9" s="225">
        <f>'数据-取费表'!B27</f>
        <v>160</v>
      </c>
      <c r="F9" s="221"/>
      <c r="G9" s="226"/>
    </row>
    <row r="10" spans="1:8" s="214" customFormat="1" ht="13.5" customHeight="1">
      <c r="A10" s="778" t="s">
        <v>356</v>
      </c>
      <c r="B10" s="224" t="s">
        <v>1479</v>
      </c>
      <c r="C10" s="225">
        <f ca="1">ROUND(D10*E10,0)</f>
        <v>6075196</v>
      </c>
      <c r="D10" s="844">
        <f ca="1">IF(B1="",'数据-汇总表'!E6,IF(INDIRECT("'数据-取费表'!c"&amp;$G$1)="住宅",INDIRECT("'数据-取费表'!s"&amp;$G$1),INDIRECT("'数据-取费表'!k"&amp;$G$1)+INDIRECT("'数据-取费表'!s"&amp;$G$1)))</f>
        <v>30375.979999999967</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8947910</v>
      </c>
      <c r="D19" s="848">
        <f ca="1">D9+D10</f>
        <v>54229.759999999966</v>
      </c>
      <c r="E19" s="211">
        <f>'数据-取费表'!B31</f>
        <v>165</v>
      </c>
      <c r="F19" s="231"/>
      <c r="G19" s="1855"/>
    </row>
    <row r="20" spans="1:7" s="214" customFormat="1" ht="13.5" customHeight="1">
      <c r="A20" s="255" t="s">
        <v>1573</v>
      </c>
      <c r="B20" s="210" t="s">
        <v>1574</v>
      </c>
      <c r="C20" s="232">
        <f ca="1">ROUND((C5+C19)*F20,0)</f>
        <v>376794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2035523</v>
      </c>
      <c r="D22" s="235">
        <f ca="1">C26</f>
        <v>1E-3</v>
      </c>
      <c r="E22" s="236" t="s">
        <v>1578</v>
      </c>
      <c r="F22" s="237">
        <f ca="1">'数据-取费表'!B40</f>
        <v>4.1499999999999995E-2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1058437</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957439</v>
      </c>
      <c r="D24" s="238"/>
      <c r="E24" s="238"/>
      <c r="F24" s="239"/>
      <c r="G24" s="240" t="s">
        <v>1585</v>
      </c>
    </row>
    <row r="25" spans="1:7" s="214" customFormat="1" ht="24">
      <c r="A25" s="779" t="s">
        <v>1475</v>
      </c>
      <c r="B25" s="215" t="s">
        <v>1586</v>
      </c>
      <c r="C25" s="1127">
        <f ca="1">ROUND(IF('数据-取费表'!B22&lt;=1,C20*F22*'数据-取费表'!B22/2,C20*(POWER((1+F22),'数据-取费表'!B22/2)-1)),0)</f>
        <v>19647</v>
      </c>
      <c r="D25" s="238"/>
      <c r="E25" s="241"/>
      <c r="F25" s="239"/>
      <c r="G25" s="242" t="s">
        <v>1587</v>
      </c>
    </row>
    <row r="26" spans="1:7" s="214" customFormat="1">
      <c r="A26" s="779" t="s">
        <v>350</v>
      </c>
      <c r="B26" s="215" t="s">
        <v>1510</v>
      </c>
      <c r="C26" s="238">
        <f ca="1">ROUND(IF('数据-取费表'!B22&lt;=1,F21*F22*'数据-取费表'!B22/2,F21*(POWER((1+F22),'数据-取费表'!B22/2)-1)),4)</f>
        <v>1E-3</v>
      </c>
      <c r="D26" s="238"/>
      <c r="E26" s="241"/>
      <c r="F26" s="239"/>
      <c r="G26" s="243"/>
    </row>
    <row r="27" spans="1:7" s="214" customFormat="1" ht="24.75">
      <c r="A27" s="255" t="s">
        <v>1511</v>
      </c>
      <c r="B27" s="244" t="s">
        <v>1512</v>
      </c>
      <c r="C27" s="245">
        <f ca="1">C28</f>
        <v>1921651</v>
      </c>
      <c r="D27" s="235">
        <f ca="1">C29</f>
        <v>2E-3</v>
      </c>
      <c r="E27" s="236" t="s">
        <v>1513</v>
      </c>
      <c r="F27" s="246">
        <f ca="1">IF(B1="",'数据-取费表'!Q16,INDIRECT("'数据-取费表'!q"&amp;$G$1))</f>
        <v>0.1</v>
      </c>
      <c r="G27" s="247" t="s">
        <v>1514</v>
      </c>
    </row>
    <row r="28" spans="1:7" s="214" customFormat="1" ht="13.5" customHeight="1">
      <c r="A28" s="779" t="s">
        <v>346</v>
      </c>
      <c r="B28" s="248" t="s">
        <v>1515</v>
      </c>
      <c r="C28" s="249">
        <f ca="1">ROUND((C5+C19+C20)*F27,0)</f>
        <v>1921651</v>
      </c>
      <c r="D28" s="235"/>
      <c r="E28" s="236"/>
      <c r="F28" s="246"/>
      <c r="G28" s="247"/>
    </row>
    <row r="29" spans="1:7" s="214" customFormat="1" ht="13.5" customHeight="1">
      <c r="A29" s="779"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25063464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229645915</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206501806</v>
      </c>
      <c r="D34" s="217"/>
      <c r="E34" s="220"/>
      <c r="F34" s="257"/>
      <c r="G34" s="219"/>
    </row>
    <row r="35" spans="1:7" ht="13.5" customHeight="1">
      <c r="A35" s="779" t="s">
        <v>351</v>
      </c>
      <c r="B35" s="215" t="s">
        <v>1526</v>
      </c>
      <c r="C35" s="220">
        <f ca="1">ROUND(C34*F35,0)</f>
        <v>6195054</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3005576</v>
      </c>
      <c r="D36" s="220"/>
      <c r="E36" s="220"/>
      <c r="F36" s="259">
        <f>'数据-取费表'!B34</f>
        <v>0.03</v>
      </c>
      <c r="G36" s="260" t="s">
        <v>1529</v>
      </c>
    </row>
    <row r="37" spans="1:7" s="258" customFormat="1" ht="13.5" customHeight="1">
      <c r="A37" s="779" t="s">
        <v>353</v>
      </c>
      <c r="B37" s="215" t="s">
        <v>1530</v>
      </c>
      <c r="C37" s="249">
        <f ca="1">ROUND(E37*D37,0)</f>
        <v>10845952</v>
      </c>
      <c r="D37" s="217">
        <f ca="1">D19</f>
        <v>54229.759999999966</v>
      </c>
      <c r="E37" s="249">
        <f>'数据-取费表'!B35</f>
        <v>200</v>
      </c>
      <c r="F37" s="259"/>
      <c r="G37" s="261"/>
    </row>
    <row r="38" spans="1:7" ht="13.5" customHeight="1">
      <c r="A38" s="779" t="s">
        <v>354</v>
      </c>
      <c r="B38" s="215" t="s">
        <v>1532</v>
      </c>
      <c r="C38" s="220">
        <f ca="1">ROUND(C34*F38,0)</f>
        <v>3097527</v>
      </c>
      <c r="D38" s="220"/>
      <c r="E38" s="220"/>
      <c r="F38" s="259">
        <f>'数据-取费表'!B36</f>
        <v>1.4999999999999999E-2</v>
      </c>
      <c r="G38" s="219" t="s">
        <v>1527</v>
      </c>
    </row>
    <row r="39" spans="1:7" s="214" customFormat="1" ht="13.5" customHeight="1">
      <c r="A39" s="255" t="s">
        <v>1533</v>
      </c>
      <c r="B39" s="210" t="s">
        <v>1534</v>
      </c>
      <c r="C39" s="232">
        <f ca="1">ROUND(C33*F20,0)</f>
        <v>4592918</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12213531</v>
      </c>
      <c r="D41" s="235">
        <f ca="1">C44</f>
        <v>1E-3</v>
      </c>
      <c r="E41" s="236" t="s">
        <v>1538</v>
      </c>
      <c r="F41" s="237">
        <f ca="1">F22</f>
        <v>4.1499999999999995E-2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11974050</v>
      </c>
      <c r="D42" s="238"/>
      <c r="E42" s="238"/>
      <c r="F42" s="239"/>
      <c r="G42" s="3721" t="s">
        <v>1590</v>
      </c>
    </row>
    <row r="43" spans="1:7" ht="13.5" customHeight="1">
      <c r="A43" s="779" t="s">
        <v>347</v>
      </c>
      <c r="B43" s="215" t="s">
        <v>1544</v>
      </c>
      <c r="C43" s="238">
        <f ca="1">ROUND(IF('数据-取费表'!B22&lt;=1,C39*F22*'数据-取费表'!B20/2,C39*(POWER((1+F22),'数据-取费表'!B20/2)-1)),0)</f>
        <v>239481</v>
      </c>
      <c r="D43" s="238"/>
      <c r="E43" s="238"/>
      <c r="F43" s="239"/>
      <c r="G43" s="3722"/>
    </row>
    <row r="44" spans="1:7" ht="13.5" customHeight="1">
      <c r="A44" s="779" t="s">
        <v>348</v>
      </c>
      <c r="B44" s="215" t="s">
        <v>1545</v>
      </c>
      <c r="C44" s="238">
        <f ca="1">ROUND(IF('数据-取费表'!B22&lt;=1,C40*F22*'数据-取费表'!B20/2,C40*(POWER((1+F22),'数据-取费表'!B20/2)-1)),4)</f>
        <v>1E-3</v>
      </c>
      <c r="D44" s="238"/>
      <c r="E44" s="238"/>
      <c r="F44" s="239"/>
      <c r="G44" s="3723"/>
    </row>
    <row r="45" spans="1:7" s="214" customFormat="1" ht="13.5" customHeight="1">
      <c r="A45" s="255" t="s">
        <v>1546</v>
      </c>
      <c r="B45" s="244" t="s">
        <v>1512</v>
      </c>
      <c r="C45" s="245">
        <f ca="1">C46</f>
        <v>23423883</v>
      </c>
      <c r="D45" s="235">
        <f ca="1">C47</f>
        <v>2E-3</v>
      </c>
      <c r="E45" s="236" t="s">
        <v>1538</v>
      </c>
      <c r="F45" s="246">
        <f ca="1">F27</f>
        <v>0.1</v>
      </c>
      <c r="G45" s="247" t="s">
        <v>1547</v>
      </c>
    </row>
    <row r="46" spans="1:7" s="214" customFormat="1" ht="13.5" customHeight="1">
      <c r="A46" s="779" t="s">
        <v>346</v>
      </c>
      <c r="B46" s="248" t="s">
        <v>1548</v>
      </c>
      <c r="C46" s="249">
        <f ca="1">ROUND((C33+C39)*F27,0)</f>
        <v>23423883</v>
      </c>
      <c r="D46" s="263"/>
      <c r="E46" s="236"/>
      <c r="F46" s="246"/>
      <c r="G46" s="247"/>
    </row>
    <row r="47" spans="1:7" s="214" customFormat="1" ht="13.5" customHeight="1">
      <c r="A47" s="779"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291884325</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291884325</v>
      </c>
      <c r="D51" s="232"/>
      <c r="E51" s="232"/>
      <c r="F51" s="264"/>
      <c r="G51" s="234" t="s">
        <v>1559</v>
      </c>
    </row>
    <row r="52" spans="1:7" s="208" customFormat="1" ht="16.5" thickBot="1">
      <c r="A52" s="265" t="s">
        <v>1560</v>
      </c>
      <c r="B52" s="266"/>
      <c r="C52" s="267">
        <f ca="1">C31+C51</f>
        <v>316947789</v>
      </c>
      <c r="D52" s="266"/>
      <c r="E52" s="266"/>
      <c r="F52" s="266"/>
      <c r="G52" s="268"/>
    </row>
    <row r="55" spans="1:7" ht="15">
      <c r="B55" s="270" t="s">
        <v>1561</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E52" sqref="E52"/>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2"/>
      <c r="F1" s="2802"/>
      <c r="G1" s="2667"/>
      <c r="H1" s="2802"/>
      <c r="I1" s="2802"/>
      <c r="J1" s="2802"/>
      <c r="K1" s="2803">
        <f>MATCH(C1,'数据-取费表'!A6:A16,0)+5</f>
        <v>10</v>
      </c>
    </row>
    <row r="2" spans="1:33" ht="18" customHeight="1">
      <c r="A2" s="201" t="s">
        <v>1461</v>
      </c>
      <c r="B2" s="204">
        <f ca="1">C32</f>
        <v>139557</v>
      </c>
      <c r="C2" s="276" t="s">
        <v>1594</v>
      </c>
      <c r="D2" s="276"/>
      <c r="E2" s="2802"/>
      <c r="F2" s="2802"/>
      <c r="G2" s="2802"/>
      <c r="H2" s="2802"/>
      <c r="I2" s="2802"/>
      <c r="J2" s="2802"/>
      <c r="K2" s="2802"/>
    </row>
    <row r="3" spans="1:33" ht="18" customHeight="1" thickBot="1">
      <c r="A3" s="203" t="s">
        <v>1463</v>
      </c>
      <c r="B3" s="204">
        <f ca="1">ROUND(B2*10000/IF(C1="",'数据-汇总表'!E3,INDIRECT("'数据-取费表'!K"&amp;$K$1)),0)</f>
        <v>25734</v>
      </c>
      <c r="C3" s="276" t="s">
        <v>1595</v>
      </c>
      <c r="D3" s="276"/>
      <c r="E3" s="2802"/>
      <c r="F3" s="2802"/>
      <c r="G3" s="2802"/>
      <c r="H3" s="2802"/>
      <c r="I3" s="2802"/>
      <c r="J3" s="2802"/>
      <c r="K3" s="2802"/>
    </row>
    <row r="4" spans="1:33" s="784" customFormat="1" ht="16.5" customHeight="1">
      <c r="A4" s="781" t="s">
        <v>1596</v>
      </c>
      <c r="B4" s="782"/>
      <c r="C4" s="823">
        <f ca="1">SUM(C8:K8)</f>
        <v>183585</v>
      </c>
      <c r="D4" s="782"/>
      <c r="E4" s="782"/>
      <c r="F4" s="782"/>
      <c r="G4" s="782"/>
      <c r="H4" s="782"/>
      <c r="I4" s="782"/>
      <c r="J4" s="782"/>
      <c r="K4" s="783"/>
    </row>
    <row r="5" spans="1:33" s="788" customFormat="1" ht="15">
      <c r="A5" s="785" t="s">
        <v>1597</v>
      </c>
      <c r="B5" s="786" t="s">
        <v>1598</v>
      </c>
      <c r="C5" s="1859" t="s">
        <v>3385</v>
      </c>
      <c r="D5" s="1859" t="s">
        <v>3393</v>
      </c>
      <c r="E5" s="1859" t="s">
        <v>3395</v>
      </c>
      <c r="F5" s="1859" t="s">
        <v>3397</v>
      </c>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f>'比较法-住宅'!B3</f>
        <v>60897</v>
      </c>
      <c r="D6" s="790">
        <f ca="1">收益法!B2</f>
        <v>2169</v>
      </c>
      <c r="E6" s="790">
        <f>'比较法-车位'!B3</f>
        <v>6947</v>
      </c>
      <c r="F6" s="790">
        <f>'比较法-仓储'!B3</f>
        <v>12567</v>
      </c>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23853.78</v>
      </c>
      <c r="D7" s="277">
        <f>SUMIF('数据-汇总表'!$C19:$C33,假设开发法!D5,'数据-汇总表'!$E19:$E33)</f>
        <v>1477.62</v>
      </c>
      <c r="E7" s="277">
        <f>SUMIF('数据-汇总表'!$C19:$C33,假设开发法!E5,'数据-汇总表'!$E19:$E33)</f>
        <v>22548.009999999973</v>
      </c>
      <c r="F7" s="277">
        <f>SUMIF('数据-汇总表'!$C19:$C33,假设开发法!F5,'数据-汇总表'!$E19:$E33)</f>
        <v>6350.3499999999931</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f>ROUND(C6*C7/10000,0)</f>
        <v>145262</v>
      </c>
      <c r="D8" s="824">
        <f ca="1">收益法!B3</f>
        <v>14679</v>
      </c>
      <c r="E8" s="824">
        <f t="shared" ref="E8:F8" si="0">ROUND(E6*E7/10000,0)</f>
        <v>15664</v>
      </c>
      <c r="F8" s="824">
        <f t="shared" si="0"/>
        <v>7980</v>
      </c>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10385</v>
      </c>
      <c r="D11" s="801"/>
      <c r="E11" s="329"/>
      <c r="F11" s="811">
        <f ca="1">1-IF('数据-取费表'!B24=0,1,IF(C1="",'数据-取费表'!N16,INDIRECT("'数据-取费表'!n"&amp;$K$1)))</f>
        <v>0.503</v>
      </c>
      <c r="G11" s="5"/>
      <c r="H11" s="796"/>
      <c r="I11" s="796"/>
      <c r="J11" s="796"/>
      <c r="K11" s="797"/>
    </row>
    <row r="12" spans="1:33" s="802" customFormat="1" ht="13.5" customHeight="1">
      <c r="A12" s="799" t="s">
        <v>636</v>
      </c>
      <c r="B12" s="800" t="s">
        <v>1612</v>
      </c>
      <c r="C12" s="21">
        <f ca="1">ROUND(C11*F12,0)</f>
        <v>312</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184</v>
      </c>
      <c r="D13" s="845"/>
      <c r="E13" s="329"/>
      <c r="F13" s="811">
        <f>'数据-取费表'!B34</f>
        <v>0.03</v>
      </c>
      <c r="G13" s="5" t="s">
        <v>1615</v>
      </c>
      <c r="H13" s="796"/>
      <c r="I13" s="796"/>
      <c r="J13" s="796"/>
      <c r="K13" s="797"/>
    </row>
    <row r="14" spans="1:33" s="804" customFormat="1" ht="13.5" customHeight="1">
      <c r="A14" s="799" t="s">
        <v>638</v>
      </c>
      <c r="B14" s="800" t="s">
        <v>1616</v>
      </c>
      <c r="C14" s="21">
        <f ca="1">ROUND(D14*E14*F11/10000,0)</f>
        <v>546</v>
      </c>
      <c r="D14" s="845">
        <f ca="1">IF(C1="",'数据-汇总表'!E3,INDIRECT("'数据-取费表'!K"&amp;$K$1)+INDIRECT("'数据-取费表'!S"&amp;$K$1))</f>
        <v>54229.759999999966</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156</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11583</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190</v>
      </c>
      <c r="D17" s="845">
        <f ca="1">D14</f>
        <v>54229.759999999966</v>
      </c>
      <c r="E17" s="21">
        <f>'数据-取费表'!B32</f>
        <v>35</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t="s">
        <v>3983</v>
      </c>
      <c r="H18" s="1186"/>
      <c r="I18" s="1862" t="s">
        <v>1624</v>
      </c>
      <c r="J18" s="806"/>
      <c r="K18" s="807"/>
    </row>
    <row r="19" spans="1:33" s="802" customFormat="1" ht="13.5" customHeight="1">
      <c r="A19" s="799" t="s">
        <v>360</v>
      </c>
      <c r="B19" s="800" t="s">
        <v>1625</v>
      </c>
      <c r="C19" s="21">
        <f ca="1">ROUND(D19*E19/10000,0)</f>
        <v>382</v>
      </c>
      <c r="D19" s="845">
        <f ca="1">IF(C1="",'数据-汇总表'!E5,IF(INDIRECT("'数据-取费表'!c"&amp;$K$1)="住宅",INDIRECT("'数据-取费表'!k"&amp;$K$1),0))</f>
        <v>23853.78</v>
      </c>
      <c r="E19" s="21">
        <f>'数据-取费表'!B27</f>
        <v>160</v>
      </c>
      <c r="F19" s="803"/>
      <c r="G19" s="12"/>
      <c r="H19" s="1188"/>
      <c r="I19" s="808"/>
      <c r="J19" s="808"/>
      <c r="K19" s="809"/>
    </row>
    <row r="20" spans="1:33" s="802" customFormat="1" ht="13.5" customHeight="1">
      <c r="A20" s="799" t="s">
        <v>361</v>
      </c>
      <c r="B20" s="800" t="s">
        <v>1626</v>
      </c>
      <c r="C20" s="21">
        <f ca="1">ROUND(D20*E20/10000,0)</f>
        <v>608</v>
      </c>
      <c r="D20" s="845">
        <f ca="1">IF(C1="",'数据-汇总表'!E6,IF(INDIRECT("'数据-取费表'!c"&amp;$K$1)="住宅",INDIRECT("'数据-取费表'!s"&amp;$K$1),INDIRECT("'数据-取费表'!k"&amp;$K$1)+INDIRECT("'数据-取费表'!s"&amp;$K$1)))</f>
        <v>30375.979999999967</v>
      </c>
      <c r="E20" s="21">
        <f>'数据-取费表'!B28</f>
        <v>200</v>
      </c>
      <c r="F20" s="803"/>
      <c r="G20" s="12"/>
      <c r="H20" s="808"/>
      <c r="I20" s="808"/>
      <c r="J20" s="808"/>
      <c r="K20" s="809"/>
    </row>
    <row r="21" spans="1:33" s="802" customFormat="1" ht="13.5" customHeight="1">
      <c r="A21" s="789" t="s">
        <v>357</v>
      </c>
      <c r="B21" s="812" t="s">
        <v>1627</v>
      </c>
      <c r="C21" s="813">
        <f ca="1">C16+C17+C18</f>
        <v>11773</v>
      </c>
      <c r="D21" s="814"/>
      <c r="E21" s="281"/>
      <c r="F21" s="281"/>
      <c r="G21" s="131" t="s">
        <v>1628</v>
      </c>
      <c r="H21" s="806"/>
      <c r="I21" s="806"/>
      <c r="J21" s="806"/>
      <c r="K21" s="807"/>
    </row>
    <row r="22" spans="1:33" s="802" customFormat="1" ht="13.5" customHeight="1">
      <c r="A22" s="789" t="s">
        <v>1600</v>
      </c>
      <c r="B22" s="812" t="s">
        <v>1629</v>
      </c>
      <c r="C22" s="813">
        <f ca="1">ROUND(C21*F22,0)</f>
        <v>235</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1847</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359</v>
      </c>
      <c r="D25" s="280">
        <f ca="1">C26</f>
        <v>5.3999999999999999E-2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5.3999999999999999E-2</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359</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1386</v>
      </c>
      <c r="D28" s="280">
        <f ca="1">C29</f>
        <v>5.1799999999999999E-2</v>
      </c>
      <c r="E28" s="282" t="s">
        <v>12</v>
      </c>
      <c r="F28" s="288">
        <f ca="1">IF(C1="",'数据-取费表'!Q16,INDIRECT("'数据-取费表'!q"&amp;$K$1))</f>
        <v>0.1</v>
      </c>
      <c r="G28" s="816"/>
      <c r="H28" s="817"/>
      <c r="I28" s="817"/>
      <c r="J28" s="817"/>
      <c r="K28" s="818"/>
    </row>
    <row r="29" spans="1:33" s="291" customFormat="1" ht="13.5" customHeight="1">
      <c r="A29" s="799" t="s">
        <v>358</v>
      </c>
      <c r="B29" s="821" t="s">
        <v>1642</v>
      </c>
      <c r="C29" s="284">
        <f ca="1">ROUND((1+C24)*F28*'数据-取费表'!B24/'数据-取费表'!B20,4)</f>
        <v>5.1799999999999999E-2</v>
      </c>
      <c r="D29" s="284"/>
      <c r="E29" s="285"/>
      <c r="F29" s="290"/>
      <c r="G29" s="131" t="s">
        <v>1643</v>
      </c>
      <c r="H29" s="806"/>
      <c r="I29" s="806"/>
      <c r="J29" s="806"/>
      <c r="K29" s="807"/>
    </row>
    <row r="30" spans="1:33" s="291" customFormat="1" ht="13.5" customHeight="1">
      <c r="A30" s="799" t="s">
        <v>359</v>
      </c>
      <c r="B30" s="821" t="s">
        <v>1644</v>
      </c>
      <c r="C30" s="292">
        <f ca="1">ROUND((C21+C22+C23)*F28,0)</f>
        <v>1386</v>
      </c>
      <c r="D30" s="284"/>
      <c r="E30" s="285"/>
      <c r="F30" s="290"/>
      <c r="G30" s="131"/>
      <c r="H30" s="806"/>
      <c r="I30" s="806"/>
      <c r="J30" s="806"/>
      <c r="K30" s="807"/>
    </row>
    <row r="31" spans="1:33" s="802" customFormat="1" ht="13.5" customHeight="1" thickBot="1">
      <c r="A31" s="1865" t="s">
        <v>1645</v>
      </c>
      <c r="B31" s="832" t="s">
        <v>1646</v>
      </c>
      <c r="C31" s="833">
        <f ca="1">ROUND(C4*F31/(1+'数据-取费表'!C42),0)</f>
        <v>9616</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139557</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10</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24" t="s">
        <v>694</v>
      </c>
      <c r="C6" s="1073">
        <f ca="1">ROUND(F6*F8*F7*(1-F9),0)</f>
        <v>0</v>
      </c>
      <c r="D6" s="155" t="s">
        <v>2105</v>
      </c>
      <c r="E6" s="302" t="s">
        <v>696</v>
      </c>
      <c r="F6" s="303">
        <f ca="1">INDIRECT("'数据-取费表'!u"&amp;$G$1)</f>
        <v>0</v>
      </c>
      <c r="G6" s="1383"/>
      <c r="H6" s="1068" t="s">
        <v>398</v>
      </c>
      <c r="I6" s="3724" t="s">
        <v>694</v>
      </c>
      <c r="J6" s="301">
        <f ca="1">ROUND(M6*M8*M7*(1-M9),0)</f>
        <v>0</v>
      </c>
      <c r="K6" s="1375" t="s">
        <v>2106</v>
      </c>
      <c r="L6" s="302" t="s">
        <v>696</v>
      </c>
      <c r="M6" s="303">
        <f ca="1">INDIRECT("'数据-取费表'!z"&amp;$G$1)</f>
        <v>0</v>
      </c>
    </row>
    <row r="7" spans="1:37" ht="18" customHeight="1">
      <c r="A7" s="1072"/>
      <c r="B7" s="3725"/>
      <c r="C7" s="1074"/>
      <c r="D7" s="307"/>
      <c r="E7" s="1075" t="s">
        <v>697</v>
      </c>
      <c r="F7" s="303">
        <f ca="1">IF(INDIRECT("'数据-取费表'!ah"&amp;$G$1)="",INDIRECT("'数据-取费表'!k"&amp;$G$1),INDIRECT("'数据-取费表'!ah"&amp;$G$1))</f>
        <v>0</v>
      </c>
      <c r="G7" s="1383"/>
      <c r="H7" s="304"/>
      <c r="I7" s="3725"/>
      <c r="J7" s="306"/>
      <c r="K7" s="307"/>
      <c r="L7" s="302" t="s">
        <v>697</v>
      </c>
      <c r="M7" s="303">
        <f ca="1">F7</f>
        <v>0</v>
      </c>
    </row>
    <row r="8" spans="1:37" ht="18" customHeight="1">
      <c r="A8" s="304"/>
      <c r="B8" s="3725"/>
      <c r="C8" s="306"/>
      <c r="D8" s="307"/>
      <c r="E8" s="302" t="s">
        <v>698</v>
      </c>
      <c r="F8" s="303">
        <f ca="1">INDIRECT("'数据-取费表'!ai"&amp;$G$1)</f>
        <v>0</v>
      </c>
      <c r="G8" s="1383"/>
      <c r="H8" s="304"/>
      <c r="I8" s="3725"/>
      <c r="J8" s="306"/>
      <c r="K8" s="307"/>
      <c r="L8" s="302" t="s">
        <v>698</v>
      </c>
      <c r="M8" s="303">
        <f ca="1">INDIRECT("'数据-取费表'!ai"&amp;$G$1)</f>
        <v>0</v>
      </c>
    </row>
    <row r="9" spans="1:37" ht="18" customHeight="1">
      <c r="A9" s="304"/>
      <c r="B9" s="3726"/>
      <c r="C9" s="306"/>
      <c r="D9" s="307"/>
      <c r="E9" s="302" t="s">
        <v>699</v>
      </c>
      <c r="F9" s="312">
        <f ca="1">INDIRECT("'数据-取费表'!w"&amp;$G$1)</f>
        <v>0</v>
      </c>
      <c r="G9" s="1383"/>
      <c r="H9" s="304"/>
      <c r="I9" s="372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3354</v>
      </c>
      <c r="B45" s="1399"/>
      <c r="C45" s="1471" t="e">
        <f ca="1">ROUND((C68-C40)/10000,4)</f>
        <v>#DIV/0!</v>
      </c>
      <c r="D45" s="3428"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6">
        <f ca="1">IF(M47="住宅",IF(D1="——",MAX(J51,L48),MAX(J51,L48-'数据-取费表'!B24)),IF(D1="——",MIN(J51,L48),MIN(J51,L48-'数据-取费表'!B24)))</f>
        <v>0</v>
      </c>
      <c r="K53" s="3727" t="s">
        <v>837</v>
      </c>
      <c r="L53" s="3728"/>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4" t="s">
        <v>2313</v>
      </c>
      <c r="B2" s="2839" t="e">
        <f>IF(D2="——",C40,C40+E2)</f>
        <v>#DIV/0!</v>
      </c>
      <c r="C2" s="2840" t="s">
        <v>2314</v>
      </c>
      <c r="D2" s="3439" t="s">
        <v>3361</v>
      </c>
      <c r="E2" s="3440"/>
      <c r="F2" s="2842"/>
      <c r="G2" s="2843"/>
      <c r="H2" s="2844"/>
      <c r="I2" s="2845"/>
      <c r="J2" s="3735" t="s">
        <v>2315</v>
      </c>
      <c r="K2" s="3736"/>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737" t="s">
        <v>2325</v>
      </c>
      <c r="K3" s="3738"/>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737" t="s">
        <v>2327</v>
      </c>
      <c r="K4" s="3738"/>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743" t="s">
        <v>2331</v>
      </c>
      <c r="B6" s="3744"/>
      <c r="C6" s="3745"/>
      <c r="D6" s="2866"/>
      <c r="E6" s="2867"/>
      <c r="F6" s="2868"/>
      <c r="G6" s="2869"/>
      <c r="H6" s="2844"/>
      <c r="I6" s="2845"/>
      <c r="J6" s="3729">
        <v>1</v>
      </c>
      <c r="K6" s="3730"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729"/>
      <c r="K7" s="3731"/>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746" t="s">
        <v>2345</v>
      </c>
      <c r="C8" s="3747"/>
      <c r="D8" s="2885" t="s">
        <v>2346</v>
      </c>
      <c r="E8" s="2886" t="s">
        <v>2347</v>
      </c>
      <c r="F8" s="2887" t="s">
        <v>2348</v>
      </c>
      <c r="G8" s="2888"/>
      <c r="H8" s="2844"/>
      <c r="I8" s="2845"/>
      <c r="J8" s="3729"/>
      <c r="K8" s="3731"/>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746" t="s">
        <v>2351</v>
      </c>
      <c r="C9" s="3747"/>
      <c r="D9" s="2885">
        <f>ROUND(D6*E9,0)</f>
        <v>0</v>
      </c>
      <c r="E9" s="2889"/>
      <c r="F9" s="2890" t="s">
        <v>2352</v>
      </c>
      <c r="G9" s="2869"/>
      <c r="H9" s="2844"/>
      <c r="I9" s="2845"/>
      <c r="J9" s="3729"/>
      <c r="K9" s="3731"/>
      <c r="L9" s="2879" t="s">
        <v>2353</v>
      </c>
      <c r="M9" s="2880"/>
      <c r="N9" s="2856"/>
      <c r="O9" s="2881"/>
      <c r="P9" s="2881"/>
      <c r="Q9" s="2882">
        <v>365</v>
      </c>
      <c r="R9" s="2883">
        <f t="shared" si="0"/>
        <v>0</v>
      </c>
      <c r="S9" s="2837"/>
      <c r="T9" s="2837"/>
      <c r="U9" s="2837"/>
      <c r="V9" s="2845"/>
    </row>
    <row r="10" spans="1:22" s="2849" customFormat="1" ht="13.15" customHeight="1">
      <c r="A10" s="2884">
        <v>2</v>
      </c>
      <c r="B10" s="3746" t="s">
        <v>2354</v>
      </c>
      <c r="C10" s="3747"/>
      <c r="D10" s="2885">
        <f>ROUND(D6*E10,0)</f>
        <v>0</v>
      </c>
      <c r="E10" s="2889"/>
      <c r="F10" s="2890" t="s">
        <v>2355</v>
      </c>
      <c r="G10" s="2869"/>
      <c r="H10" s="2844"/>
      <c r="I10" s="2845"/>
      <c r="J10" s="3729"/>
      <c r="K10" s="3731"/>
      <c r="L10" s="2879" t="s">
        <v>2356</v>
      </c>
      <c r="M10" s="2880"/>
      <c r="N10" s="2856"/>
      <c r="O10" s="2881"/>
      <c r="P10" s="2881"/>
      <c r="Q10" s="2882">
        <v>365</v>
      </c>
      <c r="R10" s="2883">
        <f t="shared" si="0"/>
        <v>0</v>
      </c>
      <c r="S10" s="2837"/>
      <c r="T10" s="2837"/>
      <c r="U10" s="2837"/>
      <c r="V10" s="2845"/>
    </row>
    <row r="11" spans="1:22" s="2849" customFormat="1" ht="13.15" customHeight="1">
      <c r="A11" s="2884">
        <v>3</v>
      </c>
      <c r="B11" s="3746" t="s">
        <v>2357</v>
      </c>
      <c r="C11" s="3747"/>
      <c r="D11" s="2885">
        <f>D12+D14+D15+D16</f>
        <v>0</v>
      </c>
      <c r="E11" s="2891" t="e">
        <f>D11/D6</f>
        <v>#DIV/0!</v>
      </c>
      <c r="F11" s="2887"/>
      <c r="G11" s="2888"/>
      <c r="H11" s="2844"/>
      <c r="I11" s="2845"/>
      <c r="J11" s="3729"/>
      <c r="K11" s="3731"/>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739" t="s">
        <v>2360</v>
      </c>
      <c r="C12" s="3740"/>
      <c r="D12" s="2893">
        <f>ROUND(D13*1.2%*(1-30%),0)</f>
        <v>0</v>
      </c>
      <c r="E12" s="2894">
        <v>1.2E-2</v>
      </c>
      <c r="F12" s="2887" t="s">
        <v>2361</v>
      </c>
      <c r="G12" s="2888"/>
      <c r="H12" s="2844"/>
      <c r="I12" s="2845"/>
      <c r="J12" s="3729"/>
      <c r="K12" s="3731"/>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729"/>
      <c r="K13" s="3731"/>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739" t="s">
        <v>2366</v>
      </c>
      <c r="C14" s="3740"/>
      <c r="D14" s="2893">
        <f>ROUND(E14*B5/10000,0)</f>
        <v>0</v>
      </c>
      <c r="E14" s="2882"/>
      <c r="F14" s="2887" t="s">
        <v>2367</v>
      </c>
      <c r="G14" s="2888"/>
      <c r="H14" s="2844"/>
      <c r="I14" s="2845"/>
      <c r="J14" s="3729"/>
      <c r="K14" s="3732"/>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739" t="s">
        <v>2370</v>
      </c>
      <c r="C15" s="3740"/>
      <c r="D15" s="2893">
        <f>ROUND(D6*E15,0)</f>
        <v>0</v>
      </c>
      <c r="E15" s="2894">
        <v>5.5E-2</v>
      </c>
      <c r="F15" s="2887" t="s">
        <v>2371</v>
      </c>
      <c r="G15" s="2869"/>
      <c r="H15" s="2844"/>
      <c r="I15" s="2845"/>
      <c r="J15" s="3729">
        <v>2</v>
      </c>
      <c r="K15" s="3730"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739" t="s">
        <v>2379</v>
      </c>
      <c r="C16" s="3740"/>
      <c r="D16" s="2904">
        <f>D6*E16</f>
        <v>0</v>
      </c>
      <c r="E16" s="2905"/>
      <c r="F16" s="2890" t="s">
        <v>2380</v>
      </c>
      <c r="G16" s="2869"/>
      <c r="H16" s="2844"/>
      <c r="I16" s="2845"/>
      <c r="J16" s="3729"/>
      <c r="K16" s="3731"/>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741" t="s">
        <v>2382</v>
      </c>
      <c r="C17" s="3742"/>
      <c r="D17" s="2907">
        <f>ROUND(D6*E17,0)</f>
        <v>0</v>
      </c>
      <c r="E17" s="2908"/>
      <c r="F17" s="2909" t="s">
        <v>2383</v>
      </c>
      <c r="G17" s="2869"/>
      <c r="H17" s="2844"/>
      <c r="I17" s="2845"/>
      <c r="J17" s="3729"/>
      <c r="K17" s="3731"/>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729"/>
      <c r="K18" s="3731"/>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729"/>
      <c r="K19" s="3732"/>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29">
        <v>3</v>
      </c>
      <c r="K20" s="3730"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729"/>
      <c r="K21" s="3731"/>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729"/>
      <c r="K22" s="3731"/>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729"/>
      <c r="K23" s="3731"/>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729"/>
      <c r="K24" s="3732"/>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733">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73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735" t="s">
        <v>2315</v>
      </c>
      <c r="K32" s="3736"/>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737" t="s">
        <v>2325</v>
      </c>
      <c r="K33" s="3738"/>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737" t="s">
        <v>2327</v>
      </c>
      <c r="K34" s="373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729">
        <v>1</v>
      </c>
      <c r="K36" s="3730"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729"/>
      <c r="K37" s="3731"/>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29"/>
      <c r="K38" s="3731"/>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729"/>
      <c r="K39" s="3731"/>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729"/>
      <c r="K40" s="3732"/>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33">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73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2169</v>
      </c>
      <c r="C2" s="1871" t="s">
        <v>1650</v>
      </c>
      <c r="D2" s="1872" t="s">
        <v>1651</v>
      </c>
      <c r="E2" s="2603">
        <f>SUM(E6:E13)</f>
        <v>1477.62</v>
      </c>
      <c r="F2" s="2703"/>
      <c r="G2" s="1488"/>
      <c r="H2" s="1488"/>
      <c r="I2" s="1488"/>
      <c r="J2" s="1488"/>
      <c r="K2" s="1488"/>
      <c r="L2" s="1488"/>
      <c r="M2" s="1488"/>
      <c r="N2" s="1488"/>
      <c r="O2" s="1488"/>
      <c r="P2" s="1488"/>
      <c r="Q2" s="1488"/>
      <c r="R2" s="1488"/>
      <c r="S2" s="1488"/>
    </row>
    <row r="3" spans="1:22" ht="15.75">
      <c r="A3" s="1869" t="s">
        <v>686</v>
      </c>
      <c r="B3" s="2597">
        <f ca="1">ROUND(B2*10000/E2,0)</f>
        <v>14679</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748" t="s">
        <v>1653</v>
      </c>
      <c r="C5" s="3749"/>
      <c r="D5" s="2704"/>
      <c r="E5" s="1873" t="s">
        <v>1654</v>
      </c>
      <c r="F5" s="1874" t="s">
        <v>1655</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1650</v>
      </c>
      <c r="D6" s="2705"/>
      <c r="E6" s="2602">
        <f>IF(OR(A6=0,F6="否"),0,'数据-取费表'!K6+'数据-取费表'!S6)</f>
        <v>0</v>
      </c>
      <c r="F6" s="1875" t="s">
        <v>1656</v>
      </c>
      <c r="G6" s="1488"/>
      <c r="H6" s="1488"/>
      <c r="I6" s="1488"/>
      <c r="J6" s="1488"/>
      <c r="K6" s="1488"/>
      <c r="L6" s="1488"/>
      <c r="M6" s="1488"/>
      <c r="N6" s="1488"/>
      <c r="O6" s="1488"/>
      <c r="P6" s="1488"/>
      <c r="Q6" s="1488"/>
      <c r="R6" s="1488"/>
      <c r="S6" s="1488"/>
    </row>
    <row r="7" spans="1:22">
      <c r="A7" s="2600" t="str">
        <f>'数据-取费表'!AN7</f>
        <v>收益法</v>
      </c>
      <c r="B7" s="2598">
        <f ca="1">IF(F7="是",'数据-取费表'!AO7,0)</f>
        <v>2169</v>
      </c>
      <c r="C7" s="1871" t="s">
        <v>1650</v>
      </c>
      <c r="D7" s="2705"/>
      <c r="E7" s="2602">
        <f>IF(OR(A7=0,F7="否"),0,'数据-取费表'!K7+'数据-取费表'!S7)</f>
        <v>1477.62</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0" zoomScale="85" zoomScaleNormal="60" zoomScaleSheetLayoutView="85" workbookViewId="0">
      <selection activeCell="F50" sqref="F50:J5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3" customWidth="1"/>
    <col min="12" max="12" width="12.25" style="444"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t="s">
        <v>3385</v>
      </c>
      <c r="E1" s="3422" t="s">
        <v>3422</v>
      </c>
      <c r="F1" s="1878" t="s">
        <v>3421</v>
      </c>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145262</v>
      </c>
      <c r="C2" s="1880" t="s">
        <v>43</v>
      </c>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60897</v>
      </c>
      <c r="C3" s="354" t="s">
        <v>1664</v>
      </c>
      <c r="D3" s="353">
        <f>IF(D1="",'数据-汇总表'!E3,SUMIF('数据-汇总表'!$C19:$C33,D1,'数据-汇总表'!$E19:$E33))</f>
        <v>23853.78</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1665</v>
      </c>
      <c r="B4" s="356"/>
      <c r="C4" s="3683" t="s">
        <v>1666</v>
      </c>
      <c r="D4" s="3695"/>
      <c r="E4" s="3696" t="s">
        <v>1667</v>
      </c>
      <c r="F4" s="3697"/>
      <c r="G4" s="3683" t="s">
        <v>1668</v>
      </c>
      <c r="H4" s="3695"/>
      <c r="I4" s="3683" t="s">
        <v>1669</v>
      </c>
      <c r="J4" s="3695"/>
      <c r="K4" s="1888" t="s">
        <v>1670</v>
      </c>
      <c r="L4" s="2711"/>
      <c r="M4" s="2712"/>
      <c r="N4" s="2712"/>
      <c r="O4" s="2712"/>
      <c r="P4" s="3698" t="s">
        <v>1671</v>
      </c>
      <c r="Q4" s="3699"/>
      <c r="R4" s="3704" t="s">
        <v>1667</v>
      </c>
      <c r="S4" s="3705"/>
      <c r="T4" s="3704" t="s">
        <v>1668</v>
      </c>
      <c r="U4" s="3705"/>
      <c r="V4" s="3691" t="s">
        <v>1669</v>
      </c>
      <c r="W4" s="3691"/>
      <c r="X4" s="1354"/>
      <c r="Y4" s="3704" t="s">
        <v>1671</v>
      </c>
      <c r="Z4" s="3705"/>
      <c r="AA4" s="3692" t="s">
        <v>1667</v>
      </c>
      <c r="AB4" s="3692" t="s">
        <v>1668</v>
      </c>
      <c r="AC4" s="3692" t="s">
        <v>1669</v>
      </c>
    </row>
    <row r="5" spans="1:29" ht="15">
      <c r="A5" s="358"/>
      <c r="B5" s="359"/>
      <c r="C5" s="3712" t="s">
        <v>1672</v>
      </c>
      <c r="D5" s="3713"/>
      <c r="E5" s="3719" t="s">
        <v>3455</v>
      </c>
      <c r="F5" s="3720"/>
      <c r="G5" s="3758" t="s">
        <v>3456</v>
      </c>
      <c r="H5" s="3713"/>
      <c r="I5" s="3758" t="s">
        <v>3423</v>
      </c>
      <c r="J5" s="3713"/>
      <c r="K5" s="1889"/>
      <c r="L5" s="2711"/>
      <c r="M5" s="2712"/>
      <c r="N5" s="2712"/>
      <c r="O5" s="2712"/>
      <c r="P5" s="3700"/>
      <c r="Q5" s="3701"/>
      <c r="R5" s="3706"/>
      <c r="S5" s="3707"/>
      <c r="T5" s="3706"/>
      <c r="U5" s="3707"/>
      <c r="V5" s="3691"/>
      <c r="W5" s="3691"/>
      <c r="X5" s="1354"/>
      <c r="Y5" s="3706"/>
      <c r="Z5" s="3707"/>
      <c r="AA5" s="3693"/>
      <c r="AB5" s="3693"/>
      <c r="AC5" s="3693"/>
    </row>
    <row r="6" spans="1:29" ht="15.75" thickBot="1">
      <c r="A6" s="360"/>
      <c r="B6" s="361"/>
      <c r="C6" s="3710" t="s">
        <v>1676</v>
      </c>
      <c r="D6" s="3711"/>
      <c r="E6" s="3717" t="s">
        <v>1676</v>
      </c>
      <c r="F6" s="3718"/>
      <c r="G6" s="3710" t="s">
        <v>1676</v>
      </c>
      <c r="H6" s="3711"/>
      <c r="I6" s="3710" t="s">
        <v>1676</v>
      </c>
      <c r="J6" s="3711"/>
      <c r="K6" s="1889" t="s">
        <v>1677</v>
      </c>
      <c r="L6" s="2711"/>
      <c r="M6" s="2712"/>
      <c r="N6" s="2712"/>
      <c r="O6" s="2712"/>
      <c r="P6" s="3702"/>
      <c r="Q6" s="3703"/>
      <c r="R6" s="3706"/>
      <c r="S6" s="3707"/>
      <c r="T6" s="3708"/>
      <c r="U6" s="3709"/>
      <c r="V6" s="3691"/>
      <c r="W6" s="3691"/>
      <c r="X6" s="1354"/>
      <c r="Y6" s="3708"/>
      <c r="Z6" s="3709"/>
      <c r="AA6" s="3694"/>
      <c r="AB6" s="3694"/>
      <c r="AC6" s="3694"/>
    </row>
    <row r="7" spans="1:29" s="108" customFormat="1" ht="15.75" thickBot="1">
      <c r="A7" s="362" t="s">
        <v>1678</v>
      </c>
      <c r="B7" s="363"/>
      <c r="C7" s="364">
        <f>'数据-取费表'!B2</f>
        <v>45009</v>
      </c>
      <c r="D7" s="365">
        <v>100</v>
      </c>
      <c r="E7" s="366">
        <v>44958</v>
      </c>
      <c r="F7" s="367">
        <f>SUMIF(58:58,YEAR(E7)&amp;"-"&amp;MONTH(E7),59:59)</f>
        <v>100</v>
      </c>
      <c r="G7" s="366">
        <v>44958</v>
      </c>
      <c r="H7" s="365">
        <f>SUMIF(58:58,YEAR(G7)&amp;"-"&amp;MONTH(G7),59:59)</f>
        <v>100</v>
      </c>
      <c r="I7" s="366">
        <v>44927</v>
      </c>
      <c r="J7" s="365">
        <f>SUMIF(58:58,YEAR(I7)&amp;"-"&amp;MONTH(I7),59:59)</f>
        <v>100</v>
      </c>
      <c r="K7" s="1890"/>
      <c r="L7" s="2713"/>
      <c r="M7" s="2714"/>
      <c r="N7" s="2714"/>
      <c r="O7" s="2714"/>
      <c r="P7" s="3714" t="s">
        <v>1679</v>
      </c>
      <c r="Q7" s="3716"/>
      <c r="R7" s="700" t="s">
        <v>20</v>
      </c>
      <c r="S7" s="701">
        <f t="shared" ref="S7:S15" si="0">F7</f>
        <v>100</v>
      </c>
      <c r="T7" s="700" t="s">
        <v>20</v>
      </c>
      <c r="U7" s="701">
        <f t="shared" ref="U7:U15" si="1">H7</f>
        <v>100</v>
      </c>
      <c r="V7" s="700" t="s">
        <v>20</v>
      </c>
      <c r="W7" s="701">
        <f t="shared" ref="W7:W15" si="2">J7</f>
        <v>100</v>
      </c>
      <c r="X7" s="702"/>
      <c r="Y7" s="3714" t="s">
        <v>1679</v>
      </c>
      <c r="Z7" s="3715"/>
      <c r="AA7" s="703">
        <f>D7/F7</f>
        <v>1</v>
      </c>
      <c r="AB7" s="703">
        <f>D7/H7</f>
        <v>1</v>
      </c>
      <c r="AC7" s="703">
        <f>D7/J7</f>
        <v>1</v>
      </c>
    </row>
    <row r="8" spans="1:29" s="108" customFormat="1" ht="15.75" thickBot="1">
      <c r="A8" s="362" t="s">
        <v>1680</v>
      </c>
      <c r="B8" s="363"/>
      <c r="C8" s="368" t="s">
        <v>3445</v>
      </c>
      <c r="D8" s="365">
        <v>100</v>
      </c>
      <c r="E8" s="368" t="s">
        <v>3445</v>
      </c>
      <c r="F8" s="367">
        <f>SUMIF(61:61,E8,62:62)-SUMIF(61:61,C8,62:62)+100</f>
        <v>100</v>
      </c>
      <c r="G8" s="368" t="s">
        <v>3445</v>
      </c>
      <c r="H8" s="365">
        <f>SUMIF(61:61,G8,62:62)-SUMIF(61:61,C8,62:62)+100</f>
        <v>100</v>
      </c>
      <c r="I8" s="368" t="s">
        <v>3445</v>
      </c>
      <c r="J8" s="365">
        <f>SUMIF(61:61,I8,62:62)-SUMIF(61:61,C8,62:62)+100</f>
        <v>100</v>
      </c>
      <c r="K8" s="1890"/>
      <c r="L8" s="2713"/>
      <c r="M8" s="2714"/>
      <c r="N8" s="2714"/>
      <c r="O8" s="2714"/>
      <c r="P8" s="3714" t="s">
        <v>1682</v>
      </c>
      <c r="Q8" s="3715"/>
      <c r="R8" s="700" t="s">
        <v>20</v>
      </c>
      <c r="S8" s="701">
        <f t="shared" si="0"/>
        <v>100</v>
      </c>
      <c r="T8" s="700" t="s">
        <v>20</v>
      </c>
      <c r="U8" s="701">
        <f t="shared" si="1"/>
        <v>100</v>
      </c>
      <c r="V8" s="700" t="s">
        <v>20</v>
      </c>
      <c r="W8" s="701">
        <f t="shared" si="2"/>
        <v>100</v>
      </c>
      <c r="X8" s="702"/>
      <c r="Y8" s="3714" t="s">
        <v>1682</v>
      </c>
      <c r="Z8" s="3715"/>
      <c r="AA8" s="703">
        <f t="shared" ref="AA8:AA19" si="3">D8/F8</f>
        <v>1</v>
      </c>
      <c r="AB8" s="703">
        <f t="shared" ref="AB8:AB19" si="4">D8/H8</f>
        <v>1</v>
      </c>
      <c r="AC8" s="703">
        <f t="shared" ref="AC8:AC19" si="5">D8/J8</f>
        <v>1</v>
      </c>
    </row>
    <row r="9" spans="1:29" s="108" customFormat="1">
      <c r="A9" s="369" t="s">
        <v>1683</v>
      </c>
      <c r="B9" s="63" t="s">
        <v>1684</v>
      </c>
      <c r="C9" s="3459" t="s">
        <v>3446</v>
      </c>
      <c r="D9" s="126">
        <v>100</v>
      </c>
      <c r="E9" s="3459" t="s">
        <v>3446</v>
      </c>
      <c r="F9" s="372">
        <f>SUMIF(63:63,E9,64:64)-SUMIF(63:63,C9,64:64)+100</f>
        <v>100</v>
      </c>
      <c r="G9" s="3459" t="s">
        <v>3446</v>
      </c>
      <c r="H9" s="126">
        <f>SUMIF(63:63,G9,64:64)-SUMIF(63:63,C9,64:64)+100</f>
        <v>100</v>
      </c>
      <c r="I9" s="3459" t="s">
        <v>3446</v>
      </c>
      <c r="J9" s="126">
        <f>SUMIF(63:63,I9,64:64)-SUMIF(63:63,C9,64:64)+100</f>
        <v>100</v>
      </c>
      <c r="K9" s="1890"/>
      <c r="L9" s="2713"/>
      <c r="M9" s="2714"/>
      <c r="N9" s="2714"/>
      <c r="O9" s="2714"/>
      <c r="P9" s="3685"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85"/>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1688</v>
      </c>
      <c r="C11" s="380">
        <f>'数据-汇总表'!I7</f>
        <v>2.8</v>
      </c>
      <c r="D11" s="127">
        <v>100</v>
      </c>
      <c r="E11" s="381">
        <v>2.5</v>
      </c>
      <c r="F11" s="376">
        <f>LOOKUP(E11,68:68,69:69)-LOOKUP(C11,68:68,69:69)+100</f>
        <v>100</v>
      </c>
      <c r="G11" s="380">
        <v>1.63</v>
      </c>
      <c r="H11" s="127">
        <f>LOOKUP(G11,68:68,69:69)-LOOKUP(C11,68:68,69:69)+100</f>
        <v>102</v>
      </c>
      <c r="I11" s="380">
        <v>2.8</v>
      </c>
      <c r="J11" s="127">
        <f>LOOKUP(I11,68:68,69:69)-LOOKUP(C11,68:68,69:69)+100</f>
        <v>100</v>
      </c>
      <c r="K11" s="377">
        <f>'土地比较法-住宅、综合'!K11</f>
        <v>2</v>
      </c>
      <c r="L11" s="2717"/>
      <c r="M11" s="2712"/>
      <c r="N11" s="2712"/>
      <c r="O11" s="2712"/>
      <c r="P11" s="3685"/>
      <c r="Q11" s="1342" t="str">
        <f t="shared" si="6"/>
        <v>容积率</v>
      </c>
      <c r="R11" s="700" t="s">
        <v>18</v>
      </c>
      <c r="S11" s="701">
        <f t="shared" si="0"/>
        <v>100</v>
      </c>
      <c r="T11" s="700" t="s">
        <v>18</v>
      </c>
      <c r="U11" s="701">
        <f t="shared" si="1"/>
        <v>102</v>
      </c>
      <c r="V11" s="700" t="s">
        <v>18</v>
      </c>
      <c r="W11" s="701">
        <f t="shared" si="2"/>
        <v>100</v>
      </c>
      <c r="X11" s="702"/>
      <c r="Y11" s="3586"/>
      <c r="Z11" s="52" t="str">
        <f t="shared" si="7"/>
        <v>容积率</v>
      </c>
      <c r="AA11" s="703">
        <f t="shared" si="3"/>
        <v>1</v>
      </c>
      <c r="AB11" s="703">
        <f t="shared" si="4"/>
        <v>0.98039215686274506</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685"/>
      <c r="Q12" s="1342">
        <f t="shared" si="6"/>
        <v>111</v>
      </c>
      <c r="R12" s="700" t="s">
        <v>18</v>
      </c>
      <c r="S12" s="701">
        <f t="shared" si="0"/>
        <v>100</v>
      </c>
      <c r="T12" s="700" t="s">
        <v>18</v>
      </c>
      <c r="U12" s="701">
        <f t="shared" si="1"/>
        <v>100</v>
      </c>
      <c r="V12" s="700" t="s">
        <v>18</v>
      </c>
      <c r="W12" s="701">
        <f t="shared" si="2"/>
        <v>100</v>
      </c>
      <c r="X12" s="702"/>
      <c r="Y12" s="358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685"/>
      <c r="Q13" s="1342">
        <f t="shared" si="6"/>
        <v>111</v>
      </c>
      <c r="R13" s="700" t="s">
        <v>18</v>
      </c>
      <c r="S13" s="701">
        <f t="shared" si="0"/>
        <v>100</v>
      </c>
      <c r="T13" s="700" t="s">
        <v>18</v>
      </c>
      <c r="U13" s="701">
        <f t="shared" si="1"/>
        <v>100</v>
      </c>
      <c r="V13" s="700" t="s">
        <v>18</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685"/>
      <c r="Q14" s="1342">
        <f t="shared" si="6"/>
        <v>111</v>
      </c>
      <c r="R14" s="700" t="s">
        <v>18</v>
      </c>
      <c r="S14" s="701">
        <f t="shared" si="0"/>
        <v>100</v>
      </c>
      <c r="T14" s="700" t="s">
        <v>18</v>
      </c>
      <c r="U14" s="701">
        <f t="shared" si="1"/>
        <v>100</v>
      </c>
      <c r="V14" s="700" t="s">
        <v>18</v>
      </c>
      <c r="W14" s="701">
        <f t="shared" si="2"/>
        <v>100</v>
      </c>
      <c r="X14" s="702"/>
      <c r="Y14" s="3586"/>
      <c r="Z14" s="52">
        <f t="shared" si="7"/>
        <v>111</v>
      </c>
      <c r="AA14" s="703">
        <f t="shared" si="3"/>
        <v>1</v>
      </c>
      <c r="AB14" s="703">
        <f t="shared" si="4"/>
        <v>1</v>
      </c>
      <c r="AC14" s="703">
        <f t="shared" si="5"/>
        <v>1</v>
      </c>
    </row>
    <row r="15" spans="1:29" ht="85.5">
      <c r="A15" s="391" t="s">
        <v>1689</v>
      </c>
      <c r="B15" s="61" t="s">
        <v>1256</v>
      </c>
      <c r="C15" s="1894" t="str">
        <f>估价对象房地状况!C3</f>
        <v>估价对象周边居住用地比例、居住小区规模和社区发展完善程度，综合评价居住社区成熟度较好</v>
      </c>
      <c r="D15" s="392">
        <v>100</v>
      </c>
      <c r="E15" s="395"/>
      <c r="F15" s="392">
        <f>SUMIF(76:76,E16,77:77)-SUMIF(76:76,C16,77:77)+100</f>
        <v>95</v>
      </c>
      <c r="G15" s="393"/>
      <c r="H15" s="392">
        <f>SUMIF(76:76,G16,77:77)-SUMIF(76:76,C16,77:77)+100</f>
        <v>100</v>
      </c>
      <c r="I15" s="393"/>
      <c r="J15" s="392">
        <f>SUMIF(76:76,I16,77:77)-SUMIF(76:76,C16,77:77)+100</f>
        <v>100</v>
      </c>
      <c r="K15" s="396">
        <f>'土地比较法-住宅、综合'!K15</f>
        <v>5</v>
      </c>
      <c r="L15" s="2718"/>
      <c r="M15" s="2712"/>
      <c r="N15" s="2712"/>
      <c r="O15" s="2712"/>
      <c r="P15" s="3756" t="s">
        <v>1690</v>
      </c>
      <c r="Q15" s="1351" t="str">
        <f t="shared" si="6"/>
        <v>居住社区成熟度</v>
      </c>
      <c r="R15" s="704" t="s">
        <v>18</v>
      </c>
      <c r="S15" s="705">
        <f t="shared" si="0"/>
        <v>95</v>
      </c>
      <c r="T15" s="704" t="s">
        <v>18</v>
      </c>
      <c r="U15" s="705">
        <f t="shared" si="1"/>
        <v>100</v>
      </c>
      <c r="V15" s="704" t="s">
        <v>18</v>
      </c>
      <c r="W15" s="705">
        <f t="shared" si="2"/>
        <v>100</v>
      </c>
      <c r="X15" s="1354"/>
      <c r="Y15" s="3687" t="s">
        <v>1690</v>
      </c>
      <c r="Z15" s="1355" t="str">
        <f t="shared" si="7"/>
        <v>居住社区成熟度</v>
      </c>
      <c r="AA15" s="1352">
        <f t="shared" si="3"/>
        <v>1.0526315789473684</v>
      </c>
      <c r="AB15" s="1352">
        <f t="shared" si="4"/>
        <v>1</v>
      </c>
      <c r="AC15" s="1352">
        <f t="shared" si="5"/>
        <v>1</v>
      </c>
    </row>
    <row r="16" spans="1:29" ht="15">
      <c r="A16" s="379"/>
      <c r="B16" s="397"/>
      <c r="C16" s="398" t="s">
        <v>3447</v>
      </c>
      <c r="D16" s="399"/>
      <c r="E16" s="398" t="s">
        <v>3449</v>
      </c>
      <c r="F16" s="399"/>
      <c r="G16" s="398" t="s">
        <v>3447</v>
      </c>
      <c r="H16" s="401"/>
      <c r="I16" s="398" t="s">
        <v>3447</v>
      </c>
      <c r="J16" s="399"/>
      <c r="K16" s="1897"/>
      <c r="L16" s="2718"/>
      <c r="M16" s="2712"/>
      <c r="N16" s="2712"/>
      <c r="O16" s="2712"/>
      <c r="P16" s="3757"/>
      <c r="Q16" s="1351"/>
      <c r="R16" s="704"/>
      <c r="S16" s="705"/>
      <c r="T16" s="704"/>
      <c r="U16" s="705"/>
      <c r="V16" s="704"/>
      <c r="W16" s="705"/>
      <c r="X16" s="1354"/>
      <c r="Y16" s="3688"/>
      <c r="Z16" s="1355"/>
      <c r="AA16" s="1352">
        <v>1</v>
      </c>
      <c r="AB16" s="1352">
        <v>1</v>
      </c>
      <c r="AC16" s="1352">
        <v>1</v>
      </c>
    </row>
    <row r="17" spans="1:29" ht="71.25">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95</v>
      </c>
      <c r="K17" s="396">
        <f>'土地比较法-住宅、综合'!K21</f>
        <v>5</v>
      </c>
      <c r="L17" s="2718"/>
      <c r="M17" s="2712"/>
      <c r="N17" s="2712"/>
      <c r="O17" s="2712"/>
      <c r="P17" s="3757"/>
      <c r="Q17" s="1351" t="str">
        <f>B17</f>
        <v>交通便捷度</v>
      </c>
      <c r="R17" s="704" t="s">
        <v>18</v>
      </c>
      <c r="S17" s="705">
        <f>F17</f>
        <v>100</v>
      </c>
      <c r="T17" s="704" t="s">
        <v>18</v>
      </c>
      <c r="U17" s="705">
        <f>H17</f>
        <v>100</v>
      </c>
      <c r="V17" s="704" t="s">
        <v>18</v>
      </c>
      <c r="W17" s="705">
        <f>J17</f>
        <v>95</v>
      </c>
      <c r="X17" s="1354"/>
      <c r="Y17" s="3688"/>
      <c r="Z17" s="1355" t="str">
        <f>Q17</f>
        <v>交通便捷度</v>
      </c>
      <c r="AA17" s="1352">
        <f t="shared" si="3"/>
        <v>1</v>
      </c>
      <c r="AB17" s="1352">
        <f t="shared" si="4"/>
        <v>1</v>
      </c>
      <c r="AC17" s="1352">
        <f t="shared" si="5"/>
        <v>1.0526315789473684</v>
      </c>
    </row>
    <row r="18" spans="1:29" ht="15">
      <c r="A18" s="379"/>
      <c r="B18" s="407"/>
      <c r="C18" s="1899" t="s">
        <v>3447</v>
      </c>
      <c r="D18" s="401"/>
      <c r="E18" s="1899" t="s">
        <v>3447</v>
      </c>
      <c r="F18" s="401"/>
      <c r="G18" s="1899" t="s">
        <v>3447</v>
      </c>
      <c r="H18" s="399"/>
      <c r="I18" s="1899" t="s">
        <v>3449</v>
      </c>
      <c r="J18" s="399"/>
      <c r="K18" s="1897"/>
      <c r="L18" s="2718"/>
      <c r="M18" s="2712"/>
      <c r="N18" s="2712"/>
      <c r="O18" s="2712"/>
      <c r="P18" s="3757"/>
      <c r="Q18" s="1351"/>
      <c r="R18" s="704"/>
      <c r="S18" s="705"/>
      <c r="T18" s="704"/>
      <c r="U18" s="705"/>
      <c r="V18" s="704"/>
      <c r="W18" s="705"/>
      <c r="X18" s="1354"/>
      <c r="Y18" s="3688"/>
      <c r="Z18" s="1355"/>
      <c r="AA18" s="1352">
        <v>1</v>
      </c>
      <c r="AB18" s="1352">
        <v>1</v>
      </c>
      <c r="AC18" s="1352">
        <v>1</v>
      </c>
    </row>
    <row r="19" spans="1:29" ht="42.75">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105</v>
      </c>
      <c r="K19" s="396">
        <f>'土地比较法-住宅、综合'!K27</f>
        <v>5</v>
      </c>
      <c r="L19" s="2718"/>
      <c r="M19" s="2712"/>
      <c r="N19" s="2712"/>
      <c r="O19" s="2712"/>
      <c r="P19" s="3757"/>
      <c r="Q19" s="1351" t="str">
        <f>B19</f>
        <v>公共配套设施</v>
      </c>
      <c r="R19" s="704" t="s">
        <v>18</v>
      </c>
      <c r="S19" s="705">
        <f>F19</f>
        <v>100</v>
      </c>
      <c r="T19" s="704" t="s">
        <v>18</v>
      </c>
      <c r="U19" s="705">
        <f>H19</f>
        <v>100</v>
      </c>
      <c r="V19" s="704" t="s">
        <v>18</v>
      </c>
      <c r="W19" s="705">
        <f>J19</f>
        <v>105</v>
      </c>
      <c r="X19" s="1354"/>
      <c r="Y19" s="3688"/>
      <c r="Z19" s="1355" t="str">
        <f>Q19</f>
        <v>公共配套设施</v>
      </c>
      <c r="AA19" s="1352">
        <f t="shared" si="3"/>
        <v>1</v>
      </c>
      <c r="AB19" s="1352">
        <f t="shared" si="4"/>
        <v>1</v>
      </c>
      <c r="AC19" s="1352">
        <f t="shared" si="5"/>
        <v>0.95238095238095233</v>
      </c>
    </row>
    <row r="20" spans="1:29" ht="15">
      <c r="A20" s="379"/>
      <c r="B20" s="407"/>
      <c r="C20" s="398" t="s">
        <v>3449</v>
      </c>
      <c r="D20" s="399"/>
      <c r="E20" s="398" t="s">
        <v>3449</v>
      </c>
      <c r="F20" s="399"/>
      <c r="G20" s="398" t="s">
        <v>3449</v>
      </c>
      <c r="H20" s="399"/>
      <c r="I20" s="398" t="s">
        <v>3447</v>
      </c>
      <c r="J20" s="399"/>
      <c r="K20" s="1897"/>
      <c r="L20" s="2718"/>
      <c r="M20" s="2712"/>
      <c r="N20" s="2712"/>
      <c r="O20" s="2712"/>
      <c r="P20" s="3757"/>
      <c r="Q20" s="1351"/>
      <c r="R20" s="704"/>
      <c r="S20" s="705"/>
      <c r="T20" s="704"/>
      <c r="U20" s="705"/>
      <c r="V20" s="704"/>
      <c r="W20" s="705"/>
      <c r="X20" s="1354"/>
      <c r="Y20" s="3688"/>
      <c r="Z20" s="1355"/>
      <c r="AA20" s="1352">
        <v>1</v>
      </c>
      <c r="AB20" s="1352">
        <v>1</v>
      </c>
      <c r="AC20" s="1352">
        <v>1</v>
      </c>
    </row>
    <row r="21" spans="1:29" ht="28.5">
      <c r="A21" s="379"/>
      <c r="B21" s="1130"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f>'土地比较法-住宅、综合'!K29</f>
        <v>1</v>
      </c>
      <c r="L21" s="2718"/>
      <c r="M21" s="2712"/>
      <c r="N21" s="2712"/>
      <c r="O21" s="2712"/>
      <c r="P21" s="3757"/>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9"/>
      <c r="B22" s="1130"/>
      <c r="C22" s="1899" t="s">
        <v>3448</v>
      </c>
      <c r="D22" s="399"/>
      <c r="E22" s="1899" t="s">
        <v>3448</v>
      </c>
      <c r="F22" s="399"/>
      <c r="G22" s="1899" t="s">
        <v>3448</v>
      </c>
      <c r="H22" s="399"/>
      <c r="I22" s="1899" t="s">
        <v>3448</v>
      </c>
      <c r="J22" s="399"/>
      <c r="K22" s="1903"/>
      <c r="L22" s="2718"/>
      <c r="M22" s="2712"/>
      <c r="N22" s="2712"/>
      <c r="O22" s="2712"/>
      <c r="P22" s="3757"/>
      <c r="Q22" s="1351"/>
      <c r="R22" s="704"/>
      <c r="S22" s="705"/>
      <c r="T22" s="704"/>
      <c r="U22" s="705"/>
      <c r="V22" s="704"/>
      <c r="W22" s="705"/>
      <c r="X22" s="1354"/>
      <c r="Y22" s="3688"/>
      <c r="Z22" s="1355"/>
      <c r="AA22" s="1352">
        <v>1</v>
      </c>
      <c r="AB22" s="1352">
        <v>1</v>
      </c>
      <c r="AC22" s="1352">
        <v>1</v>
      </c>
    </row>
    <row r="23" spans="1:29" ht="42.75">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103</v>
      </c>
      <c r="K23" s="396">
        <f>'土地比较法-住宅、综合'!K25</f>
        <v>3</v>
      </c>
      <c r="L23" s="2718"/>
      <c r="M23" s="2712"/>
      <c r="N23" s="2712"/>
      <c r="O23" s="2712"/>
      <c r="P23" s="3757"/>
      <c r="Q23" s="1351" t="str">
        <f>B23</f>
        <v>自然及人文环境</v>
      </c>
      <c r="R23" s="704" t="s">
        <v>18</v>
      </c>
      <c r="S23" s="705">
        <f>F23</f>
        <v>100</v>
      </c>
      <c r="T23" s="704" t="s">
        <v>18</v>
      </c>
      <c r="U23" s="705">
        <f>H23</f>
        <v>100</v>
      </c>
      <c r="V23" s="704" t="s">
        <v>18</v>
      </c>
      <c r="W23" s="705">
        <f>J23</f>
        <v>103</v>
      </c>
      <c r="X23" s="1354"/>
      <c r="Y23" s="3688"/>
      <c r="Z23" s="1355" t="str">
        <f>Q23</f>
        <v>自然及人文环境</v>
      </c>
      <c r="AA23" s="1352">
        <f>D23/F23</f>
        <v>1</v>
      </c>
      <c r="AB23" s="1352">
        <f>D23/H23</f>
        <v>1</v>
      </c>
      <c r="AC23" s="1352">
        <f>D23/J23</f>
        <v>0.970873786407767</v>
      </c>
    </row>
    <row r="24" spans="1:29" ht="15">
      <c r="A24" s="379"/>
      <c r="B24" s="407"/>
      <c r="C24" s="398" t="s">
        <v>3449</v>
      </c>
      <c r="D24" s="399"/>
      <c r="E24" s="398" t="s">
        <v>3449</v>
      </c>
      <c r="F24" s="399"/>
      <c r="G24" s="398" t="s">
        <v>3449</v>
      </c>
      <c r="H24" s="399"/>
      <c r="I24" s="1896" t="s">
        <v>3447</v>
      </c>
      <c r="J24" s="399"/>
      <c r="K24" s="1897"/>
      <c r="L24" s="2718"/>
      <c r="M24" s="2712"/>
      <c r="N24" s="2712"/>
      <c r="O24" s="2712"/>
      <c r="P24" s="3757"/>
      <c r="Q24" s="1351"/>
      <c r="R24" s="704"/>
      <c r="S24" s="705"/>
      <c r="T24" s="704"/>
      <c r="U24" s="705"/>
      <c r="V24" s="704"/>
      <c r="W24" s="705"/>
      <c r="X24" s="1354"/>
      <c r="Y24" s="3688"/>
      <c r="Z24" s="1355"/>
      <c r="AA24" s="1352">
        <v>1</v>
      </c>
      <c r="AB24" s="1352">
        <v>1</v>
      </c>
      <c r="AC24" s="1352">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5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8"/>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57"/>
      <c r="Q26" s="1351" t="str">
        <f t="shared" si="11"/>
        <v>朝向</v>
      </c>
      <c r="R26" s="704" t="s">
        <v>18</v>
      </c>
      <c r="S26" s="705">
        <f t="shared" si="12"/>
        <v>100</v>
      </c>
      <c r="T26" s="704" t="s">
        <v>18</v>
      </c>
      <c r="U26" s="705">
        <f t="shared" si="13"/>
        <v>100</v>
      </c>
      <c r="V26" s="704" t="s">
        <v>18</v>
      </c>
      <c r="W26" s="705">
        <f t="shared" si="14"/>
        <v>100</v>
      </c>
      <c r="X26" s="1354"/>
      <c r="Y26" s="368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57"/>
      <c r="Q27" s="1342">
        <f t="shared" si="11"/>
        <v>111</v>
      </c>
      <c r="R27" s="700" t="s">
        <v>18</v>
      </c>
      <c r="S27" s="701">
        <f t="shared" si="12"/>
        <v>100</v>
      </c>
      <c r="T27" s="700" t="s">
        <v>18</v>
      </c>
      <c r="U27" s="701">
        <f t="shared" si="13"/>
        <v>100</v>
      </c>
      <c r="V27" s="700" t="s">
        <v>18</v>
      </c>
      <c r="W27" s="701">
        <f t="shared" si="14"/>
        <v>100</v>
      </c>
      <c r="X27" s="702"/>
      <c r="Y27" s="368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57"/>
      <c r="Q28" s="1351">
        <f t="shared" si="11"/>
        <v>111</v>
      </c>
      <c r="R28" s="704" t="s">
        <v>18</v>
      </c>
      <c r="S28" s="705">
        <f t="shared" si="12"/>
        <v>100</v>
      </c>
      <c r="T28" s="704" t="s">
        <v>18</v>
      </c>
      <c r="U28" s="705">
        <f t="shared" si="13"/>
        <v>100</v>
      </c>
      <c r="V28" s="704" t="s">
        <v>18</v>
      </c>
      <c r="W28" s="705">
        <f t="shared" si="14"/>
        <v>100</v>
      </c>
      <c r="X28" s="1354"/>
      <c r="Y28" s="368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57"/>
      <c r="Q29" s="1351">
        <f t="shared" si="11"/>
        <v>111</v>
      </c>
      <c r="R29" s="704" t="s">
        <v>18</v>
      </c>
      <c r="S29" s="705">
        <f t="shared" si="12"/>
        <v>100</v>
      </c>
      <c r="T29" s="704" t="s">
        <v>18</v>
      </c>
      <c r="U29" s="705">
        <f t="shared" si="13"/>
        <v>100</v>
      </c>
      <c r="V29" s="704" t="s">
        <v>18</v>
      </c>
      <c r="W29" s="705">
        <f t="shared" si="14"/>
        <v>100</v>
      </c>
      <c r="X29" s="1354"/>
      <c r="Y29" s="368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57"/>
      <c r="Q30" s="1351">
        <f t="shared" si="11"/>
        <v>111</v>
      </c>
      <c r="R30" s="704" t="s">
        <v>18</v>
      </c>
      <c r="S30" s="705">
        <f t="shared" si="12"/>
        <v>100</v>
      </c>
      <c r="T30" s="704" t="s">
        <v>18</v>
      </c>
      <c r="U30" s="705">
        <f t="shared" si="13"/>
        <v>100</v>
      </c>
      <c r="V30" s="704" t="s">
        <v>18</v>
      </c>
      <c r="W30" s="705">
        <f t="shared" si="14"/>
        <v>100</v>
      </c>
      <c r="X30" s="1354"/>
      <c r="Y30" s="368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57"/>
      <c r="Q31" s="1351">
        <f t="shared" si="11"/>
        <v>111</v>
      </c>
      <c r="R31" s="704" t="s">
        <v>18</v>
      </c>
      <c r="S31" s="705">
        <f t="shared" si="12"/>
        <v>100</v>
      </c>
      <c r="T31" s="704" t="s">
        <v>18</v>
      </c>
      <c r="U31" s="705">
        <f t="shared" si="13"/>
        <v>100</v>
      </c>
      <c r="V31" s="704" t="s">
        <v>18</v>
      </c>
      <c r="W31" s="705">
        <f t="shared" si="14"/>
        <v>100</v>
      </c>
      <c r="X31" s="1354"/>
      <c r="Y31" s="3688"/>
      <c r="Z31" s="1355">
        <f t="shared" si="18"/>
        <v>111</v>
      </c>
      <c r="AA31" s="1352">
        <f t="shared" si="15"/>
        <v>1</v>
      </c>
      <c r="AB31" s="1352">
        <f t="shared" si="16"/>
        <v>1</v>
      </c>
      <c r="AC31" s="1352">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8"/>
      <c r="M32" s="2712"/>
      <c r="N32" s="2712"/>
      <c r="O32" s="2712"/>
      <c r="P32" s="3752" t="s">
        <v>1695</v>
      </c>
      <c r="Q32" s="1351" t="str">
        <f t="shared" si="11"/>
        <v>建筑类型</v>
      </c>
      <c r="R32" s="704" t="s">
        <v>18</v>
      </c>
      <c r="S32" s="705">
        <f t="shared" si="12"/>
        <v>100</v>
      </c>
      <c r="T32" s="704" t="s">
        <v>18</v>
      </c>
      <c r="U32" s="705">
        <f t="shared" si="13"/>
        <v>100</v>
      </c>
      <c r="V32" s="704" t="s">
        <v>18</v>
      </c>
      <c r="W32" s="705">
        <f t="shared" si="14"/>
        <v>100</v>
      </c>
      <c r="X32" s="1354"/>
      <c r="Y32" s="3690" t="s">
        <v>1695</v>
      </c>
      <c r="Z32" s="1355" t="str">
        <f t="shared" si="18"/>
        <v>建筑类型</v>
      </c>
      <c r="AA32" s="1352">
        <f t="shared" si="15"/>
        <v>1</v>
      </c>
      <c r="AB32" s="1352">
        <f t="shared" si="16"/>
        <v>1</v>
      </c>
      <c r="AC32" s="1352">
        <f t="shared" si="17"/>
        <v>1</v>
      </c>
    </row>
    <row r="33" spans="1:29" s="422" customFormat="1" ht="15">
      <c r="A33" s="419"/>
      <c r="B33" s="375" t="s">
        <v>1696</v>
      </c>
      <c r="C33" s="420">
        <v>82153.719999999987</v>
      </c>
      <c r="D33" s="127">
        <v>100</v>
      </c>
      <c r="E33" s="381">
        <v>125000</v>
      </c>
      <c r="F33" s="376">
        <f>LOOKUP(E33,103:103,104:104)-LOOKUP(C33,103:103,104:104)+100</f>
        <v>100</v>
      </c>
      <c r="G33" s="380">
        <v>750000</v>
      </c>
      <c r="H33" s="127">
        <f>LOOKUP(G33,103:103,104:104)-LOOKUP(C33,103:103,104:104)+100</f>
        <v>101</v>
      </c>
      <c r="I33" s="381">
        <v>203902</v>
      </c>
      <c r="J33" s="127">
        <f>LOOKUP(I33,103:103,104:104)-LOOKUP(C33,103:103,104:104)+100</f>
        <v>100</v>
      </c>
      <c r="K33" s="1892"/>
      <c r="L33" s="2717"/>
      <c r="M33" s="2719"/>
      <c r="N33" s="2719"/>
      <c r="O33" s="2719"/>
      <c r="P33" s="3753"/>
      <c r="Q33" s="706" t="str">
        <f t="shared" si="11"/>
        <v>项目建筑规模</v>
      </c>
      <c r="R33" s="707" t="s">
        <v>18</v>
      </c>
      <c r="S33" s="708">
        <f t="shared" si="12"/>
        <v>100</v>
      </c>
      <c r="T33" s="707" t="s">
        <v>18</v>
      </c>
      <c r="U33" s="708">
        <f t="shared" si="13"/>
        <v>101</v>
      </c>
      <c r="V33" s="707" t="s">
        <v>18</v>
      </c>
      <c r="W33" s="708">
        <f t="shared" si="14"/>
        <v>100</v>
      </c>
      <c r="X33" s="709"/>
      <c r="Y33" s="3690"/>
      <c r="Z33" s="710" t="str">
        <f t="shared" si="18"/>
        <v>项目建筑规模</v>
      </c>
      <c r="AA33" s="1352">
        <f t="shared" si="15"/>
        <v>1</v>
      </c>
      <c r="AB33" s="1352">
        <f t="shared" si="16"/>
        <v>0.99009900990099009</v>
      </c>
      <c r="AC33" s="1352">
        <f t="shared" si="17"/>
        <v>1</v>
      </c>
    </row>
    <row r="34" spans="1:29" ht="15">
      <c r="A34" s="423"/>
      <c r="B34" s="375" t="s">
        <v>1697</v>
      </c>
      <c r="C34" s="1910" t="s">
        <v>3450</v>
      </c>
      <c r="D34" s="386">
        <v>100</v>
      </c>
      <c r="E34" s="1910" t="s">
        <v>3450</v>
      </c>
      <c r="F34" s="412">
        <f>SUMIF(105:105,E34,106:106)-SUMIF(105:105,C34,106:106)+100</f>
        <v>100</v>
      </c>
      <c r="G34" s="1910" t="s">
        <v>3450</v>
      </c>
      <c r="H34" s="386">
        <f>SUMIF(105:105,G34,106:106)-SUMIF(105:105,C34,106:106)+100</f>
        <v>100</v>
      </c>
      <c r="I34" s="1911" t="s">
        <v>3450</v>
      </c>
      <c r="J34" s="386">
        <f>SUMIF(105:105,I34,106:106)-SUMIF(105:105,C34,106:106)+100</f>
        <v>100</v>
      </c>
      <c r="K34" s="377">
        <v>2</v>
      </c>
      <c r="L34" s="2718"/>
      <c r="M34" s="2712"/>
      <c r="N34" s="2712"/>
      <c r="O34" s="2712"/>
      <c r="P34" s="3753"/>
      <c r="Q34" s="1351" t="str">
        <f t="shared" si="11"/>
        <v>建筑结构</v>
      </c>
      <c r="R34" s="704" t="s">
        <v>18</v>
      </c>
      <c r="S34" s="705">
        <f t="shared" si="12"/>
        <v>100</v>
      </c>
      <c r="T34" s="704" t="s">
        <v>18</v>
      </c>
      <c r="U34" s="705">
        <f t="shared" si="13"/>
        <v>100</v>
      </c>
      <c r="V34" s="704" t="s">
        <v>18</v>
      </c>
      <c r="W34" s="705">
        <f t="shared" si="14"/>
        <v>100</v>
      </c>
      <c r="X34" s="1354"/>
      <c r="Y34" s="3690"/>
      <c r="Z34" s="1355" t="str">
        <f t="shared" si="18"/>
        <v>建筑结构</v>
      </c>
      <c r="AA34" s="1352">
        <f t="shared" si="15"/>
        <v>1</v>
      </c>
      <c r="AB34" s="1352">
        <f t="shared" si="16"/>
        <v>1</v>
      </c>
      <c r="AC34" s="1352">
        <f t="shared" si="17"/>
        <v>1</v>
      </c>
    </row>
    <row r="35" spans="1:29" ht="15">
      <c r="A35" s="423"/>
      <c r="B35" s="375" t="s">
        <v>1698</v>
      </c>
      <c r="C35" s="1904"/>
      <c r="D35" s="386">
        <v>100</v>
      </c>
      <c r="E35" s="1904"/>
      <c r="F35" s="412">
        <f>SUMIF(107:107,E35,108:108)-SUMIF(107:107,C35,108:108)+100</f>
        <v>100</v>
      </c>
      <c r="G35" s="1904"/>
      <c r="H35" s="386">
        <f>SUMIF(107:107,G35,108:108)-SUMIF(107:107,C35,108:108)+100</f>
        <v>100</v>
      </c>
      <c r="I35" s="1905"/>
      <c r="J35" s="386">
        <f>SUMIF(107:107,I35,108:108)-SUMIF(107:107,C35,108:108)+100</f>
        <v>100</v>
      </c>
      <c r="K35" s="377"/>
      <c r="L35" s="2718"/>
      <c r="M35" s="2712"/>
      <c r="N35" s="2712"/>
      <c r="O35" s="2712"/>
      <c r="P35" s="3753"/>
      <c r="Q35" s="1351" t="str">
        <f t="shared" si="11"/>
        <v>建筑品质</v>
      </c>
      <c r="R35" s="704" t="s">
        <v>18</v>
      </c>
      <c r="S35" s="705">
        <f t="shared" si="12"/>
        <v>100</v>
      </c>
      <c r="T35" s="704" t="s">
        <v>18</v>
      </c>
      <c r="U35" s="705">
        <f t="shared" si="13"/>
        <v>100</v>
      </c>
      <c r="V35" s="704" t="s">
        <v>18</v>
      </c>
      <c r="W35" s="705">
        <f t="shared" si="14"/>
        <v>100</v>
      </c>
      <c r="X35" s="1354"/>
      <c r="Y35" s="3690"/>
      <c r="Z35" s="1355" t="str">
        <f t="shared" si="18"/>
        <v>建筑品质</v>
      </c>
      <c r="AA35" s="1352">
        <f t="shared" si="15"/>
        <v>1</v>
      </c>
      <c r="AB35" s="1352">
        <f t="shared" si="16"/>
        <v>1</v>
      </c>
      <c r="AC35" s="1352">
        <f t="shared" si="17"/>
        <v>1</v>
      </c>
    </row>
    <row r="36" spans="1:29" ht="15">
      <c r="A36" s="423"/>
      <c r="B36" s="375" t="s">
        <v>1699</v>
      </c>
      <c r="C36" s="1904" t="s">
        <v>3451</v>
      </c>
      <c r="D36" s="386">
        <v>100</v>
      </c>
      <c r="E36" s="1904" t="s">
        <v>3451</v>
      </c>
      <c r="F36" s="412">
        <f>SUMIF(109:109,E36,110:110)-SUMIF(109:109,C36,110:110)+100</f>
        <v>100</v>
      </c>
      <c r="G36" s="1904" t="s">
        <v>3451</v>
      </c>
      <c r="H36" s="386">
        <f>SUMIF(109:109,G36,110:110)-SUMIF(109:109,C36,110:110)+100</f>
        <v>100</v>
      </c>
      <c r="I36" s="1904" t="s">
        <v>3451</v>
      </c>
      <c r="J36" s="386">
        <f>SUMIF(109:109,I36,110:110)-SUMIF(109:109,C36,110:110)+100</f>
        <v>100</v>
      </c>
      <c r="K36" s="377">
        <v>2</v>
      </c>
      <c r="L36" s="2718"/>
      <c r="M36" s="2712"/>
      <c r="N36" s="2712"/>
      <c r="O36" s="2712"/>
      <c r="P36" s="3753"/>
      <c r="Q36" s="1351" t="str">
        <f t="shared" si="11"/>
        <v>公共部分装修</v>
      </c>
      <c r="R36" s="704" t="s">
        <v>18</v>
      </c>
      <c r="S36" s="705">
        <f t="shared" si="12"/>
        <v>100</v>
      </c>
      <c r="T36" s="704" t="s">
        <v>18</v>
      </c>
      <c r="U36" s="705">
        <f t="shared" si="13"/>
        <v>100</v>
      </c>
      <c r="V36" s="704" t="s">
        <v>18</v>
      </c>
      <c r="W36" s="705">
        <f t="shared" si="14"/>
        <v>100</v>
      </c>
      <c r="X36" s="1354"/>
      <c r="Y36" s="3690"/>
      <c r="Z36" s="1355" t="str">
        <f t="shared" si="18"/>
        <v>公共部分装修</v>
      </c>
      <c r="AA36" s="1352">
        <f t="shared" si="15"/>
        <v>1</v>
      </c>
      <c r="AB36" s="1352">
        <f t="shared" si="16"/>
        <v>1</v>
      </c>
      <c r="AC36" s="1352">
        <f t="shared" si="17"/>
        <v>1</v>
      </c>
    </row>
    <row r="37" spans="1:29" s="108" customFormat="1" ht="15">
      <c r="A37" s="424"/>
      <c r="B37" s="375" t="s">
        <v>1700</v>
      </c>
      <c r="C37" s="425">
        <v>1</v>
      </c>
      <c r="D37" s="127">
        <v>100</v>
      </c>
      <c r="E37" s="425">
        <v>1</v>
      </c>
      <c r="F37" s="376">
        <f>LOOKUP(E37,112:112,113:113)-LOOKUP(C37,112:112,113:113)+100</f>
        <v>100</v>
      </c>
      <c r="G37" s="425">
        <v>1</v>
      </c>
      <c r="H37" s="127">
        <f>LOOKUP(G37,112:112,113:113)-LOOKUP(C37,112:112,113:113)+100</f>
        <v>100</v>
      </c>
      <c r="I37" s="426">
        <v>1</v>
      </c>
      <c r="J37" s="127">
        <f>LOOKUP(I37,112:112,113:113)-LOOKUP(C37,112:112,113:113)+100</f>
        <v>100</v>
      </c>
      <c r="K37" s="377">
        <v>2</v>
      </c>
      <c r="L37" s="2713"/>
      <c r="M37" s="2714"/>
      <c r="N37" s="2714"/>
      <c r="O37" s="2714"/>
      <c r="P37" s="3753"/>
      <c r="Q37" s="1342" t="str">
        <f t="shared" si="11"/>
        <v>成新度</v>
      </c>
      <c r="R37" s="700" t="s">
        <v>18</v>
      </c>
      <c r="S37" s="701">
        <f t="shared" si="12"/>
        <v>100</v>
      </c>
      <c r="T37" s="700" t="s">
        <v>18</v>
      </c>
      <c r="U37" s="701">
        <f t="shared" si="13"/>
        <v>100</v>
      </c>
      <c r="V37" s="700" t="s">
        <v>18</v>
      </c>
      <c r="W37" s="701">
        <f t="shared" si="14"/>
        <v>100</v>
      </c>
      <c r="X37" s="702"/>
      <c r="Y37" s="3690"/>
      <c r="Z37" s="52" t="str">
        <f t="shared" si="18"/>
        <v>成新度</v>
      </c>
      <c r="AA37" s="703">
        <f t="shared" si="15"/>
        <v>1</v>
      </c>
      <c r="AB37" s="703">
        <f t="shared" si="16"/>
        <v>1</v>
      </c>
      <c r="AC37" s="703">
        <f t="shared" si="17"/>
        <v>1</v>
      </c>
    </row>
    <row r="38" spans="1:29" ht="15">
      <c r="A38" s="423"/>
      <c r="B38" s="375" t="s">
        <v>1701</v>
      </c>
      <c r="C38" s="1904" t="s">
        <v>3452</v>
      </c>
      <c r="D38" s="386">
        <v>100</v>
      </c>
      <c r="E38" s="1904" t="s">
        <v>3452</v>
      </c>
      <c r="F38" s="412">
        <f>SUMIF(114:114,E38,115:115)-SUMIF(114:114,C38,115:115)+100</f>
        <v>100</v>
      </c>
      <c r="G38" s="1904" t="s">
        <v>3452</v>
      </c>
      <c r="H38" s="386">
        <f>SUMIF(114:114,G38,115:115)-SUMIF(114:114,C38,115:115)+100</f>
        <v>100</v>
      </c>
      <c r="I38" s="1904" t="s">
        <v>3452</v>
      </c>
      <c r="J38" s="386">
        <f>SUMIF(114:114,I38,115:115)-SUMIF(114:114,C38,115:115)+100</f>
        <v>100</v>
      </c>
      <c r="K38" s="377">
        <v>3</v>
      </c>
      <c r="L38" s="2718"/>
      <c r="M38" s="2712"/>
      <c r="N38" s="2712"/>
      <c r="O38" s="2712"/>
      <c r="P38" s="3753" t="s">
        <v>1695</v>
      </c>
      <c r="Q38" s="1351" t="str">
        <f t="shared" si="11"/>
        <v>物业管理</v>
      </c>
      <c r="R38" s="704" t="s">
        <v>18</v>
      </c>
      <c r="S38" s="705">
        <f t="shared" si="12"/>
        <v>100</v>
      </c>
      <c r="T38" s="704" t="s">
        <v>18</v>
      </c>
      <c r="U38" s="705">
        <f t="shared" si="13"/>
        <v>100</v>
      </c>
      <c r="V38" s="704" t="s">
        <v>18</v>
      </c>
      <c r="W38" s="705">
        <f t="shared" si="14"/>
        <v>100</v>
      </c>
      <c r="X38" s="1354"/>
      <c r="Y38" s="3690" t="s">
        <v>1695</v>
      </c>
      <c r="Z38" s="1355" t="str">
        <f t="shared" si="18"/>
        <v>物业管理</v>
      </c>
      <c r="AA38" s="1352">
        <f t="shared" si="15"/>
        <v>1</v>
      </c>
      <c r="AB38" s="1352">
        <f t="shared" si="16"/>
        <v>1</v>
      </c>
      <c r="AC38" s="1352">
        <f t="shared" si="17"/>
        <v>1</v>
      </c>
    </row>
    <row r="39" spans="1:29" ht="15">
      <c r="A39" s="423"/>
      <c r="B39" s="375" t="s">
        <v>1702</v>
      </c>
      <c r="C39" s="1904" t="s">
        <v>3453</v>
      </c>
      <c r="D39" s="386">
        <v>100</v>
      </c>
      <c r="E39" s="1904" t="s">
        <v>3453</v>
      </c>
      <c r="F39" s="412">
        <f>SUMIF(116:116,E39,117:117)-SUMIF(116:116,C39,117:117)+100</f>
        <v>100</v>
      </c>
      <c r="G39" s="1904" t="s">
        <v>3453</v>
      </c>
      <c r="H39" s="386">
        <f>SUMIF(116:116,G39,117:117)-SUMIF(116:116,C39,117:117)+100</f>
        <v>100</v>
      </c>
      <c r="I39" s="1904" t="s">
        <v>3453</v>
      </c>
      <c r="J39" s="386">
        <f>SUMIF(116:116,I39,117:117)-SUMIF(116:116,C39,117:117)+100</f>
        <v>100</v>
      </c>
      <c r="K39" s="377">
        <v>2</v>
      </c>
      <c r="L39" s="2718"/>
      <c r="M39" s="2712"/>
      <c r="N39" s="2712"/>
      <c r="O39" s="2712"/>
      <c r="P39" s="3753"/>
      <c r="Q39" s="1351" t="str">
        <f t="shared" si="11"/>
        <v>市政基础设施</v>
      </c>
      <c r="R39" s="704" t="s">
        <v>18</v>
      </c>
      <c r="S39" s="705">
        <f t="shared" si="12"/>
        <v>100</v>
      </c>
      <c r="T39" s="704" t="s">
        <v>18</v>
      </c>
      <c r="U39" s="705">
        <f t="shared" si="13"/>
        <v>100</v>
      </c>
      <c r="V39" s="704" t="s">
        <v>18</v>
      </c>
      <c r="W39" s="705">
        <f t="shared" si="14"/>
        <v>100</v>
      </c>
      <c r="X39" s="1354"/>
      <c r="Y39" s="3690"/>
      <c r="Z39" s="1355" t="str">
        <f t="shared" si="18"/>
        <v>市政基础设施</v>
      </c>
      <c r="AA39" s="1352">
        <f t="shared" si="15"/>
        <v>1</v>
      </c>
      <c r="AB39" s="1352">
        <f t="shared" si="16"/>
        <v>1</v>
      </c>
      <c r="AC39" s="1352">
        <f t="shared" si="17"/>
        <v>1</v>
      </c>
    </row>
    <row r="40" spans="1:29" ht="15">
      <c r="A40" s="423"/>
      <c r="B40" s="375" t="s">
        <v>1703</v>
      </c>
      <c r="C40" s="1904" t="s">
        <v>3454</v>
      </c>
      <c r="D40" s="386">
        <v>100</v>
      </c>
      <c r="E40" s="1904" t="s">
        <v>3454</v>
      </c>
      <c r="F40" s="412">
        <f>SUMIF(118:118,E40,119:119)-SUMIF(118:118,C40,119:119)+100</f>
        <v>100</v>
      </c>
      <c r="G40" s="1904" t="s">
        <v>3454</v>
      </c>
      <c r="H40" s="386">
        <f>SUMIF(118:118,G40,119:119)-SUMIF(118:118,C40,119:119)+100</f>
        <v>100</v>
      </c>
      <c r="I40" s="1904" t="s">
        <v>3454</v>
      </c>
      <c r="J40" s="386">
        <f>SUMIF(118:118,I40,119:119)-SUMIF(118:118,C40,119:119)+100</f>
        <v>100</v>
      </c>
      <c r="K40" s="377">
        <v>2</v>
      </c>
      <c r="L40" s="2718"/>
      <c r="M40" s="2712"/>
      <c r="N40" s="2712"/>
      <c r="O40" s="2712"/>
      <c r="P40" s="3753"/>
      <c r="Q40" s="1351" t="str">
        <f t="shared" si="11"/>
        <v>房型</v>
      </c>
      <c r="R40" s="704" t="s">
        <v>18</v>
      </c>
      <c r="S40" s="705">
        <f t="shared" si="12"/>
        <v>100</v>
      </c>
      <c r="T40" s="704" t="s">
        <v>18</v>
      </c>
      <c r="U40" s="705">
        <f t="shared" si="13"/>
        <v>100</v>
      </c>
      <c r="V40" s="704" t="s">
        <v>18</v>
      </c>
      <c r="W40" s="705">
        <f t="shared" si="14"/>
        <v>100</v>
      </c>
      <c r="X40" s="1354"/>
      <c r="Y40" s="3690"/>
      <c r="Z40" s="1355" t="str">
        <f t="shared" si="18"/>
        <v>房型</v>
      </c>
      <c r="AA40" s="1352">
        <f t="shared" si="15"/>
        <v>1</v>
      </c>
      <c r="AB40" s="1352">
        <f t="shared" si="16"/>
        <v>1</v>
      </c>
      <c r="AC40" s="1352">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381"/>
      <c r="J41" s="386">
        <f>SUMIF(120:120,I41,121:121)-SUMIF(120:120,C41,121:121)+100</f>
        <v>100</v>
      </c>
      <c r="K41" s="1892"/>
      <c r="L41" s="2717"/>
      <c r="M41" s="2719"/>
      <c r="N41" s="2719"/>
      <c r="O41" s="2719"/>
      <c r="P41" s="3753"/>
      <c r="Q41" s="706" t="str">
        <f t="shared" si="11"/>
        <v>单套/主力户型建筑面积</v>
      </c>
      <c r="R41" s="707" t="s">
        <v>18</v>
      </c>
      <c r="S41" s="708">
        <f t="shared" si="12"/>
        <v>100</v>
      </c>
      <c r="T41" s="707" t="s">
        <v>18</v>
      </c>
      <c r="U41" s="708">
        <f t="shared" si="13"/>
        <v>100</v>
      </c>
      <c r="V41" s="707" t="s">
        <v>18</v>
      </c>
      <c r="W41" s="708">
        <f t="shared" si="14"/>
        <v>100</v>
      </c>
      <c r="X41" s="709"/>
      <c r="Y41" s="3690"/>
      <c r="Z41" s="710" t="str">
        <f t="shared" si="18"/>
        <v>单套/主力户型建筑面积</v>
      </c>
      <c r="AA41" s="1352">
        <f t="shared" si="15"/>
        <v>1</v>
      </c>
      <c r="AB41" s="1352">
        <f t="shared" si="16"/>
        <v>1</v>
      </c>
      <c r="AC41" s="1352">
        <f t="shared" si="17"/>
        <v>1</v>
      </c>
    </row>
    <row r="42" spans="1:29" ht="15">
      <c r="A42" s="423"/>
      <c r="B42" s="375" t="s">
        <v>1705</v>
      </c>
      <c r="C42" s="1904" t="s">
        <v>3451</v>
      </c>
      <c r="D42" s="386">
        <v>100</v>
      </c>
      <c r="E42" s="1904" t="s">
        <v>3451</v>
      </c>
      <c r="F42" s="412">
        <f>SUMIF(122:122,E42,123:123)-SUMIF(122:122,C42,123:123)+100</f>
        <v>100</v>
      </c>
      <c r="G42" s="1904" t="s">
        <v>3460</v>
      </c>
      <c r="H42" s="386">
        <f>SUMIF(122:122,G42,123:123)-SUMIF(122:122,C42,123:123)+100</f>
        <v>97</v>
      </c>
      <c r="I42" s="1905" t="s">
        <v>3451</v>
      </c>
      <c r="J42" s="386">
        <f>SUMIF(122:122,I42,123:123)-SUMIF(122:122,C42,123:123)+100</f>
        <v>100</v>
      </c>
      <c r="K42" s="377">
        <v>1</v>
      </c>
      <c r="L42" s="2718"/>
      <c r="M42" s="2712"/>
      <c r="N42" s="2712"/>
      <c r="O42" s="2712"/>
      <c r="P42" s="3753"/>
      <c r="Q42" s="1351" t="str">
        <f t="shared" si="11"/>
        <v>内部装修</v>
      </c>
      <c r="R42" s="704" t="s">
        <v>18</v>
      </c>
      <c r="S42" s="705">
        <f t="shared" si="12"/>
        <v>100</v>
      </c>
      <c r="T42" s="704" t="s">
        <v>18</v>
      </c>
      <c r="U42" s="705">
        <f t="shared" si="13"/>
        <v>97</v>
      </c>
      <c r="V42" s="704" t="s">
        <v>18</v>
      </c>
      <c r="W42" s="705">
        <f t="shared" si="14"/>
        <v>100</v>
      </c>
      <c r="X42" s="1354"/>
      <c r="Y42" s="3690"/>
      <c r="Z42" s="1355" t="str">
        <f t="shared" si="18"/>
        <v>内部装修</v>
      </c>
      <c r="AA42" s="1352">
        <f t="shared" si="15"/>
        <v>1</v>
      </c>
      <c r="AB42" s="1352">
        <f t="shared" si="16"/>
        <v>1.0309278350515463</v>
      </c>
      <c r="AC42" s="1352">
        <f t="shared" si="17"/>
        <v>1</v>
      </c>
    </row>
    <row r="43" spans="1:29" ht="15">
      <c r="A43" s="423"/>
      <c r="B43" s="375" t="s">
        <v>1706</v>
      </c>
      <c r="C43" s="1904" t="s">
        <v>3447</v>
      </c>
      <c r="D43" s="386">
        <v>100</v>
      </c>
      <c r="E43" s="1904" t="s">
        <v>3447</v>
      </c>
      <c r="F43" s="412">
        <f>SUMIF(124:124,E43,125:125)-SUMIF(124:124,C43,125:125)+100</f>
        <v>100</v>
      </c>
      <c r="G43" s="1904" t="s">
        <v>3447</v>
      </c>
      <c r="H43" s="386">
        <f>SUMIF(124:124,G43,125:125)-SUMIF(124:124,C43,125:125)+100</f>
        <v>100</v>
      </c>
      <c r="I43" s="1905" t="s">
        <v>3447</v>
      </c>
      <c r="J43" s="386">
        <f>SUMIF(124:124,I43,125:125)-SUMIF(124:124,C43,125:125)+100</f>
        <v>100</v>
      </c>
      <c r="K43" s="377">
        <v>3</v>
      </c>
      <c r="L43" s="2718"/>
      <c r="M43" s="2712"/>
      <c r="N43" s="2712"/>
      <c r="O43" s="2712"/>
      <c r="P43" s="3753"/>
      <c r="Q43" s="1351" t="str">
        <f t="shared" si="11"/>
        <v>内部装修维护情况</v>
      </c>
      <c r="R43" s="704" t="s">
        <v>18</v>
      </c>
      <c r="S43" s="705">
        <f t="shared" si="12"/>
        <v>100</v>
      </c>
      <c r="T43" s="704" t="s">
        <v>18</v>
      </c>
      <c r="U43" s="705">
        <f t="shared" si="13"/>
        <v>100</v>
      </c>
      <c r="V43" s="704" t="s">
        <v>18</v>
      </c>
      <c r="W43" s="705">
        <f t="shared" si="14"/>
        <v>100</v>
      </c>
      <c r="X43" s="1354"/>
      <c r="Y43" s="3690"/>
      <c r="Z43" s="1355" t="str">
        <f t="shared" si="18"/>
        <v>内部装修维护情况</v>
      </c>
      <c r="AA43" s="1352">
        <f t="shared" si="15"/>
        <v>1</v>
      </c>
      <c r="AB43" s="1352">
        <f t="shared" si="16"/>
        <v>1</v>
      </c>
      <c r="AC43" s="1352">
        <f t="shared" si="17"/>
        <v>1</v>
      </c>
    </row>
    <row r="44" spans="1:29" s="108" customFormat="1" ht="15">
      <c r="A44" s="424"/>
      <c r="B44" s="3460" t="s">
        <v>3457</v>
      </c>
      <c r="C44" s="3461" t="s">
        <v>3458</v>
      </c>
      <c r="D44" s="127">
        <v>100</v>
      </c>
      <c r="E44" s="3461" t="s">
        <v>3458</v>
      </c>
      <c r="F44" s="376">
        <f>SUMIF(126:126,E44,127:127)-SUMIF(126:126,C44,127:127)+100</f>
        <v>100</v>
      </c>
      <c r="G44" s="3461" t="s">
        <v>3459</v>
      </c>
      <c r="H44" s="127">
        <f>SUMIF(126:126,G44,127:127)-SUMIF(126:126,C44,127:127)+100</f>
        <v>102</v>
      </c>
      <c r="I44" s="3461" t="s">
        <v>3458</v>
      </c>
      <c r="J44" s="127">
        <f>SUMIF(126:126,I44,127:127)-SUMIF(126:126,C44,127:127)+100</f>
        <v>100</v>
      </c>
      <c r="K44" s="1892"/>
      <c r="L44" s="2713"/>
      <c r="M44" s="2714"/>
      <c r="N44" s="2714"/>
      <c r="O44" s="2714"/>
      <c r="P44" s="3753"/>
      <c r="Q44" s="1342" t="str">
        <f t="shared" si="11"/>
        <v>现房</v>
      </c>
      <c r="R44" s="700" t="s">
        <v>18</v>
      </c>
      <c r="S44" s="701">
        <f t="shared" si="12"/>
        <v>100</v>
      </c>
      <c r="T44" s="700" t="s">
        <v>18</v>
      </c>
      <c r="U44" s="701">
        <f t="shared" si="13"/>
        <v>102</v>
      </c>
      <c r="V44" s="700" t="s">
        <v>18</v>
      </c>
      <c r="W44" s="701">
        <f t="shared" si="14"/>
        <v>100</v>
      </c>
      <c r="X44" s="702"/>
      <c r="Y44" s="3690"/>
      <c r="Z44" s="52" t="str">
        <f t="shared" si="18"/>
        <v>现房</v>
      </c>
      <c r="AA44" s="703">
        <f t="shared" si="15"/>
        <v>1</v>
      </c>
      <c r="AB44" s="703">
        <f t="shared" si="16"/>
        <v>0.98039215686274506</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53"/>
      <c r="Q45" s="1351">
        <f t="shared" si="11"/>
        <v>111</v>
      </c>
      <c r="R45" s="704" t="s">
        <v>18</v>
      </c>
      <c r="S45" s="705">
        <f t="shared" si="12"/>
        <v>100</v>
      </c>
      <c r="T45" s="704" t="s">
        <v>18</v>
      </c>
      <c r="U45" s="705">
        <f t="shared" si="13"/>
        <v>100</v>
      </c>
      <c r="V45" s="704" t="s">
        <v>18</v>
      </c>
      <c r="W45" s="705">
        <f t="shared" si="14"/>
        <v>100</v>
      </c>
      <c r="X45" s="1354"/>
      <c r="Y45" s="3690"/>
      <c r="Z45" s="1355">
        <f t="shared" si="18"/>
        <v>111</v>
      </c>
      <c r="AA45" s="1352">
        <f t="shared" si="15"/>
        <v>1</v>
      </c>
      <c r="AB45" s="1352">
        <f t="shared" si="16"/>
        <v>1</v>
      </c>
      <c r="AC45" s="1352">
        <f t="shared" si="17"/>
        <v>1</v>
      </c>
    </row>
    <row r="46" spans="1:29" ht="15.75" thickBot="1">
      <c r="A46" s="428"/>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54"/>
      <c r="Q46" s="1351">
        <f t="shared" si="11"/>
        <v>111</v>
      </c>
      <c r="R46" s="704" t="s">
        <v>17</v>
      </c>
      <c r="S46" s="705">
        <f t="shared" si="12"/>
        <v>100</v>
      </c>
      <c r="T46" s="704" t="s">
        <v>17</v>
      </c>
      <c r="U46" s="705">
        <f t="shared" si="13"/>
        <v>100</v>
      </c>
      <c r="V46" s="704" t="s">
        <v>17</v>
      </c>
      <c r="W46" s="705">
        <f t="shared" si="14"/>
        <v>100</v>
      </c>
      <c r="X46" s="1354"/>
      <c r="Y46" s="3755"/>
      <c r="Z46" s="1355">
        <f t="shared" si="18"/>
        <v>111</v>
      </c>
      <c r="AA46" s="1352">
        <f t="shared" si="15"/>
        <v>1</v>
      </c>
      <c r="AB46" s="1352">
        <f t="shared" si="16"/>
        <v>1</v>
      </c>
      <c r="AC46" s="1352">
        <f t="shared" si="17"/>
        <v>1</v>
      </c>
    </row>
    <row r="47" spans="1:29" ht="15">
      <c r="A47" s="429" t="s">
        <v>1707</v>
      </c>
      <c r="B47" s="430"/>
      <c r="C47" s="1153" t="s">
        <v>16</v>
      </c>
      <c r="D47" s="1154"/>
      <c r="E47" s="1155">
        <v>58001</v>
      </c>
      <c r="F47" s="1156"/>
      <c r="G47" s="1157">
        <v>63303</v>
      </c>
      <c r="H47" s="1158"/>
      <c r="I47" s="1155">
        <v>61164</v>
      </c>
      <c r="J47" s="1158"/>
      <c r="K47" s="1912"/>
      <c r="L47" s="2720"/>
      <c r="M47" s="2721"/>
      <c r="N47" s="2712"/>
      <c r="O47" s="2721"/>
      <c r="P47" s="3686" t="str">
        <f>A47</f>
        <v>成交单价（元/平方米）</v>
      </c>
      <c r="Q47" s="3686"/>
      <c r="R47" s="3751">
        <f>E47</f>
        <v>58001</v>
      </c>
      <c r="S47" s="3751"/>
      <c r="T47" s="3751">
        <f>G47</f>
        <v>63303</v>
      </c>
      <c r="U47" s="3751"/>
      <c r="V47" s="3751">
        <f>I47</f>
        <v>61164</v>
      </c>
      <c r="W47" s="3751"/>
      <c r="X47" s="689"/>
      <c r="Y47" s="711"/>
      <c r="Z47" s="689"/>
      <c r="AA47" s="689"/>
      <c r="AB47" s="689"/>
      <c r="AC47" s="689"/>
    </row>
    <row r="48" spans="1:29" ht="15.75" thickBot="1">
      <c r="A48" s="436" t="s">
        <v>1708</v>
      </c>
      <c r="B48" s="437"/>
      <c r="C48" s="1159">
        <f>R49</f>
        <v>60897</v>
      </c>
      <c r="D48" s="2315" t="s">
        <v>2137</v>
      </c>
      <c r="E48" s="1160">
        <f>R48</f>
        <v>61054</v>
      </c>
      <c r="F48" s="2316"/>
      <c r="G48" s="1159">
        <f>T48</f>
        <v>62106</v>
      </c>
      <c r="H48" s="2316"/>
      <c r="I48" s="1160">
        <f>V48</f>
        <v>59531</v>
      </c>
      <c r="J48" s="2316"/>
      <c r="K48" s="2317">
        <f>F48+H48+J48</f>
        <v>0</v>
      </c>
      <c r="L48" s="2720"/>
      <c r="M48" s="2721"/>
      <c r="N48" s="2721"/>
      <c r="O48" s="2721"/>
      <c r="P48" s="3686" t="str">
        <f>A48</f>
        <v>比较价值（元/平方米）</v>
      </c>
      <c r="Q48" s="3686"/>
      <c r="R48" s="3751">
        <f>IF(F1="售价",ROUND(PRODUCT(R47,AA7:AA46),0),ROUND(PRODUCT(R47,AA7:AA46),1))</f>
        <v>61054</v>
      </c>
      <c r="S48" s="3751"/>
      <c r="T48" s="3751">
        <f>IF(F1="售价",ROUND(PRODUCT(T47,AB7:AB46),0),ROUND(PRODUCT(T47,AB7:AB46),1))</f>
        <v>62106</v>
      </c>
      <c r="U48" s="3751"/>
      <c r="V48" s="3751">
        <f>IF(F1="售价",ROUND(PRODUCT(V47,AC7:AC46),0),ROUND(PRODUCT(V47,AC7:AC46),1))</f>
        <v>59531</v>
      </c>
      <c r="W48" s="3751"/>
      <c r="X48" s="689"/>
      <c r="Y48" s="689"/>
      <c r="Z48" s="689"/>
      <c r="AA48" s="689"/>
      <c r="AB48" s="689"/>
      <c r="AC48" s="689"/>
    </row>
    <row r="49" spans="1:29" ht="15.75" thickBot="1">
      <c r="A49" s="440" t="s">
        <v>1709</v>
      </c>
      <c r="B49" s="441"/>
      <c r="C49" s="1161">
        <f>R49</f>
        <v>60897</v>
      </c>
      <c r="D49" s="1162"/>
      <c r="E49" s="1162"/>
      <c r="F49" s="1162"/>
      <c r="G49" s="1162"/>
      <c r="H49" s="1162"/>
      <c r="I49" s="1162"/>
      <c r="J49" s="1162"/>
      <c r="K49" s="1913"/>
      <c r="L49" s="2720"/>
      <c r="M49" s="2721"/>
      <c r="N49" s="2721"/>
      <c r="O49" s="2721"/>
      <c r="P49" s="3680" t="str">
        <f>A49</f>
        <v>估价对象XX用房的比较价值（楼面单价，元/平方米）</v>
      </c>
      <c r="Q49" s="3681"/>
      <c r="R49" s="3750">
        <f>IF(F1="售价",ROUND(IF(D48="简单平均",AVERAGE(R48:V48),R48*F48+T48*H48+V48*J48),0),ROUND(IF(D48="简单平均",AVERAGE(R48:V48),R48*F48+T48*H48+V48*J48),1))</f>
        <v>60897</v>
      </c>
      <c r="S49" s="3750"/>
      <c r="T49" s="3750"/>
      <c r="U49" s="3750"/>
      <c r="V49" s="3750"/>
      <c r="W49" s="3750"/>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f>IF(E47&lt;E48,E48/E47-1,E47/E48-1)</f>
        <v>5.2637023499594759E-2</v>
      </c>
      <c r="F52" s="448" t="str">
        <f>IF(OR(E52&gt;=0.3,E52&lt;=-0.3),"超过30%","")</f>
        <v/>
      </c>
      <c r="G52" s="447">
        <f>IF(G47&lt;G48,G48/G47-1,G47/G48-1)</f>
        <v>1.927350014491358E-2</v>
      </c>
      <c r="H52" s="448" t="str">
        <f>IF(OR(G52&gt;=0.3,G52&lt;=-0.3),"超过30%","")</f>
        <v/>
      </c>
      <c r="I52" s="447">
        <f>IF(I47&lt;I48,I48/I47-1,I47/I48-1)</f>
        <v>2.7431086324771981E-2</v>
      </c>
      <c r="J52" s="448" t="str">
        <f>IF(OR(I52&gt;=0.3,I52&lt;=-0.3),"超过30%","")</f>
        <v/>
      </c>
      <c r="K52" s="2726"/>
      <c r="L52" s="2722"/>
      <c r="M52" s="2721"/>
      <c r="N52" s="2721"/>
      <c r="O52" s="2721"/>
    </row>
    <row r="53" spans="1:29" ht="13.5" customHeight="1">
      <c r="A53" s="2721"/>
      <c r="B53" s="2721"/>
      <c r="C53" s="445" t="s">
        <v>1711</v>
      </c>
      <c r="D53" s="449"/>
      <c r="E53" s="447">
        <f>IF(E48&lt;G48,G48/E48-1,E48/G48-1)</f>
        <v>1.7230648278573124E-2</v>
      </c>
      <c r="F53" s="448" t="str">
        <f>IF(OR(E53&gt;=0.2,E53&lt;=-0.2),"超过20%","")</f>
        <v/>
      </c>
      <c r="G53" s="447">
        <f>IF(G48&lt;I48,I48/G48-1,G48/I48-1)</f>
        <v>4.3254774823201281E-2</v>
      </c>
      <c r="H53" s="448" t="str">
        <f>IF(OR(G53&gt;=0.2,G53&lt;=-0.2),"超过20%","")</f>
        <v/>
      </c>
      <c r="I53" s="447">
        <f>IF(I48&lt;E48,E48/I48-1,I48/E48-1)</f>
        <v>2.5583309536208132E-2</v>
      </c>
      <c r="J53" s="448" t="str">
        <f>IF(OR(I53&gt;=0.2,I53&lt;=-0.2),"超过20%","")</f>
        <v/>
      </c>
      <c r="K53" s="2726"/>
      <c r="L53" s="2722"/>
      <c r="M53" s="2721"/>
      <c r="N53" s="2721"/>
      <c r="O53" s="2721"/>
    </row>
    <row r="54" spans="1:29" s="450" customFormat="1" ht="13.5" customHeight="1">
      <c r="A54" s="2724"/>
      <c r="B54" s="2724"/>
      <c r="C54" s="445" t="s">
        <v>1712</v>
      </c>
      <c r="D54" s="449"/>
      <c r="E54" s="447">
        <f>IF(E47&lt;G47,G47/E47-1,E47/G47-1)</f>
        <v>9.1412217030740761E-2</v>
      </c>
      <c r="F54" s="448" t="str">
        <f>IF(OR(E54&gt;=0.3,E54&lt;=-0.3),"超过30%","")</f>
        <v/>
      </c>
      <c r="G54" s="447">
        <f>IF(G47&lt;I47,I47/G47-1,G47/I47-1)</f>
        <v>3.4971551893270503E-2</v>
      </c>
      <c r="H54" s="448" t="str">
        <f>IF(OR(G54&gt;=0.3,G54&lt;=-0.3),"超过30%","")</f>
        <v/>
      </c>
      <c r="I54" s="447">
        <f>IF(I47&lt;E47,E47/I47-1,I47/E47-1)</f>
        <v>5.4533542525128986E-2</v>
      </c>
      <c r="J54" s="448" t="str">
        <f>IF(OR(I54&gt;=0.3,I54&lt;=-0.3),"超过30%","")</f>
        <v/>
      </c>
      <c r="K54" s="2729"/>
      <c r="L54" s="2723"/>
      <c r="M54" s="2724"/>
      <c r="N54" s="2724"/>
      <c r="O54" s="2724"/>
      <c r="P54" s="1915"/>
    </row>
    <row r="55" spans="1:29" s="450"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6"/>
      <c r="Q57" s="452"/>
    </row>
    <row r="58" spans="1:29" s="456" customFormat="1" ht="15">
      <c r="A58" s="453" t="s">
        <v>1714</v>
      </c>
      <c r="B58" s="454"/>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7"/>
      <c r="B59" s="1917"/>
      <c r="C59" s="1182">
        <v>100</v>
      </c>
      <c r="D59" s="460">
        <v>100</v>
      </c>
      <c r="E59" s="460">
        <v>100</v>
      </c>
      <c r="F59" s="460">
        <v>100</v>
      </c>
      <c r="G59" s="460">
        <v>100</v>
      </c>
      <c r="H59" s="460">
        <v>100</v>
      </c>
      <c r="I59" s="460">
        <v>100</v>
      </c>
      <c r="J59" s="460"/>
      <c r="K59" s="460"/>
      <c r="L59" s="460"/>
      <c r="M59" s="461"/>
      <c r="N59" s="460"/>
      <c r="O59" s="461"/>
      <c r="P59" s="1918"/>
    </row>
    <row r="60" spans="1:29" s="108" customFormat="1" ht="15.75" thickBot="1">
      <c r="A60" s="463" t="s">
        <v>1715</v>
      </c>
      <c r="B60" s="464"/>
      <c r="C60" s="465"/>
      <c r="D60" s="466"/>
      <c r="E60" s="466"/>
      <c r="F60" s="466"/>
      <c r="G60" s="466"/>
      <c r="H60" s="466"/>
      <c r="I60" s="466"/>
      <c r="J60" s="466"/>
      <c r="K60" s="466"/>
      <c r="L60" s="466"/>
      <c r="M60" s="467"/>
      <c r="N60" s="466"/>
      <c r="O60" s="467"/>
      <c r="P60" s="1918"/>
      <c r="Q60" s="452"/>
    </row>
    <row r="61" spans="1:29" s="108" customFormat="1" ht="15">
      <c r="A61" s="469" t="s">
        <v>1716</v>
      </c>
      <c r="B61" s="458"/>
      <c r="C61" s="470" t="s">
        <v>1717</v>
      </c>
      <c r="D61" s="471"/>
      <c r="E61" s="471"/>
      <c r="F61" s="471"/>
      <c r="G61" s="471"/>
      <c r="H61" s="471"/>
      <c r="I61" s="471"/>
      <c r="J61" s="471"/>
      <c r="K61" s="471"/>
      <c r="L61" s="472"/>
      <c r="M61" s="473"/>
      <c r="N61" s="931"/>
      <c r="O61" s="931"/>
      <c r="P61" s="1919"/>
      <c r="Q61" s="452"/>
    </row>
    <row r="62" spans="1:29" s="108"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1718</v>
      </c>
      <c r="B63" s="476" t="s">
        <v>1684</v>
      </c>
      <c r="C63" s="477" t="str">
        <f>C9</f>
        <v>住宅</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1687</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1688</v>
      </c>
      <c r="C67" s="495" t="str">
        <f>C68&amp;"（含）"&amp;"-"&amp;D68</f>
        <v>0（含）-1</v>
      </c>
      <c r="D67" s="495" t="str">
        <f t="shared" ref="D67:L67" si="20">D68&amp;"（含）"&amp;"-"&amp;E68</f>
        <v>1（含）-2</v>
      </c>
      <c r="E67" s="495" t="str">
        <f t="shared" si="20"/>
        <v>2（含）-3</v>
      </c>
      <c r="F67" s="495" t="str">
        <f t="shared" si="20"/>
        <v>3（含）-4</v>
      </c>
      <c r="G67" s="495" t="str">
        <f t="shared" si="20"/>
        <v>4（含）-</v>
      </c>
      <c r="H67" s="495" t="str">
        <f t="shared" si="20"/>
        <v>（含）-</v>
      </c>
      <c r="I67" s="495" t="str">
        <f t="shared" si="20"/>
        <v>（含）-</v>
      </c>
      <c r="J67" s="495" t="str">
        <f t="shared" si="20"/>
        <v>（含）-</v>
      </c>
      <c r="K67" s="495" t="str">
        <f>K68&amp;"（含）"&amp;"-"&amp;L68</f>
        <v>（含）-</v>
      </c>
      <c r="L67" s="495" t="str">
        <f t="shared" si="20"/>
        <v>（含）-</v>
      </c>
      <c r="M67" s="399" t="str">
        <f>M68&amp;"（含）"&amp;"-"&amp;P68</f>
        <v>（含）-</v>
      </c>
      <c r="N67" s="933"/>
      <c r="O67" s="933"/>
      <c r="P67" s="1920"/>
      <c r="Q67" s="452"/>
    </row>
    <row r="68" spans="1:17" ht="15">
      <c r="A68" s="482"/>
      <c r="B68" s="496"/>
      <c r="C68" s="497">
        <v>0</v>
      </c>
      <c r="D68" s="497">
        <v>1</v>
      </c>
      <c r="E68" s="497">
        <v>2</v>
      </c>
      <c r="F68" s="497">
        <v>3</v>
      </c>
      <c r="G68" s="497">
        <v>4</v>
      </c>
      <c r="H68" s="497"/>
      <c r="I68" s="497"/>
      <c r="J68" s="497"/>
      <c r="K68" s="498"/>
      <c r="L68" s="499"/>
      <c r="M68" s="500"/>
      <c r="N68" s="932"/>
      <c r="O68" s="932"/>
      <c r="P68" s="1920"/>
      <c r="Q68" s="452"/>
    </row>
    <row r="69" spans="1:17" ht="15.75" thickBot="1">
      <c r="A69" s="482"/>
      <c r="B69" s="483"/>
      <c r="C69" s="492">
        <v>100</v>
      </c>
      <c r="D69" s="492">
        <f t="shared" ref="D69:M69" si="21">C69-$K11</f>
        <v>98</v>
      </c>
      <c r="E69" s="492">
        <f t="shared" si="21"/>
        <v>96</v>
      </c>
      <c r="F69" s="492">
        <f t="shared" si="21"/>
        <v>94</v>
      </c>
      <c r="G69" s="492">
        <f t="shared" si="21"/>
        <v>92</v>
      </c>
      <c r="H69" s="492">
        <f t="shared" si="21"/>
        <v>90</v>
      </c>
      <c r="I69" s="492">
        <f t="shared" si="21"/>
        <v>88</v>
      </c>
      <c r="J69" s="492">
        <f t="shared" si="21"/>
        <v>86</v>
      </c>
      <c r="K69" s="492">
        <f t="shared" si="21"/>
        <v>84</v>
      </c>
      <c r="L69" s="492">
        <f t="shared" si="21"/>
        <v>82</v>
      </c>
      <c r="M69" s="493">
        <f t="shared" si="21"/>
        <v>80</v>
      </c>
      <c r="N69" s="933"/>
      <c r="O69" s="933"/>
      <c r="P69" s="1920"/>
      <c r="Q69" s="452"/>
    </row>
    <row r="70" spans="1:17" s="422" customFormat="1" ht="15.75" thickTop="1">
      <c r="A70" s="501"/>
      <c r="B70" s="486">
        <f>B12</f>
        <v>111</v>
      </c>
      <c r="C70" s="502"/>
      <c r="D70" s="502"/>
      <c r="E70" s="502"/>
      <c r="F70" s="502"/>
      <c r="G70" s="502"/>
      <c r="H70" s="503"/>
      <c r="I70" s="503"/>
      <c r="J70" s="503"/>
      <c r="K70" s="503"/>
      <c r="L70" s="504"/>
      <c r="M70" s="505"/>
      <c r="N70" s="934"/>
      <c r="O70" s="934"/>
      <c r="P70" s="1921"/>
      <c r="Q70" s="507"/>
    </row>
    <row r="71" spans="1:17" s="422" customFormat="1" ht="15.75" thickBot="1">
      <c r="A71" s="501"/>
      <c r="B71" s="491"/>
      <c r="C71" s="508"/>
      <c r="D71" s="484"/>
      <c r="E71" s="484"/>
      <c r="F71" s="484"/>
      <c r="G71" s="484"/>
      <c r="H71" s="484"/>
      <c r="I71" s="484"/>
      <c r="J71" s="484"/>
      <c r="K71" s="484"/>
      <c r="L71" s="484"/>
      <c r="M71" s="485"/>
      <c r="N71" s="933"/>
      <c r="O71" s="933"/>
      <c r="P71" s="1921"/>
      <c r="Q71" s="507"/>
    </row>
    <row r="72" spans="1:17" s="422" customFormat="1" ht="15.75" thickTop="1">
      <c r="A72" s="501"/>
      <c r="B72" s="486">
        <f>B13</f>
        <v>111</v>
      </c>
      <c r="C72" s="502"/>
      <c r="D72" s="502"/>
      <c r="E72" s="502"/>
      <c r="F72" s="502"/>
      <c r="G72" s="502"/>
      <c r="H72" s="503"/>
      <c r="I72" s="503"/>
      <c r="J72" s="503"/>
      <c r="K72" s="503"/>
      <c r="L72" s="504"/>
      <c r="M72" s="505"/>
      <c r="N72" s="934"/>
      <c r="O72" s="934"/>
      <c r="P72" s="1922"/>
      <c r="Q72" s="509"/>
    </row>
    <row r="73" spans="1:17" s="422" customFormat="1" ht="15.75" thickBot="1">
      <c r="A73" s="501"/>
      <c r="B73" s="491"/>
      <c r="C73" s="508"/>
      <c r="D73" s="508"/>
      <c r="E73" s="508"/>
      <c r="F73" s="508"/>
      <c r="G73" s="508"/>
      <c r="H73" s="510"/>
      <c r="I73" s="510"/>
      <c r="J73" s="510"/>
      <c r="K73" s="510"/>
      <c r="L73" s="510"/>
      <c r="M73" s="511"/>
      <c r="N73" s="934"/>
      <c r="O73" s="934"/>
      <c r="P73" s="1921"/>
      <c r="Q73" s="507"/>
    </row>
    <row r="74" spans="1:17" s="422" customFormat="1" ht="15.75" thickTop="1">
      <c r="A74" s="501"/>
      <c r="B74" s="494">
        <f>B14</f>
        <v>111</v>
      </c>
      <c r="C74" s="502"/>
      <c r="D74" s="502"/>
      <c r="E74" s="502"/>
      <c r="F74" s="502"/>
      <c r="G74" s="471"/>
      <c r="H74" s="512"/>
      <c r="I74" s="512"/>
      <c r="J74" s="512"/>
      <c r="K74" s="512"/>
      <c r="L74" s="513"/>
      <c r="M74" s="514"/>
      <c r="N74" s="934"/>
      <c r="O74" s="934"/>
      <c r="P74" s="1923"/>
      <c r="Q74" s="507"/>
    </row>
    <row r="75" spans="1:17" s="422" customFormat="1" ht="15.75" thickBot="1">
      <c r="A75" s="516"/>
      <c r="B75" s="517"/>
      <c r="C75" s="518"/>
      <c r="D75" s="518"/>
      <c r="E75" s="518"/>
      <c r="F75" s="518"/>
      <c r="G75" s="518"/>
      <c r="H75" s="519"/>
      <c r="I75" s="519"/>
      <c r="J75" s="519"/>
      <c r="K75" s="519"/>
      <c r="L75" s="519"/>
      <c r="M75" s="520"/>
      <c r="N75" s="934"/>
      <c r="O75" s="934"/>
      <c r="P75" s="1921"/>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4"/>
      <c r="Q76" s="452"/>
    </row>
    <row r="77" spans="1:17" ht="15.75" thickBot="1">
      <c r="A77" s="482"/>
      <c r="B77" s="491"/>
      <c r="C77" s="492">
        <v>100</v>
      </c>
      <c r="D77" s="492">
        <f>C77-$K15</f>
        <v>95</v>
      </c>
      <c r="E77" s="492">
        <f>D77-$K15</f>
        <v>90</v>
      </c>
      <c r="F77" s="492">
        <f>E77-$K15</f>
        <v>85</v>
      </c>
      <c r="G77" s="492">
        <f>F77-$K15</f>
        <v>80</v>
      </c>
      <c r="H77" s="492"/>
      <c r="I77" s="492"/>
      <c r="J77" s="492"/>
      <c r="K77" s="492"/>
      <c r="L77" s="492"/>
      <c r="M77" s="493"/>
      <c r="N77" s="933"/>
      <c r="O77" s="933"/>
      <c r="P77" s="1920"/>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0"/>
      <c r="Q78" s="452"/>
    </row>
    <row r="79" spans="1:17" ht="15.75" thickBot="1">
      <c r="A79" s="482"/>
      <c r="B79" s="491"/>
      <c r="C79" s="492">
        <v>100</v>
      </c>
      <c r="D79" s="492">
        <f>C79-$K17</f>
        <v>95</v>
      </c>
      <c r="E79" s="492">
        <f>D79-$K17</f>
        <v>90</v>
      </c>
      <c r="F79" s="492">
        <f>E79-$K17</f>
        <v>85</v>
      </c>
      <c r="G79" s="492">
        <f>F79-$K17</f>
        <v>80</v>
      </c>
      <c r="H79" s="492"/>
      <c r="I79" s="492"/>
      <c r="J79" s="492"/>
      <c r="K79" s="492"/>
      <c r="L79" s="492"/>
      <c r="M79" s="493"/>
      <c r="N79" s="933"/>
      <c r="O79" s="933"/>
      <c r="P79" s="1920"/>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0"/>
      <c r="Q80" s="452"/>
    </row>
    <row r="81" spans="1:17" ht="15.75" thickBot="1">
      <c r="A81" s="482"/>
      <c r="B81" s="491"/>
      <c r="C81" s="492">
        <v>100</v>
      </c>
      <c r="D81" s="492">
        <f>C81-$K19</f>
        <v>95</v>
      </c>
      <c r="E81" s="492">
        <f>D81-$K19</f>
        <v>90</v>
      </c>
      <c r="F81" s="492">
        <f>E81-$K19</f>
        <v>85</v>
      </c>
      <c r="G81" s="492">
        <f>F81-$K19</f>
        <v>80</v>
      </c>
      <c r="H81" s="492"/>
      <c r="I81" s="492"/>
      <c r="J81" s="492"/>
      <c r="K81" s="492"/>
      <c r="L81" s="492"/>
      <c r="M81" s="493"/>
      <c r="N81" s="933"/>
      <c r="O81" s="933"/>
      <c r="P81" s="1920"/>
      <c r="Q81" s="452"/>
    </row>
    <row r="82" spans="1:17" ht="15.75" thickTop="1">
      <c r="A82" s="482"/>
      <c r="B82" s="494" t="s">
        <v>1259</v>
      </c>
      <c r="C82" s="487" t="s">
        <v>1727</v>
      </c>
      <c r="D82" s="487" t="s">
        <v>1728</v>
      </c>
      <c r="E82" s="487" t="s">
        <v>1729</v>
      </c>
      <c r="F82" s="487" t="s">
        <v>1730</v>
      </c>
      <c r="G82" s="487" t="s">
        <v>1731</v>
      </c>
      <c r="H82" s="487"/>
      <c r="I82" s="487"/>
      <c r="J82" s="487"/>
      <c r="K82" s="487"/>
      <c r="L82" s="487"/>
      <c r="M82" s="1128"/>
      <c r="N82" s="933"/>
      <c r="O82" s="933"/>
      <c r="P82" s="1920"/>
      <c r="Q82" s="452"/>
    </row>
    <row r="83" spans="1:17" ht="15.75" thickBot="1">
      <c r="A83" s="482"/>
      <c r="B83" s="494"/>
      <c r="C83" s="607">
        <v>100</v>
      </c>
      <c r="D83" s="607">
        <f>C83-$K21</f>
        <v>99</v>
      </c>
      <c r="E83" s="607">
        <f t="shared" ref="E83:G83" si="22">D83-$K21</f>
        <v>98</v>
      </c>
      <c r="F83" s="607">
        <f t="shared" si="22"/>
        <v>97</v>
      </c>
      <c r="G83" s="607">
        <f t="shared" si="22"/>
        <v>96</v>
      </c>
      <c r="H83" s="607"/>
      <c r="I83" s="607"/>
      <c r="J83" s="607"/>
      <c r="K83" s="607"/>
      <c r="L83" s="607"/>
      <c r="M83" s="401"/>
      <c r="N83" s="933"/>
      <c r="O83" s="933"/>
      <c r="P83" s="1920"/>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0"/>
      <c r="Q84" s="452"/>
    </row>
    <row r="85" spans="1:17" ht="15.75" thickBot="1">
      <c r="A85" s="482"/>
      <c r="B85" s="491"/>
      <c r="C85" s="492">
        <v>100</v>
      </c>
      <c r="D85" s="492">
        <f>C85-$K23</f>
        <v>97</v>
      </c>
      <c r="E85" s="492">
        <f>D85-$K23</f>
        <v>94</v>
      </c>
      <c r="F85" s="492">
        <f>E85-$K23</f>
        <v>91</v>
      </c>
      <c r="G85" s="492">
        <f>F85-$K23</f>
        <v>88</v>
      </c>
      <c r="H85" s="492"/>
      <c r="I85" s="492"/>
      <c r="J85" s="492"/>
      <c r="K85" s="492"/>
      <c r="L85" s="492"/>
      <c r="M85" s="493"/>
      <c r="N85" s="933"/>
      <c r="O85" s="933"/>
      <c r="P85" s="1920"/>
      <c r="Q85" s="452"/>
    </row>
    <row r="86" spans="1:17" s="108" customFormat="1" ht="15.75" thickTop="1">
      <c r="A86" s="527"/>
      <c r="B86" s="486" t="s">
        <v>1733</v>
      </c>
      <c r="C86" s="502"/>
      <c r="D86" s="502"/>
      <c r="E86" s="502"/>
      <c r="F86" s="502"/>
      <c r="G86" s="502"/>
      <c r="H86" s="502"/>
      <c r="I86" s="502"/>
      <c r="J86" s="502"/>
      <c r="K86" s="502"/>
      <c r="L86" s="528"/>
      <c r="M86" s="529"/>
      <c r="N86" s="931"/>
      <c r="O86" s="931"/>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75" thickTop="1">
      <c r="A88" s="527"/>
      <c r="B88" s="486" t="s">
        <v>1734</v>
      </c>
      <c r="C88" s="502"/>
      <c r="D88" s="502"/>
      <c r="E88" s="502"/>
      <c r="F88" s="1925"/>
      <c r="G88" s="502"/>
      <c r="H88" s="502"/>
      <c r="I88" s="502"/>
      <c r="J88" s="502"/>
      <c r="K88" s="502"/>
      <c r="L88" s="502"/>
      <c r="M88" s="529"/>
      <c r="N88" s="931"/>
      <c r="O88" s="931"/>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2" customFormat="1" ht="15.75" thickTop="1">
      <c r="A90" s="501"/>
      <c r="B90" s="486">
        <f>B27</f>
        <v>111</v>
      </c>
      <c r="C90" s="502"/>
      <c r="D90" s="502"/>
      <c r="E90" s="502"/>
      <c r="F90" s="502"/>
      <c r="G90" s="502"/>
      <c r="H90" s="503"/>
      <c r="I90" s="503"/>
      <c r="J90" s="503"/>
      <c r="K90" s="503"/>
      <c r="L90" s="504"/>
      <c r="M90" s="505"/>
      <c r="N90" s="934"/>
      <c r="O90" s="934"/>
      <c r="P90" s="1921"/>
      <c r="Q90" s="507"/>
    </row>
    <row r="91" spans="1:17" s="422"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1693</v>
      </c>
      <c r="B100" s="476" t="s">
        <v>1735</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29.25" thickTop="1">
      <c r="A102" s="482"/>
      <c r="B102" s="486" t="s">
        <v>1736</v>
      </c>
      <c r="C102" s="526" t="str">
        <f>C103&amp;"(含)"&amp;"-"&amp;D103</f>
        <v>0(含)-300000</v>
      </c>
      <c r="D102" s="526" t="str">
        <f t="shared" ref="D102:L102" si="26">D103&amp;"(含)"&amp;"-"&amp;E103</f>
        <v>300000(含)-600000</v>
      </c>
      <c r="E102" s="526" t="str">
        <f t="shared" si="26"/>
        <v>600000(含)-900000</v>
      </c>
      <c r="F102" s="526" t="str">
        <f t="shared" si="26"/>
        <v>900000(含)-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2" customFormat="1">
      <c r="A103" s="541"/>
      <c r="B103" s="542"/>
      <c r="C103" s="543">
        <v>0</v>
      </c>
      <c r="D103" s="543">
        <v>300000</v>
      </c>
      <c r="E103" s="543">
        <v>600000</v>
      </c>
      <c r="F103" s="543">
        <v>900000</v>
      </c>
      <c r="G103" s="543"/>
      <c r="H103" s="543"/>
      <c r="I103" s="543"/>
      <c r="J103" s="544"/>
      <c r="K103" s="544"/>
      <c r="L103" s="545"/>
      <c r="M103" s="546"/>
      <c r="N103" s="934"/>
      <c r="O103" s="934"/>
      <c r="P103" s="1921"/>
      <c r="Q103" s="507"/>
    </row>
    <row r="104" spans="1:17" s="422" customFormat="1" ht="15.75" thickBot="1">
      <c r="A104" s="501"/>
      <c r="B104" s="491"/>
      <c r="C104" s="508">
        <v>100</v>
      </c>
      <c r="D104" s="484">
        <f>C104+0.5</f>
        <v>100.5</v>
      </c>
      <c r="E104" s="484">
        <f t="shared" ref="E104:F104" si="27">D104+0.5</f>
        <v>101</v>
      </c>
      <c r="F104" s="484">
        <f t="shared" si="27"/>
        <v>101.5</v>
      </c>
      <c r="G104" s="484"/>
      <c r="H104" s="484"/>
      <c r="I104" s="484"/>
      <c r="J104" s="484"/>
      <c r="K104" s="484"/>
      <c r="L104" s="484"/>
      <c r="M104" s="484"/>
      <c r="N104" s="933"/>
      <c r="O104" s="933"/>
      <c r="P104" s="1921"/>
      <c r="Q104" s="507"/>
    </row>
    <row r="105" spans="1:17" ht="15" thickTop="1">
      <c r="A105" s="547"/>
      <c r="B105" s="486" t="s">
        <v>1737</v>
      </c>
      <c r="C105" s="3454" t="s">
        <v>3424</v>
      </c>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8">C106-$K34</f>
        <v>98</v>
      </c>
      <c r="E106" s="492">
        <f t="shared" si="28"/>
        <v>96</v>
      </c>
      <c r="F106" s="492">
        <f t="shared" si="28"/>
        <v>94</v>
      </c>
      <c r="G106" s="492">
        <f t="shared" si="28"/>
        <v>92</v>
      </c>
      <c r="H106" s="492">
        <f t="shared" si="28"/>
        <v>90</v>
      </c>
      <c r="I106" s="492">
        <f t="shared" si="28"/>
        <v>88</v>
      </c>
      <c r="J106" s="492">
        <f t="shared" si="28"/>
        <v>86</v>
      </c>
      <c r="K106" s="492">
        <f t="shared" si="28"/>
        <v>84</v>
      </c>
      <c r="L106" s="492">
        <f t="shared" si="28"/>
        <v>82</v>
      </c>
      <c r="M106" s="492">
        <f t="shared" si="28"/>
        <v>80</v>
      </c>
      <c r="N106" s="933"/>
      <c r="O106" s="933"/>
      <c r="P106" s="1920"/>
      <c r="Q106" s="452"/>
    </row>
    <row r="107" spans="1:17" ht="15" thickTop="1">
      <c r="A107" s="547"/>
      <c r="B107" s="486" t="s">
        <v>1738</v>
      </c>
      <c r="C107" s="3455" t="s">
        <v>3425</v>
      </c>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9">C108-$K35</f>
        <v>100</v>
      </c>
      <c r="E108" s="492">
        <f t="shared" si="29"/>
        <v>100</v>
      </c>
      <c r="F108" s="492">
        <f t="shared" si="29"/>
        <v>100</v>
      </c>
      <c r="G108" s="492">
        <f t="shared" si="29"/>
        <v>100</v>
      </c>
      <c r="H108" s="492">
        <f t="shared" si="29"/>
        <v>100</v>
      </c>
      <c r="I108" s="492">
        <f t="shared" si="29"/>
        <v>100</v>
      </c>
      <c r="J108" s="492">
        <f t="shared" si="29"/>
        <v>100</v>
      </c>
      <c r="K108" s="492">
        <f t="shared" si="29"/>
        <v>100</v>
      </c>
      <c r="L108" s="492">
        <f t="shared" si="29"/>
        <v>100</v>
      </c>
      <c r="M108" s="492">
        <f t="shared" si="29"/>
        <v>100</v>
      </c>
      <c r="N108" s="933"/>
      <c r="O108" s="933"/>
      <c r="P108" s="1920"/>
      <c r="Q108" s="452"/>
    </row>
    <row r="109" spans="1:17" ht="15" thickTop="1">
      <c r="A109" s="547"/>
      <c r="B109" s="486" t="s">
        <v>1739</v>
      </c>
      <c r="C109" s="3454" t="s">
        <v>3426</v>
      </c>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30">C110-$K36</f>
        <v>98</v>
      </c>
      <c r="E110" s="492">
        <f t="shared" si="30"/>
        <v>96</v>
      </c>
      <c r="F110" s="492">
        <f t="shared" si="30"/>
        <v>94</v>
      </c>
      <c r="G110" s="492">
        <f t="shared" si="30"/>
        <v>92</v>
      </c>
      <c r="H110" s="492">
        <f t="shared" si="30"/>
        <v>90</v>
      </c>
      <c r="I110" s="492">
        <f t="shared" si="30"/>
        <v>88</v>
      </c>
      <c r="J110" s="492">
        <f t="shared" si="30"/>
        <v>86</v>
      </c>
      <c r="K110" s="492">
        <f t="shared" si="30"/>
        <v>84</v>
      </c>
      <c r="L110" s="492">
        <f t="shared" si="30"/>
        <v>82</v>
      </c>
      <c r="M110" s="492">
        <f t="shared" si="30"/>
        <v>80</v>
      </c>
      <c r="N110" s="933"/>
      <c r="O110" s="933"/>
      <c r="P110" s="1920"/>
      <c r="Q110" s="452"/>
    </row>
    <row r="111" spans="1:17" s="422"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2"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2" customFormat="1" ht="15.75" thickBot="1">
      <c r="A113" s="501"/>
      <c r="B113" s="491"/>
      <c r="C113" s="530">
        <v>100</v>
      </c>
      <c r="D113" s="492">
        <f>C113+$K37</f>
        <v>102</v>
      </c>
      <c r="E113" s="492">
        <f>D113+$K37</f>
        <v>104</v>
      </c>
      <c r="F113" s="492">
        <f>E113+$K37</f>
        <v>106</v>
      </c>
      <c r="G113" s="492">
        <f>F113+$K37</f>
        <v>108</v>
      </c>
      <c r="H113" s="492">
        <f>G113+$K37</f>
        <v>110</v>
      </c>
      <c r="I113" s="530"/>
      <c r="J113" s="555"/>
      <c r="K113" s="555"/>
      <c r="L113" s="555"/>
      <c r="M113" s="556"/>
      <c r="N113" s="934"/>
      <c r="O113" s="934"/>
      <c r="P113" s="1921"/>
      <c r="Q113" s="507"/>
    </row>
    <row r="114" spans="1:17" ht="15" thickTop="1">
      <c r="A114" s="547"/>
      <c r="B114" s="486" t="s">
        <v>1740</v>
      </c>
      <c r="C114" s="3454" t="s">
        <v>3427</v>
      </c>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1">C115-$K38</f>
        <v>97</v>
      </c>
      <c r="E115" s="492">
        <f t="shared" si="31"/>
        <v>94</v>
      </c>
      <c r="F115" s="492">
        <f t="shared" si="31"/>
        <v>91</v>
      </c>
      <c r="G115" s="492">
        <f t="shared" si="31"/>
        <v>88</v>
      </c>
      <c r="H115" s="492">
        <f t="shared" si="31"/>
        <v>85</v>
      </c>
      <c r="I115" s="492">
        <f t="shared" si="31"/>
        <v>82</v>
      </c>
      <c r="J115" s="492">
        <f t="shared" si="31"/>
        <v>79</v>
      </c>
      <c r="K115" s="492">
        <f t="shared" si="31"/>
        <v>76</v>
      </c>
      <c r="L115" s="492">
        <f t="shared" si="31"/>
        <v>73</v>
      </c>
      <c r="M115" s="492">
        <f t="shared" si="31"/>
        <v>70</v>
      </c>
      <c r="N115" s="933"/>
      <c r="O115" s="933"/>
      <c r="P115" s="1920"/>
      <c r="Q115" s="452"/>
    </row>
    <row r="116" spans="1:17" ht="15" thickTop="1">
      <c r="A116" s="547"/>
      <c r="B116" s="486" t="s">
        <v>1741</v>
      </c>
      <c r="C116" s="3454" t="s">
        <v>3428</v>
      </c>
      <c r="D116" s="3454" t="s">
        <v>3429</v>
      </c>
      <c r="E116" s="3454" t="s">
        <v>3430</v>
      </c>
      <c r="F116" s="3454" t="s">
        <v>3431</v>
      </c>
      <c r="G116" s="3454" t="s">
        <v>3432</v>
      </c>
      <c r="H116" s="531"/>
      <c r="I116" s="531"/>
      <c r="J116" s="531"/>
      <c r="K116" s="532"/>
      <c r="L116" s="533"/>
      <c r="M116" s="534"/>
      <c r="N116" s="932"/>
      <c r="O116" s="932"/>
      <c r="P116" s="1920"/>
      <c r="Q116" s="452"/>
    </row>
    <row r="117" spans="1:17" ht="15.75" thickBot="1">
      <c r="A117" s="482"/>
      <c r="B117" s="491"/>
      <c r="C117" s="492">
        <v>100</v>
      </c>
      <c r="D117" s="492">
        <f>C117-$K39</f>
        <v>98</v>
      </c>
      <c r="E117" s="492">
        <f>D117-$K39</f>
        <v>96</v>
      </c>
      <c r="F117" s="492">
        <f>E117-$K39</f>
        <v>94</v>
      </c>
      <c r="G117" s="492">
        <f>F117-$K39</f>
        <v>92</v>
      </c>
      <c r="H117" s="492"/>
      <c r="I117" s="492"/>
      <c r="J117" s="492"/>
      <c r="K117" s="492"/>
      <c r="L117" s="492"/>
      <c r="M117" s="493"/>
      <c r="N117" s="933"/>
      <c r="O117" s="933"/>
      <c r="P117" s="1920"/>
      <c r="Q117" s="452"/>
    </row>
    <row r="118" spans="1:17" ht="15" thickTop="1">
      <c r="A118" s="547"/>
      <c r="B118" s="486" t="s">
        <v>1742</v>
      </c>
      <c r="C118" s="3455" t="s">
        <v>3433</v>
      </c>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2">C119-$K40</f>
        <v>98</v>
      </c>
      <c r="E119" s="492">
        <f t="shared" si="32"/>
        <v>96</v>
      </c>
      <c r="F119" s="492">
        <f t="shared" si="32"/>
        <v>94</v>
      </c>
      <c r="G119" s="492">
        <f t="shared" si="32"/>
        <v>92</v>
      </c>
      <c r="H119" s="492">
        <f t="shared" si="32"/>
        <v>90</v>
      </c>
      <c r="I119" s="492">
        <f t="shared" si="32"/>
        <v>88</v>
      </c>
      <c r="J119" s="492">
        <f t="shared" si="32"/>
        <v>86</v>
      </c>
      <c r="K119" s="492">
        <f t="shared" si="32"/>
        <v>84</v>
      </c>
      <c r="L119" s="492">
        <f t="shared" si="32"/>
        <v>82</v>
      </c>
      <c r="M119" s="492">
        <f t="shared" si="32"/>
        <v>80</v>
      </c>
      <c r="N119" s="933"/>
      <c r="O119" s="933"/>
      <c r="P119" s="1920"/>
      <c r="Q119" s="452"/>
    </row>
    <row r="120" spans="1:17" s="422" customFormat="1" ht="28.5" thickTop="1">
      <c r="A120" s="541"/>
      <c r="B120" s="486" t="s">
        <v>1704</v>
      </c>
      <c r="C120" s="502"/>
      <c r="D120" s="502"/>
      <c r="E120" s="502"/>
      <c r="F120" s="502"/>
      <c r="G120" s="502"/>
      <c r="H120" s="502"/>
      <c r="I120" s="502"/>
      <c r="J120" s="502"/>
      <c r="K120" s="502"/>
      <c r="L120" s="528"/>
      <c r="M120" s="529"/>
      <c r="N120" s="934"/>
      <c r="O120" s="934"/>
      <c r="P120" s="1921"/>
      <c r="Q120" s="507"/>
    </row>
    <row r="121" spans="1:17" s="422"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1743</v>
      </c>
      <c r="C122" s="3454" t="s">
        <v>3434</v>
      </c>
      <c r="D122" s="3454" t="s">
        <v>3435</v>
      </c>
      <c r="E122" s="3454" t="s">
        <v>3436</v>
      </c>
      <c r="F122" s="3455" t="s">
        <v>3437</v>
      </c>
      <c r="G122" s="531"/>
      <c r="H122" s="531"/>
      <c r="I122" s="531"/>
      <c r="J122" s="531"/>
      <c r="K122" s="532"/>
      <c r="L122" s="533"/>
      <c r="M122" s="534"/>
      <c r="N122" s="932"/>
      <c r="O122" s="932"/>
      <c r="P122" s="1920"/>
      <c r="Q122" s="452"/>
    </row>
    <row r="123" spans="1:17" ht="15.75" thickBot="1">
      <c r="A123" s="482"/>
      <c r="B123" s="491"/>
      <c r="C123" s="492">
        <v>100</v>
      </c>
      <c r="D123" s="492">
        <f t="shared" ref="D123:M123" si="33">C123-$K42</f>
        <v>99</v>
      </c>
      <c r="E123" s="492">
        <f t="shared" si="33"/>
        <v>98</v>
      </c>
      <c r="F123" s="492">
        <f t="shared" si="33"/>
        <v>97</v>
      </c>
      <c r="G123" s="492">
        <f t="shared" si="33"/>
        <v>96</v>
      </c>
      <c r="H123" s="492">
        <f t="shared" si="33"/>
        <v>95</v>
      </c>
      <c r="I123" s="492">
        <f t="shared" si="33"/>
        <v>94</v>
      </c>
      <c r="J123" s="492">
        <f t="shared" si="33"/>
        <v>93</v>
      </c>
      <c r="K123" s="492">
        <f t="shared" si="33"/>
        <v>92</v>
      </c>
      <c r="L123" s="492">
        <f t="shared" si="33"/>
        <v>91</v>
      </c>
      <c r="M123" s="492">
        <f t="shared" si="33"/>
        <v>90</v>
      </c>
      <c r="N123" s="933"/>
      <c r="O123" s="933"/>
      <c r="P123" s="1920"/>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1"/>
      <c r="Q124" s="452"/>
    </row>
    <row r="125" spans="1:17" ht="15.75" thickBot="1">
      <c r="A125" s="482"/>
      <c r="B125" s="491"/>
      <c r="C125" s="492">
        <v>100</v>
      </c>
      <c r="D125" s="492">
        <f>C125-$K43</f>
        <v>97</v>
      </c>
      <c r="E125" s="492">
        <f>D125-$K43</f>
        <v>94</v>
      </c>
      <c r="F125" s="492">
        <f>E125-$K43</f>
        <v>91</v>
      </c>
      <c r="G125" s="492">
        <f>F125-$K43</f>
        <v>88</v>
      </c>
      <c r="H125" s="492"/>
      <c r="I125" s="492"/>
      <c r="J125" s="492"/>
      <c r="K125" s="492"/>
      <c r="L125" s="492"/>
      <c r="M125" s="493"/>
      <c r="N125" s="933"/>
      <c r="O125" s="933"/>
      <c r="P125" s="1920"/>
      <c r="Q125" s="452"/>
    </row>
    <row r="126" spans="1:17" s="422" customFormat="1" ht="15" thickTop="1">
      <c r="A126" s="541"/>
      <c r="B126" s="486" t="str">
        <f>B44</f>
        <v>现房</v>
      </c>
      <c r="C126" s="3454" t="s">
        <v>3459</v>
      </c>
      <c r="D126" s="3454" t="s">
        <v>3458</v>
      </c>
      <c r="E126" s="502"/>
      <c r="F126" s="502"/>
      <c r="G126" s="502"/>
      <c r="H126" s="503"/>
      <c r="I126" s="503"/>
      <c r="J126" s="503"/>
      <c r="K126" s="503"/>
      <c r="L126" s="504"/>
      <c r="M126" s="505"/>
      <c r="N126" s="934"/>
      <c r="O126" s="934"/>
      <c r="P126" s="1921"/>
      <c r="Q126" s="507"/>
    </row>
    <row r="127" spans="1:17" s="422" customFormat="1" ht="15.75" thickBot="1">
      <c r="A127" s="501"/>
      <c r="B127" s="491"/>
      <c r="C127" s="508">
        <v>100</v>
      </c>
      <c r="D127" s="484">
        <v>98</v>
      </c>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5.75"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c r="B147" s="1927" t="s">
        <v>1763</v>
      </c>
    </row>
    <row r="148" spans="2:11">
      <c r="B148" s="192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0"/>
      <c r="Q2" s="911"/>
      <c r="R2" s="911"/>
      <c r="S2" s="911"/>
      <c r="T2" s="911"/>
      <c r="U2" s="911"/>
      <c r="V2" s="911"/>
      <c r="W2" s="911"/>
      <c r="X2" s="911"/>
      <c r="Y2" s="911"/>
      <c r="Z2" s="911"/>
      <c r="AA2" s="911"/>
      <c r="AB2" s="911"/>
      <c r="AC2" s="1951"/>
    </row>
    <row r="3" spans="1:29" s="352" customFormat="1" ht="28.5" customHeight="1" thickBot="1">
      <c r="A3" s="203" t="s">
        <v>1463</v>
      </c>
      <c r="B3" s="557">
        <f>IF(C2="——",C49,ROUND(B2*10000/D3,0))</f>
        <v>0</v>
      </c>
      <c r="C3" s="354" t="s">
        <v>1767</v>
      </c>
      <c r="D3" s="353">
        <f>IF(D1="",'数据-汇总表'!E3,SUMIF('数据-汇总表'!$C19:$C33,D1,'数据-汇总表'!$E19:$E33))</f>
        <v>54229.759999999966</v>
      </c>
      <c r="E3" s="1952"/>
      <c r="F3" s="908"/>
      <c r="G3" s="907"/>
      <c r="H3" s="907"/>
      <c r="I3" s="907"/>
      <c r="J3" s="907"/>
      <c r="K3" s="909"/>
      <c r="L3" s="2730"/>
      <c r="M3" s="2731"/>
      <c r="N3" s="2731"/>
      <c r="O3" s="2731"/>
      <c r="P3" s="1950"/>
      <c r="Q3" s="911"/>
      <c r="R3" s="911"/>
      <c r="S3" s="911"/>
      <c r="T3" s="911"/>
      <c r="U3" s="911"/>
      <c r="V3" s="911"/>
      <c r="W3" s="911"/>
      <c r="X3" s="911"/>
      <c r="Y3" s="911"/>
      <c r="Z3" s="911"/>
      <c r="AA3" s="911"/>
      <c r="AB3" s="911"/>
      <c r="AC3" s="1952"/>
    </row>
    <row r="4" spans="1:29" ht="15">
      <c r="A4" s="355" t="s">
        <v>1768</v>
      </c>
      <c r="B4" s="356"/>
      <c r="C4" s="3683" t="s">
        <v>1769</v>
      </c>
      <c r="D4" s="3695"/>
      <c r="E4" s="3696" t="s">
        <v>1770</v>
      </c>
      <c r="F4" s="3697"/>
      <c r="G4" s="3683" t="s">
        <v>1771</v>
      </c>
      <c r="H4" s="3695"/>
      <c r="I4" s="3683" t="s">
        <v>1772</v>
      </c>
      <c r="J4" s="3695"/>
      <c r="K4" s="558" t="s">
        <v>1773</v>
      </c>
      <c r="L4" s="2711"/>
      <c r="M4" s="2712"/>
      <c r="N4" s="2712"/>
      <c r="O4" s="2712"/>
      <c r="P4" s="3698" t="s">
        <v>1774</v>
      </c>
      <c r="Q4" s="3699"/>
      <c r="R4" s="3704" t="s">
        <v>1770</v>
      </c>
      <c r="S4" s="3705"/>
      <c r="T4" s="3704" t="s">
        <v>1771</v>
      </c>
      <c r="U4" s="3705"/>
      <c r="V4" s="3691" t="s">
        <v>1772</v>
      </c>
      <c r="W4" s="3691"/>
      <c r="X4" s="1354"/>
      <c r="Y4" s="3704" t="s">
        <v>1774</v>
      </c>
      <c r="Z4" s="3705"/>
      <c r="AA4" s="3692" t="s">
        <v>1770</v>
      </c>
      <c r="AB4" s="3691" t="s">
        <v>1771</v>
      </c>
      <c r="AC4" s="3692" t="s">
        <v>1772</v>
      </c>
    </row>
    <row r="5" spans="1:29" ht="15">
      <c r="A5" s="358"/>
      <c r="B5" s="359"/>
      <c r="C5" s="3712" t="s">
        <v>1672</v>
      </c>
      <c r="D5" s="3713"/>
      <c r="E5" s="3759" t="s">
        <v>1673</v>
      </c>
      <c r="F5" s="3720"/>
      <c r="G5" s="3712" t="s">
        <v>1674</v>
      </c>
      <c r="H5" s="3713"/>
      <c r="I5" s="3712" t="s">
        <v>1675</v>
      </c>
      <c r="J5" s="3713"/>
      <c r="K5" s="558"/>
      <c r="L5" s="2711"/>
      <c r="M5" s="2712"/>
      <c r="N5" s="2712"/>
      <c r="O5" s="2712"/>
      <c r="P5" s="3700"/>
      <c r="Q5" s="3701"/>
      <c r="R5" s="3706"/>
      <c r="S5" s="3707"/>
      <c r="T5" s="3706"/>
      <c r="U5" s="3707"/>
      <c r="V5" s="3691"/>
      <c r="W5" s="3691"/>
      <c r="X5" s="1354"/>
      <c r="Y5" s="3706"/>
      <c r="Z5" s="3707"/>
      <c r="AA5" s="3693"/>
      <c r="AB5" s="3691"/>
      <c r="AC5" s="3693"/>
    </row>
    <row r="6" spans="1:29" ht="15.75" thickBot="1">
      <c r="A6" s="360"/>
      <c r="B6" s="361"/>
      <c r="C6" s="3710" t="s">
        <v>1676</v>
      </c>
      <c r="D6" s="3711"/>
      <c r="E6" s="3717" t="s">
        <v>1676</v>
      </c>
      <c r="F6" s="3718"/>
      <c r="G6" s="3710" t="s">
        <v>1676</v>
      </c>
      <c r="H6" s="3711"/>
      <c r="I6" s="3710" t="s">
        <v>1676</v>
      </c>
      <c r="J6" s="3711"/>
      <c r="K6" s="558" t="s">
        <v>1677</v>
      </c>
      <c r="L6" s="2711"/>
      <c r="M6" s="2712"/>
      <c r="N6" s="2712"/>
      <c r="O6" s="2712"/>
      <c r="P6" s="3702"/>
      <c r="Q6" s="3703"/>
      <c r="R6" s="3706"/>
      <c r="S6" s="3707"/>
      <c r="T6" s="3708"/>
      <c r="U6" s="3709"/>
      <c r="V6" s="3691"/>
      <c r="W6" s="3691"/>
      <c r="X6" s="1354"/>
      <c r="Y6" s="3708"/>
      <c r="Z6" s="3709"/>
      <c r="AA6" s="3694"/>
      <c r="AB6" s="3691"/>
      <c r="AC6" s="3694"/>
    </row>
    <row r="7" spans="1:29" s="108" customFormat="1" ht="15.75" thickBot="1">
      <c r="A7" s="362" t="s">
        <v>1678</v>
      </c>
      <c r="B7" s="363"/>
      <c r="C7" s="364">
        <f>'数据-取费表'!B2</f>
        <v>45009</v>
      </c>
      <c r="D7" s="365">
        <v>100</v>
      </c>
      <c r="E7" s="366"/>
      <c r="F7" s="367">
        <f>SUMIF(58:58,YEAR(E7)&amp;"-"&amp;MONTH(E7),59:59)</f>
        <v>0</v>
      </c>
      <c r="G7" s="366"/>
      <c r="H7" s="365">
        <f>SUMIF(58:58,YEAR(G7)&amp;"-"&amp;MONTH(G7),59:59)</f>
        <v>0</v>
      </c>
      <c r="I7" s="366"/>
      <c r="J7" s="365">
        <f>SUMIF(58:58,YEAR(I7)&amp;"-"&amp;MONTH(I7),59:59)</f>
        <v>0</v>
      </c>
      <c r="K7" s="559"/>
      <c r="L7" s="2713"/>
      <c r="M7" s="2714"/>
      <c r="N7" s="2714"/>
      <c r="O7" s="2714"/>
      <c r="P7" s="3714" t="s">
        <v>1679</v>
      </c>
      <c r="Q7" s="3716"/>
      <c r="R7" s="700" t="s">
        <v>14</v>
      </c>
      <c r="S7" s="701">
        <f t="shared" ref="S7:S15" si="0">F7</f>
        <v>0</v>
      </c>
      <c r="T7" s="700" t="s">
        <v>14</v>
      </c>
      <c r="U7" s="701">
        <f t="shared" ref="U7:U15" si="1">H7</f>
        <v>0</v>
      </c>
      <c r="V7" s="700" t="s">
        <v>14</v>
      </c>
      <c r="W7" s="701">
        <f t="shared" ref="W7:W15" si="2">J7</f>
        <v>0</v>
      </c>
      <c r="X7" s="702"/>
      <c r="Y7" s="3714" t="s">
        <v>1679</v>
      </c>
      <c r="Z7" s="3715"/>
      <c r="AA7" s="703" t="e">
        <f>D7/F7</f>
        <v>#DIV/0!</v>
      </c>
      <c r="AB7" s="703" t="e">
        <f>D7/H7</f>
        <v>#DIV/0!</v>
      </c>
      <c r="AC7" s="703"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59"/>
      <c r="L8" s="2713"/>
      <c r="M8" s="2714"/>
      <c r="N8" s="2714"/>
      <c r="O8" s="2714"/>
      <c r="P8" s="3714" t="s">
        <v>1682</v>
      </c>
      <c r="Q8" s="3715"/>
      <c r="R8" s="700" t="s">
        <v>14</v>
      </c>
      <c r="S8" s="701">
        <f t="shared" si="0"/>
        <v>100</v>
      </c>
      <c r="T8" s="700" t="s">
        <v>14</v>
      </c>
      <c r="U8" s="701">
        <f t="shared" si="1"/>
        <v>100</v>
      </c>
      <c r="V8" s="700" t="s">
        <v>14</v>
      </c>
      <c r="W8" s="701">
        <f t="shared" si="2"/>
        <v>100</v>
      </c>
      <c r="X8" s="702"/>
      <c r="Y8" s="3714" t="s">
        <v>1682</v>
      </c>
      <c r="Z8" s="3715"/>
      <c r="AA8" s="703">
        <f t="shared" ref="AA8:AA46" si="3">D8/F8</f>
        <v>1</v>
      </c>
      <c r="AB8" s="703">
        <f t="shared" ref="AB8:AB46" si="4">D8/H8</f>
        <v>1</v>
      </c>
      <c r="AC8" s="703">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59"/>
      <c r="L9" s="2713"/>
      <c r="M9" s="2714"/>
      <c r="N9" s="2714"/>
      <c r="O9" s="2714"/>
      <c r="P9" s="3685"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59"/>
      <c r="L10" s="2715"/>
      <c r="M10" s="2716"/>
      <c r="N10" s="2716"/>
      <c r="O10" s="2716"/>
      <c r="P10" s="3685"/>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0"/>
      <c r="L11" s="2717"/>
      <c r="M11" s="2712"/>
      <c r="N11" s="2712"/>
      <c r="O11" s="2712"/>
      <c r="P11" s="3685"/>
      <c r="Q11" s="1342" t="str">
        <f t="shared" si="6"/>
        <v>容积率</v>
      </c>
      <c r="R11" s="700" t="s">
        <v>14</v>
      </c>
      <c r="S11" s="701" t="e">
        <f t="shared" si="0"/>
        <v>#N/A</v>
      </c>
      <c r="T11" s="700" t="s">
        <v>14</v>
      </c>
      <c r="U11" s="701" t="e">
        <f t="shared" si="1"/>
        <v>#N/A</v>
      </c>
      <c r="V11" s="700" t="s">
        <v>14</v>
      </c>
      <c r="W11" s="701" t="e">
        <f t="shared" si="2"/>
        <v>#N/A</v>
      </c>
      <c r="X11" s="702"/>
      <c r="Y11" s="3586"/>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1"/>
      <c r="L12" s="2713"/>
      <c r="M12" s="2714"/>
      <c r="N12" s="2714"/>
      <c r="O12" s="2714"/>
      <c r="P12" s="3685"/>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1"/>
      <c r="L13" s="2718"/>
      <c r="M13" s="2712"/>
      <c r="N13" s="2712"/>
      <c r="O13" s="2712"/>
      <c r="P13" s="3685"/>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1"/>
      <c r="L14" s="2718"/>
      <c r="M14" s="2712"/>
      <c r="N14" s="2712"/>
      <c r="O14" s="2712"/>
      <c r="P14" s="3685"/>
      <c r="Q14" s="1342">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71.25">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2"/>
      <c r="L15" s="2718"/>
      <c r="M15" s="2712"/>
      <c r="N15" s="2712"/>
      <c r="O15" s="2712"/>
      <c r="P15" s="3756" t="s">
        <v>1690</v>
      </c>
      <c r="Q15" s="1351" t="str">
        <f t="shared" si="6"/>
        <v>商业繁华度</v>
      </c>
      <c r="R15" s="704" t="s">
        <v>14</v>
      </c>
      <c r="S15" s="705">
        <f t="shared" si="0"/>
        <v>100</v>
      </c>
      <c r="T15" s="704" t="s">
        <v>14</v>
      </c>
      <c r="U15" s="705">
        <f t="shared" si="1"/>
        <v>100</v>
      </c>
      <c r="V15" s="704" t="s">
        <v>14</v>
      </c>
      <c r="W15" s="705">
        <f t="shared" si="2"/>
        <v>100</v>
      </c>
      <c r="X15" s="1354"/>
      <c r="Y15" s="3687"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3"/>
      <c r="L16" s="2718"/>
      <c r="M16" s="2712"/>
      <c r="N16" s="2712"/>
      <c r="O16" s="2712"/>
      <c r="P16" s="3757"/>
      <c r="Q16" s="1351"/>
      <c r="R16" s="704"/>
      <c r="S16" s="705"/>
      <c r="T16" s="704"/>
      <c r="U16" s="705"/>
      <c r="V16" s="704"/>
      <c r="W16" s="705"/>
      <c r="X16" s="1354"/>
      <c r="Y16" s="3688"/>
      <c r="Z16" s="1355"/>
      <c r="AA16" s="1352">
        <v>1</v>
      </c>
      <c r="AB16" s="1352">
        <v>1</v>
      </c>
      <c r="AC16" s="1352">
        <v>1</v>
      </c>
    </row>
    <row r="17" spans="1:29" ht="85.5">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2"/>
      <c r="L17" s="2718"/>
      <c r="M17" s="2712"/>
      <c r="N17" s="2712"/>
      <c r="O17" s="2712"/>
      <c r="P17" s="3757"/>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3"/>
      <c r="L18" s="2718"/>
      <c r="M18" s="2712"/>
      <c r="N18" s="2712"/>
      <c r="O18" s="2712"/>
      <c r="P18" s="3757"/>
      <c r="Q18" s="1351"/>
      <c r="R18" s="704"/>
      <c r="S18" s="705"/>
      <c r="T18" s="704"/>
      <c r="U18" s="705"/>
      <c r="V18" s="704"/>
      <c r="W18" s="705"/>
      <c r="X18" s="1354"/>
      <c r="Y18" s="3688"/>
      <c r="Z18" s="1355"/>
      <c r="AA18" s="1352">
        <v>1</v>
      </c>
      <c r="AB18" s="1352">
        <v>1</v>
      </c>
      <c r="AC18" s="1352">
        <v>1</v>
      </c>
    </row>
    <row r="19" spans="1:29" ht="42.75">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2"/>
      <c r="L19" s="2718"/>
      <c r="M19" s="2712"/>
      <c r="N19" s="2712"/>
      <c r="O19" s="2712"/>
      <c r="P19" s="3757"/>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3"/>
      <c r="L20" s="2718"/>
      <c r="M20" s="2712"/>
      <c r="N20" s="2712"/>
      <c r="O20" s="2712"/>
      <c r="P20" s="3757"/>
      <c r="Q20" s="1351"/>
      <c r="R20" s="704"/>
      <c r="S20" s="705"/>
      <c r="T20" s="704"/>
      <c r="U20" s="705"/>
      <c r="V20" s="704"/>
      <c r="W20" s="705"/>
      <c r="X20" s="1354"/>
      <c r="Y20" s="3688"/>
      <c r="Z20" s="1355"/>
      <c r="AA20" s="1352">
        <v>1</v>
      </c>
      <c r="AB20" s="1352">
        <v>1</v>
      </c>
      <c r="AC20" s="1352">
        <v>1</v>
      </c>
    </row>
    <row r="21" spans="1:29" ht="28.5">
      <c r="A21" s="379"/>
      <c r="B21" s="1130"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2"/>
      <c r="L21" s="2718"/>
      <c r="M21" s="2712"/>
      <c r="N21" s="2712"/>
      <c r="O21" s="2712"/>
      <c r="P21" s="3757"/>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18"/>
      <c r="M22" s="2712"/>
      <c r="N22" s="2712"/>
      <c r="O22" s="2712"/>
      <c r="P22" s="3757"/>
      <c r="Q22" s="1351"/>
      <c r="R22" s="704"/>
      <c r="S22" s="705"/>
      <c r="T22" s="704"/>
      <c r="U22" s="705"/>
      <c r="V22" s="704"/>
      <c r="W22" s="705"/>
      <c r="X22" s="1354"/>
      <c r="Y22" s="3688"/>
      <c r="Z22" s="1355"/>
      <c r="AA22" s="1352">
        <v>1</v>
      </c>
      <c r="AB22" s="1352">
        <v>1</v>
      </c>
      <c r="AC22" s="1352">
        <v>1</v>
      </c>
    </row>
    <row r="23" spans="1:29" ht="57">
      <c r="A23" s="379"/>
      <c r="B23" s="402" t="s">
        <v>1260</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2"/>
      <c r="L23" s="2718"/>
      <c r="M23" s="2712"/>
      <c r="N23" s="2712"/>
      <c r="O23" s="2712"/>
      <c r="P23" s="3757"/>
      <c r="Q23" s="1351" t="str">
        <f>B23</f>
        <v>自然及人文环境</v>
      </c>
      <c r="R23" s="704" t="s">
        <v>14</v>
      </c>
      <c r="S23" s="705">
        <f>F23</f>
        <v>100</v>
      </c>
      <c r="T23" s="704" t="s">
        <v>14</v>
      </c>
      <c r="U23" s="705">
        <f>H23</f>
        <v>100</v>
      </c>
      <c r="V23" s="704" t="s">
        <v>14</v>
      </c>
      <c r="W23" s="705">
        <f>J23</f>
        <v>100</v>
      </c>
      <c r="X23" s="1354"/>
      <c r="Y23" s="3688"/>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3"/>
      <c r="L24" s="2718"/>
      <c r="M24" s="2712"/>
      <c r="N24" s="2712"/>
      <c r="O24" s="2712"/>
      <c r="P24" s="3757"/>
      <c r="Q24" s="1351"/>
      <c r="R24" s="704"/>
      <c r="S24" s="705"/>
      <c r="T24" s="704"/>
      <c r="U24" s="705"/>
      <c r="V24" s="704"/>
      <c r="W24" s="705"/>
      <c r="X24" s="1354"/>
      <c r="Y24" s="3688"/>
      <c r="Z24" s="1355"/>
      <c r="AA24" s="1352">
        <v>1</v>
      </c>
      <c r="AB24" s="1352">
        <v>1</v>
      </c>
      <c r="AC24" s="1352">
        <v>1</v>
      </c>
    </row>
    <row r="25" spans="1:29" ht="15">
      <c r="A25" s="379"/>
      <c r="B25" s="375" t="s">
        <v>1779</v>
      </c>
      <c r="C25" s="564"/>
      <c r="D25" s="386">
        <v>100</v>
      </c>
      <c r="E25" s="564"/>
      <c r="F25" s="412">
        <f>SUMIF(86:86,E25,87:87)-SUMIF(86:86,C25,87:87)+100</f>
        <v>100</v>
      </c>
      <c r="G25" s="564"/>
      <c r="H25" s="386">
        <f>SUMIF(86:86,G25,87:87)-SUMIF(86:86,C25,87:87)+100</f>
        <v>100</v>
      </c>
      <c r="I25" s="564"/>
      <c r="J25" s="386">
        <f>SUMIF(86:86,I25,87:87)-SUMIF(86:86,C25,87:87)+100</f>
        <v>100</v>
      </c>
      <c r="K25" s="560"/>
      <c r="L25" s="2718"/>
      <c r="M25" s="2712"/>
      <c r="N25" s="2712"/>
      <c r="O25" s="2712"/>
      <c r="P25" s="3757"/>
      <c r="Q25" s="1351" t="str">
        <f t="shared" ref="Q25:Q46" si="11">B25</f>
        <v>临街状况</v>
      </c>
      <c r="R25" s="704" t="s">
        <v>14</v>
      </c>
      <c r="S25" s="705">
        <f>F25</f>
        <v>100</v>
      </c>
      <c r="T25" s="704" t="s">
        <v>14</v>
      </c>
      <c r="U25" s="705">
        <f>H25</f>
        <v>100</v>
      </c>
      <c r="V25" s="704" t="s">
        <v>14</v>
      </c>
      <c r="W25" s="705">
        <f>J25</f>
        <v>100</v>
      </c>
      <c r="X25" s="1354"/>
      <c r="Y25" s="3688"/>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1"/>
      <c r="L26" s="2718"/>
      <c r="M26" s="2712"/>
      <c r="N26" s="2712"/>
      <c r="O26" s="2712"/>
      <c r="P26" s="3757"/>
      <c r="Q26" s="1351" t="str">
        <f t="shared" si="11"/>
        <v>平面位置/可视性</v>
      </c>
      <c r="R26" s="704" t="s">
        <v>14</v>
      </c>
      <c r="S26" s="705">
        <f>F26</f>
        <v>100</v>
      </c>
      <c r="T26" s="704" t="s">
        <v>14</v>
      </c>
      <c r="U26" s="705">
        <f>H26</f>
        <v>100</v>
      </c>
      <c r="V26" s="704" t="s">
        <v>14</v>
      </c>
      <c r="W26" s="705">
        <f>J26</f>
        <v>100</v>
      </c>
      <c r="X26" s="1354"/>
      <c r="Y26" s="3688"/>
      <c r="Z26" s="1355" t="str">
        <f>Q26</f>
        <v>平面位置/可视性</v>
      </c>
      <c r="AA26" s="1352">
        <f t="shared" si="3"/>
        <v>1</v>
      </c>
      <c r="AB26" s="1352">
        <f t="shared" si="4"/>
        <v>1</v>
      </c>
      <c r="AC26" s="1352">
        <f t="shared" si="5"/>
        <v>1</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0"/>
      <c r="L27" s="2713"/>
      <c r="M27" s="2714"/>
      <c r="N27" s="2714"/>
      <c r="O27" s="2714"/>
      <c r="P27" s="3757"/>
      <c r="Q27" s="1342" t="str">
        <f t="shared" si="11"/>
        <v>人流量</v>
      </c>
      <c r="R27" s="700" t="s">
        <v>14</v>
      </c>
      <c r="S27" s="701">
        <f>F27</f>
        <v>100</v>
      </c>
      <c r="T27" s="700" t="s">
        <v>14</v>
      </c>
      <c r="U27" s="701">
        <f>H27</f>
        <v>100</v>
      </c>
      <c r="V27" s="700" t="s">
        <v>14</v>
      </c>
      <c r="W27" s="701">
        <f>J27</f>
        <v>100</v>
      </c>
      <c r="X27" s="702"/>
      <c r="Y27" s="3688"/>
      <c r="Z27" s="52" t="str">
        <f>Q27</f>
        <v>人流量</v>
      </c>
      <c r="AA27" s="1352">
        <f>D27/F27</f>
        <v>1</v>
      </c>
      <c r="AB27" s="1352">
        <f>D27/H27</f>
        <v>1</v>
      </c>
      <c r="AC27" s="1352">
        <f>D27/J27</f>
        <v>1</v>
      </c>
    </row>
    <row r="28" spans="1:29" ht="15">
      <c r="A28" s="379"/>
      <c r="B28" s="375" t="s">
        <v>1782</v>
      </c>
      <c r="C28" s="564"/>
      <c r="D28" s="386">
        <v>100</v>
      </c>
      <c r="E28" s="564"/>
      <c r="F28" s="412">
        <f>SUMIF(92:92,E28,93:93)-SUMIF(92:92,C28,93:93)+100</f>
        <v>100</v>
      </c>
      <c r="G28" s="564"/>
      <c r="H28" s="386">
        <f>SUMIF(92:92,G28,93:93)-SUMIF(92:92,C28,93:93)+100</f>
        <v>100</v>
      </c>
      <c r="I28" s="564"/>
      <c r="J28" s="386">
        <f>SUMIF(92:92,I28,93:93)-SUMIF(92:92,C28,93:93)+100</f>
        <v>100</v>
      </c>
      <c r="K28" s="561"/>
      <c r="L28" s="2718"/>
      <c r="M28" s="2712"/>
      <c r="N28" s="2712"/>
      <c r="O28" s="2712"/>
      <c r="P28" s="375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8"/>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1"/>
      <c r="L29" s="2718"/>
      <c r="M29" s="2712"/>
      <c r="N29" s="2712"/>
      <c r="O29" s="2712"/>
      <c r="P29" s="3757"/>
      <c r="Q29" s="1351">
        <f t="shared" si="11"/>
        <v>111</v>
      </c>
      <c r="R29" s="704" t="s">
        <v>14</v>
      </c>
      <c r="S29" s="705">
        <f t="shared" si="12"/>
        <v>100</v>
      </c>
      <c r="T29" s="704" t="s">
        <v>14</v>
      </c>
      <c r="U29" s="705">
        <f t="shared" si="13"/>
        <v>100</v>
      </c>
      <c r="V29" s="704" t="s">
        <v>14</v>
      </c>
      <c r="W29" s="705">
        <f t="shared" si="14"/>
        <v>100</v>
      </c>
      <c r="X29" s="1354"/>
      <c r="Y29" s="368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1"/>
      <c r="L30" s="2718"/>
      <c r="M30" s="2712"/>
      <c r="N30" s="2712"/>
      <c r="O30" s="2712"/>
      <c r="P30" s="3757"/>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1"/>
      <c r="L31" s="2718"/>
      <c r="M31" s="2712"/>
      <c r="N31" s="2712"/>
      <c r="O31" s="2712"/>
      <c r="P31" s="3757"/>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352">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0"/>
      <c r="L32" s="2718"/>
      <c r="M32" s="2712"/>
      <c r="N32" s="2712"/>
      <c r="O32" s="2712"/>
      <c r="P32" s="3752" t="s">
        <v>1695</v>
      </c>
      <c r="Q32" s="1351" t="str">
        <f t="shared" si="11"/>
        <v>商业类型</v>
      </c>
      <c r="R32" s="704" t="s">
        <v>14</v>
      </c>
      <c r="S32" s="705">
        <f t="shared" si="12"/>
        <v>100</v>
      </c>
      <c r="T32" s="704" t="s">
        <v>14</v>
      </c>
      <c r="U32" s="705">
        <f t="shared" si="13"/>
        <v>100</v>
      </c>
      <c r="V32" s="704" t="s">
        <v>14</v>
      </c>
      <c r="W32" s="705">
        <f t="shared" si="14"/>
        <v>100</v>
      </c>
      <c r="X32" s="1354"/>
      <c r="Y32" s="3690"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1"/>
      <c r="L33" s="2717"/>
      <c r="M33" s="2719"/>
      <c r="N33" s="2719"/>
      <c r="O33" s="2719"/>
      <c r="P33" s="3753"/>
      <c r="Q33" s="706" t="str">
        <f t="shared" si="11"/>
        <v>项目建筑规模</v>
      </c>
      <c r="R33" s="707" t="s">
        <v>14</v>
      </c>
      <c r="S33" s="708" t="e">
        <f t="shared" si="12"/>
        <v>#N/A</v>
      </c>
      <c r="T33" s="707" t="s">
        <v>14</v>
      </c>
      <c r="U33" s="708" t="e">
        <f t="shared" si="13"/>
        <v>#N/A</v>
      </c>
      <c r="V33" s="707" t="s">
        <v>14</v>
      </c>
      <c r="W33" s="708" t="e">
        <f t="shared" si="14"/>
        <v>#N/A</v>
      </c>
      <c r="X33" s="709"/>
      <c r="Y33" s="3690"/>
      <c r="Z33" s="710" t="str">
        <f t="shared" si="15"/>
        <v>项目建筑规模</v>
      </c>
      <c r="AA33" s="1352" t="e">
        <f t="shared" si="3"/>
        <v>#N/A</v>
      </c>
      <c r="AB33" s="1352" t="e">
        <f t="shared" si="4"/>
        <v>#N/A</v>
      </c>
      <c r="AC33" s="1352" t="e">
        <f t="shared" si="5"/>
        <v>#N/A</v>
      </c>
    </row>
    <row r="34" spans="1:29" ht="15">
      <c r="A34" s="423"/>
      <c r="B34" s="375" t="s">
        <v>1697</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0"/>
      <c r="L34" s="2718"/>
      <c r="M34" s="2712"/>
      <c r="N34" s="2712"/>
      <c r="O34" s="2712"/>
      <c r="P34" s="3753"/>
      <c r="Q34" s="1351" t="str">
        <f t="shared" si="11"/>
        <v>建筑结构</v>
      </c>
      <c r="R34" s="704" t="s">
        <v>14</v>
      </c>
      <c r="S34" s="705">
        <f t="shared" si="12"/>
        <v>100</v>
      </c>
      <c r="T34" s="704" t="s">
        <v>14</v>
      </c>
      <c r="U34" s="705">
        <f t="shared" si="13"/>
        <v>100</v>
      </c>
      <c r="V34" s="704" t="s">
        <v>14</v>
      </c>
      <c r="W34" s="705">
        <f t="shared" si="14"/>
        <v>100</v>
      </c>
      <c r="X34" s="1354"/>
      <c r="Y34" s="3690"/>
      <c r="Z34" s="1355" t="str">
        <f t="shared" si="15"/>
        <v>建筑结构</v>
      </c>
      <c r="AA34" s="1352">
        <f t="shared" si="3"/>
        <v>1</v>
      </c>
      <c r="AB34" s="1352">
        <f t="shared" si="4"/>
        <v>1</v>
      </c>
      <c r="AC34" s="1352">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0"/>
      <c r="L35" s="2718"/>
      <c r="M35" s="2712"/>
      <c r="N35" s="2712"/>
      <c r="O35" s="2712"/>
      <c r="P35" s="3753"/>
      <c r="Q35" s="1351" t="str">
        <f t="shared" si="11"/>
        <v>公共部分装修</v>
      </c>
      <c r="R35" s="704" t="s">
        <v>14</v>
      </c>
      <c r="S35" s="705">
        <f t="shared" si="12"/>
        <v>100</v>
      </c>
      <c r="T35" s="704" t="s">
        <v>14</v>
      </c>
      <c r="U35" s="705">
        <f t="shared" si="13"/>
        <v>100</v>
      </c>
      <c r="V35" s="704" t="s">
        <v>14</v>
      </c>
      <c r="W35" s="705">
        <f t="shared" si="14"/>
        <v>100</v>
      </c>
      <c r="X35" s="1354"/>
      <c r="Y35" s="3690"/>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0"/>
      <c r="L36" s="2718"/>
      <c r="M36" s="2712"/>
      <c r="N36" s="2712"/>
      <c r="O36" s="2712"/>
      <c r="P36" s="3753"/>
      <c r="Q36" s="1351" t="str">
        <f t="shared" si="11"/>
        <v>成新度</v>
      </c>
      <c r="R36" s="704" t="s">
        <v>14</v>
      </c>
      <c r="S36" s="705" t="e">
        <f t="shared" si="12"/>
        <v>#N/A</v>
      </c>
      <c r="T36" s="704" t="s">
        <v>14</v>
      </c>
      <c r="U36" s="705" t="e">
        <f t="shared" si="13"/>
        <v>#N/A</v>
      </c>
      <c r="V36" s="704" t="s">
        <v>14</v>
      </c>
      <c r="W36" s="705" t="e">
        <f t="shared" si="14"/>
        <v>#N/A</v>
      </c>
      <c r="X36" s="1354"/>
      <c r="Y36" s="3690"/>
      <c r="Z36" s="1355" t="str">
        <f t="shared" si="15"/>
        <v>成新度</v>
      </c>
      <c r="AA36" s="1352" t="e">
        <f t="shared" si="3"/>
        <v>#N/A</v>
      </c>
      <c r="AB36" s="1352" t="e">
        <f t="shared" si="4"/>
        <v>#N/A</v>
      </c>
      <c r="AC36" s="1352"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0"/>
      <c r="L37" s="2713"/>
      <c r="M37" s="2714"/>
      <c r="N37" s="2714"/>
      <c r="O37" s="2714"/>
      <c r="P37" s="3753"/>
      <c r="Q37" s="1342" t="str">
        <f t="shared" si="11"/>
        <v>市政基础设施</v>
      </c>
      <c r="R37" s="700" t="s">
        <v>14</v>
      </c>
      <c r="S37" s="701">
        <f t="shared" si="12"/>
        <v>100</v>
      </c>
      <c r="T37" s="700" t="s">
        <v>14</v>
      </c>
      <c r="U37" s="701">
        <f t="shared" si="13"/>
        <v>100</v>
      </c>
      <c r="V37" s="700" t="s">
        <v>14</v>
      </c>
      <c r="W37" s="701">
        <f t="shared" si="14"/>
        <v>100</v>
      </c>
      <c r="X37" s="702"/>
      <c r="Y37" s="3690"/>
      <c r="Z37" s="52" t="str">
        <f t="shared" si="15"/>
        <v>市政基础设施</v>
      </c>
      <c r="AA37" s="703">
        <f t="shared" si="3"/>
        <v>1</v>
      </c>
      <c r="AB37" s="703">
        <f t="shared" si="4"/>
        <v>1</v>
      </c>
      <c r="AC37" s="703">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0"/>
      <c r="L38" s="2718"/>
      <c r="M38" s="2712"/>
      <c r="N38" s="2712"/>
      <c r="O38" s="2712"/>
      <c r="P38" s="3753" t="s">
        <v>1695</v>
      </c>
      <c r="Q38" s="1351" t="str">
        <f t="shared" si="11"/>
        <v>业态</v>
      </c>
      <c r="R38" s="704" t="s">
        <v>14</v>
      </c>
      <c r="S38" s="705">
        <f t="shared" si="12"/>
        <v>100</v>
      </c>
      <c r="T38" s="704" t="s">
        <v>14</v>
      </c>
      <c r="U38" s="705">
        <f t="shared" si="13"/>
        <v>100</v>
      </c>
      <c r="V38" s="704" t="s">
        <v>14</v>
      </c>
      <c r="W38" s="705">
        <f t="shared" si="14"/>
        <v>100</v>
      </c>
      <c r="X38" s="1354"/>
      <c r="Y38" s="3690" t="s">
        <v>1695</v>
      </c>
      <c r="Z38" s="1355" t="str">
        <f t="shared" si="15"/>
        <v>业态</v>
      </c>
      <c r="AA38" s="1352">
        <f t="shared" si="3"/>
        <v>1</v>
      </c>
      <c r="AB38" s="1352">
        <f t="shared" si="4"/>
        <v>1</v>
      </c>
      <c r="AC38" s="1352">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0"/>
      <c r="L39" s="2718"/>
      <c r="M39" s="2712"/>
      <c r="N39" s="2712"/>
      <c r="O39" s="2712"/>
      <c r="P39" s="3753"/>
      <c r="Q39" s="1351" t="str">
        <f t="shared" si="11"/>
        <v>层高</v>
      </c>
      <c r="R39" s="704" t="s">
        <v>14</v>
      </c>
      <c r="S39" s="705">
        <f t="shared" si="12"/>
        <v>100</v>
      </c>
      <c r="T39" s="704" t="s">
        <v>14</v>
      </c>
      <c r="U39" s="705">
        <f t="shared" si="13"/>
        <v>100</v>
      </c>
      <c r="V39" s="704" t="s">
        <v>14</v>
      </c>
      <c r="W39" s="705">
        <f t="shared" si="14"/>
        <v>100</v>
      </c>
      <c r="X39" s="1354"/>
      <c r="Y39" s="3690"/>
      <c r="Z39" s="1355" t="str">
        <f t="shared" si="15"/>
        <v>层高</v>
      </c>
      <c r="AA39" s="1352">
        <f t="shared" si="3"/>
        <v>1</v>
      </c>
      <c r="AB39" s="1352">
        <f t="shared" si="4"/>
        <v>1</v>
      </c>
      <c r="AC39" s="1352">
        <f t="shared" si="5"/>
        <v>1</v>
      </c>
    </row>
    <row r="40" spans="1:29" ht="15">
      <c r="A40" s="423"/>
      <c r="B40" s="375" t="s">
        <v>1789</v>
      </c>
      <c r="C40" s="565"/>
      <c r="D40" s="386">
        <v>100</v>
      </c>
      <c r="E40" s="566"/>
      <c r="F40" s="412">
        <f>SUMIF(118:118,E40,119:119)-SUMIF(118:118,C40,119:119)+100</f>
        <v>100</v>
      </c>
      <c r="G40" s="566"/>
      <c r="H40" s="386">
        <f>SUMIF(118:118,G40,119:119)-SUMIF(118:118,C40,119:119)+100</f>
        <v>100</v>
      </c>
      <c r="I40" s="566"/>
      <c r="J40" s="386">
        <f>SUMIF(118:118,I40,119:119)-SUMIF(118:118,C40,119:119)+100</f>
        <v>100</v>
      </c>
      <c r="K40" s="561"/>
      <c r="L40" s="2718"/>
      <c r="M40" s="2712"/>
      <c r="N40" s="2712"/>
      <c r="O40" s="2712"/>
      <c r="P40" s="3753"/>
      <c r="Q40" s="1351" t="str">
        <f t="shared" si="11"/>
        <v>单套建筑面积</v>
      </c>
      <c r="R40" s="704" t="s">
        <v>14</v>
      </c>
      <c r="S40" s="705">
        <f t="shared" si="12"/>
        <v>100</v>
      </c>
      <c r="T40" s="704" t="s">
        <v>14</v>
      </c>
      <c r="U40" s="705">
        <f t="shared" si="13"/>
        <v>100</v>
      </c>
      <c r="V40" s="704" t="s">
        <v>14</v>
      </c>
      <c r="W40" s="705">
        <f t="shared" si="14"/>
        <v>100</v>
      </c>
      <c r="X40" s="1354"/>
      <c r="Y40" s="3690"/>
      <c r="Z40" s="1355" t="str">
        <f t="shared" si="15"/>
        <v>单套建筑面积</v>
      </c>
      <c r="AA40" s="1352">
        <f t="shared" si="3"/>
        <v>1</v>
      </c>
      <c r="AB40" s="1352">
        <f t="shared" si="4"/>
        <v>1</v>
      </c>
      <c r="AC40" s="1352">
        <f t="shared" si="5"/>
        <v>1</v>
      </c>
    </row>
    <row r="41" spans="1:29" s="422" customFormat="1" ht="15">
      <c r="A41" s="419"/>
      <c r="B41" s="1353" t="s">
        <v>1790</v>
      </c>
      <c r="C41" s="564"/>
      <c r="D41" s="386">
        <v>100</v>
      </c>
      <c r="E41" s="564"/>
      <c r="F41" s="412">
        <f>SUMIF(120:120,E41,121:121)-SUMIF(120:120,C41,121:121)+100</f>
        <v>100</v>
      </c>
      <c r="G41" s="564"/>
      <c r="H41" s="386">
        <f>SUMIF(120:120,G41,121:121)-SUMIF(120:120,C41,121:121)+100</f>
        <v>100</v>
      </c>
      <c r="I41" s="564"/>
      <c r="J41" s="386">
        <f>SUMIF(120:120,I41,121:121)-SUMIF(120:120,C41,121:121)+100</f>
        <v>100</v>
      </c>
      <c r="K41" s="560"/>
      <c r="L41" s="2717"/>
      <c r="M41" s="2719"/>
      <c r="N41" s="2719"/>
      <c r="O41" s="2719"/>
      <c r="P41" s="3753"/>
      <c r="Q41" s="706" t="str">
        <f t="shared" si="11"/>
        <v>进深比</v>
      </c>
      <c r="R41" s="707" t="s">
        <v>14</v>
      </c>
      <c r="S41" s="708">
        <f t="shared" si="12"/>
        <v>100</v>
      </c>
      <c r="T41" s="707" t="s">
        <v>14</v>
      </c>
      <c r="U41" s="708">
        <f t="shared" si="13"/>
        <v>100</v>
      </c>
      <c r="V41" s="707" t="s">
        <v>14</v>
      </c>
      <c r="W41" s="708">
        <f t="shared" si="14"/>
        <v>100</v>
      </c>
      <c r="X41" s="709"/>
      <c r="Y41" s="3690"/>
      <c r="Z41" s="710" t="str">
        <f t="shared" si="15"/>
        <v>进深比</v>
      </c>
      <c r="AA41" s="1352">
        <f t="shared" si="3"/>
        <v>1</v>
      </c>
      <c r="AB41" s="1352">
        <f t="shared" si="4"/>
        <v>1</v>
      </c>
      <c r="AC41" s="1352">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0"/>
      <c r="L42" s="2718"/>
      <c r="M42" s="2712"/>
      <c r="N42" s="2712"/>
      <c r="O42" s="2712"/>
      <c r="P42" s="3753"/>
      <c r="Q42" s="1351" t="str">
        <f t="shared" si="11"/>
        <v>内部装修</v>
      </c>
      <c r="R42" s="704" t="s">
        <v>14</v>
      </c>
      <c r="S42" s="705">
        <f t="shared" si="12"/>
        <v>100</v>
      </c>
      <c r="T42" s="704" t="s">
        <v>14</v>
      </c>
      <c r="U42" s="705">
        <f t="shared" si="13"/>
        <v>100</v>
      </c>
      <c r="V42" s="704" t="s">
        <v>14</v>
      </c>
      <c r="W42" s="705">
        <f t="shared" si="14"/>
        <v>100</v>
      </c>
      <c r="X42" s="1354"/>
      <c r="Y42" s="3690"/>
      <c r="Z42" s="1355" t="str">
        <f t="shared" si="15"/>
        <v>内部装修</v>
      </c>
      <c r="AA42" s="1352">
        <f t="shared" si="3"/>
        <v>1</v>
      </c>
      <c r="AB42" s="1352">
        <f t="shared" si="4"/>
        <v>1</v>
      </c>
      <c r="AC42" s="1352">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0"/>
      <c r="L43" s="2718"/>
      <c r="M43" s="2712"/>
      <c r="N43" s="2712"/>
      <c r="O43" s="2712"/>
      <c r="P43" s="3753"/>
      <c r="Q43" s="1351" t="str">
        <f t="shared" si="11"/>
        <v>内部装修维护情况</v>
      </c>
      <c r="R43" s="704" t="s">
        <v>14</v>
      </c>
      <c r="S43" s="705">
        <f t="shared" si="12"/>
        <v>100</v>
      </c>
      <c r="T43" s="704" t="s">
        <v>14</v>
      </c>
      <c r="U43" s="705">
        <f t="shared" si="13"/>
        <v>100</v>
      </c>
      <c r="V43" s="704" t="s">
        <v>14</v>
      </c>
      <c r="W43" s="705">
        <f t="shared" si="14"/>
        <v>100</v>
      </c>
      <c r="X43" s="1354"/>
      <c r="Y43" s="369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1"/>
      <c r="L44" s="2713"/>
      <c r="M44" s="2714"/>
      <c r="N44" s="2714"/>
      <c r="O44" s="2714"/>
      <c r="P44" s="3753"/>
      <c r="Q44" s="1342">
        <f t="shared" si="11"/>
        <v>111</v>
      </c>
      <c r="R44" s="700" t="s">
        <v>14</v>
      </c>
      <c r="S44" s="701">
        <f t="shared" si="12"/>
        <v>100</v>
      </c>
      <c r="T44" s="700" t="s">
        <v>14</v>
      </c>
      <c r="U44" s="701">
        <f t="shared" si="13"/>
        <v>100</v>
      </c>
      <c r="V44" s="700" t="s">
        <v>14</v>
      </c>
      <c r="W44" s="701">
        <f t="shared" si="14"/>
        <v>100</v>
      </c>
      <c r="X44" s="702"/>
      <c r="Y44" s="3690"/>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1"/>
      <c r="L45" s="2718"/>
      <c r="M45" s="2712"/>
      <c r="N45" s="2712"/>
      <c r="O45" s="2712"/>
      <c r="P45" s="3753"/>
      <c r="Q45" s="1351">
        <f t="shared" si="11"/>
        <v>111</v>
      </c>
      <c r="R45" s="704" t="s">
        <v>14</v>
      </c>
      <c r="S45" s="705">
        <f t="shared" si="12"/>
        <v>100</v>
      </c>
      <c r="T45" s="704" t="s">
        <v>14</v>
      </c>
      <c r="U45" s="705">
        <f t="shared" si="13"/>
        <v>100</v>
      </c>
      <c r="V45" s="704" t="s">
        <v>14</v>
      </c>
      <c r="W45" s="705">
        <f t="shared" si="14"/>
        <v>100</v>
      </c>
      <c r="X45" s="1354"/>
      <c r="Y45" s="3690"/>
      <c r="Z45" s="1355">
        <f t="shared" si="15"/>
        <v>111</v>
      </c>
      <c r="AA45" s="1352">
        <f t="shared" si="3"/>
        <v>1</v>
      </c>
      <c r="AB45" s="1352">
        <f t="shared" si="4"/>
        <v>1</v>
      </c>
      <c r="AC45" s="1352">
        <f t="shared" si="5"/>
        <v>1</v>
      </c>
    </row>
    <row r="46" spans="1:29" ht="15.75" thickBot="1">
      <c r="A46" s="428"/>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1"/>
      <c r="L46" s="2718"/>
      <c r="M46" s="2712"/>
      <c r="N46" s="2712"/>
      <c r="O46" s="2712"/>
      <c r="P46" s="3754"/>
      <c r="Q46" s="1351">
        <f t="shared" si="11"/>
        <v>111</v>
      </c>
      <c r="R46" s="704" t="s">
        <v>14</v>
      </c>
      <c r="S46" s="705">
        <f t="shared" si="12"/>
        <v>100</v>
      </c>
      <c r="T46" s="704" t="s">
        <v>14</v>
      </c>
      <c r="U46" s="705">
        <f t="shared" si="13"/>
        <v>100</v>
      </c>
      <c r="V46" s="704" t="s">
        <v>14</v>
      </c>
      <c r="W46" s="705">
        <f t="shared" si="14"/>
        <v>100</v>
      </c>
      <c r="X46" s="1354"/>
      <c r="Y46" s="3755"/>
      <c r="Z46" s="1355">
        <f t="shared" si="15"/>
        <v>111</v>
      </c>
      <c r="AA46" s="1352">
        <f t="shared" si="3"/>
        <v>1</v>
      </c>
      <c r="AB46" s="1352">
        <f t="shared" si="4"/>
        <v>1</v>
      </c>
      <c r="AC46" s="1352">
        <f t="shared" si="5"/>
        <v>1</v>
      </c>
    </row>
    <row r="47" spans="1:29" ht="15">
      <c r="A47" s="429" t="s">
        <v>1707</v>
      </c>
      <c r="B47" s="430"/>
      <c r="C47" s="1153" t="s">
        <v>0</v>
      </c>
      <c r="D47" s="1154"/>
      <c r="E47" s="1155"/>
      <c r="F47" s="1156"/>
      <c r="G47" s="1157"/>
      <c r="H47" s="1158"/>
      <c r="I47" s="1155"/>
      <c r="J47" s="1158"/>
      <c r="K47" s="713"/>
      <c r="L47" s="2720"/>
      <c r="M47" s="2721"/>
      <c r="N47" s="2712"/>
      <c r="O47" s="2721"/>
      <c r="P47" s="3686" t="str">
        <f>A47</f>
        <v>成交单价（元/平方米）</v>
      </c>
      <c r="Q47" s="3686"/>
      <c r="R47" s="3691">
        <f>E47</f>
        <v>0</v>
      </c>
      <c r="S47" s="3691"/>
      <c r="T47" s="3691">
        <f>G47</f>
        <v>0</v>
      </c>
      <c r="U47" s="3691"/>
      <c r="V47" s="3691">
        <f>I47</f>
        <v>0</v>
      </c>
      <c r="W47" s="3691"/>
      <c r="X47" s="689"/>
      <c r="Y47" s="711"/>
      <c r="Z47" s="689"/>
      <c r="AA47" s="689"/>
      <c r="AB47" s="689"/>
      <c r="AC47" s="689"/>
    </row>
    <row r="48" spans="1:29" ht="15.75" thickBot="1">
      <c r="A48" s="436" t="s">
        <v>1792</v>
      </c>
      <c r="B48" s="437"/>
      <c r="C48" s="1159" t="e">
        <f>R49</f>
        <v>#DIV/0!</v>
      </c>
      <c r="D48" s="2315" t="s">
        <v>2137</v>
      </c>
      <c r="E48" s="1160" t="e">
        <f>R48</f>
        <v>#DIV/0!</v>
      </c>
      <c r="F48" s="2316"/>
      <c r="G48" s="1159" t="e">
        <f>T48</f>
        <v>#DIV/0!</v>
      </c>
      <c r="H48" s="2316"/>
      <c r="I48" s="1160" t="e">
        <f>V48</f>
        <v>#DIV/0!</v>
      </c>
      <c r="J48" s="2316"/>
      <c r="K48" s="2318">
        <f>F48+H48+J48</f>
        <v>0</v>
      </c>
      <c r="L48" s="2720"/>
      <c r="M48" s="2721"/>
      <c r="N48" s="2712"/>
      <c r="O48" s="2721"/>
      <c r="P48" s="3686" t="str">
        <f>A48</f>
        <v>比较价值（元/平方米）</v>
      </c>
      <c r="Q48" s="3686"/>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9"/>
      <c r="Y48" s="689"/>
      <c r="Z48" s="689"/>
      <c r="AA48" s="689"/>
      <c r="AB48" s="689"/>
      <c r="AC48" s="689"/>
    </row>
    <row r="49" spans="1:29" ht="15.75" thickBot="1">
      <c r="A49" s="440" t="s">
        <v>1793</v>
      </c>
      <c r="B49" s="441"/>
      <c r="C49" s="1162" t="e">
        <f>R49</f>
        <v>#DIV/0!</v>
      </c>
      <c r="D49" s="1162"/>
      <c r="E49" s="1162"/>
      <c r="F49" s="1162"/>
      <c r="G49" s="1162"/>
      <c r="H49" s="1162"/>
      <c r="I49" s="1162"/>
      <c r="J49" s="1162"/>
      <c r="K49" s="714"/>
      <c r="L49" s="2720"/>
      <c r="M49" s="2721"/>
      <c r="N49" s="2712"/>
      <c r="O49" s="2721"/>
      <c r="P49" s="3680" t="str">
        <f>A49</f>
        <v>估价对象XX用房的比较价值（楼面单价，元/平方米）</v>
      </c>
      <c r="Q49" s="3681"/>
      <c r="R49" s="3750" t="e">
        <f>IF(F1="售价",ROUND(IF(D48="简单平均",AVERAGE(R48:V48),R48*F48+T48*H48+V48*J48),0),ROUND(IF(D48="简单平均",AVERAGE(R48:V48),R48*F48+T48*H48+V48*J48),1))</f>
        <v>#DIV/0!</v>
      </c>
      <c r="S49" s="3750"/>
      <c r="T49" s="3750"/>
      <c r="U49" s="3750"/>
      <c r="V49" s="3750"/>
      <c r="W49" s="3750"/>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5">
      <c r="A58" s="453" t="s">
        <v>1678</v>
      </c>
      <c r="B58" s="454"/>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ht="15">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2"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2"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2"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2"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2"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5"/>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2"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2"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6"/>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受贵公司委托，我公司对北京市昌平区东小口马连店1803-610地块R2二类居住用地出让国有建设用地使用权及在建建筑物房地产抵押价值进行了预评估。</v>
      </c>
    </row>
    <row r="5" spans="1:1" ht="18.75">
      <c r="A5" s="1480" t="s">
        <v>899</v>
      </c>
    </row>
    <row r="6" spans="1:1" ht="18.75">
      <c r="A6" s="1481" t="s">
        <v>900</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小口马连店1803-610地块R2二类居住用地出让国有建设用地使用权及在建建筑物房地产，为所有。根据《国有土地使用证》[]，估价对象（分摊）出让国有建设用地使用权面积为13913.02平方米，建筑面积为54229.76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小口马连店1803-610地块R2二类居住用地出让国有建设用地使用权及在建建筑物房地产,属开发建设的，该项目尚在开发建设中。根据《国有土地使用证》[]，估价对象（分摊）出让国有建设用地使用权面积为13913.02平方米，规划建筑面积为54229.76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2023年3月24日（评估专业人员实地查勘之日）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f>IF(C2="——",C50,ROUND(B2*10000/D3,0))</f>
        <v>0</v>
      </c>
      <c r="C3" s="354" t="s">
        <v>1767</v>
      </c>
      <c r="D3" s="353">
        <f>IF(D1="",'数据-汇总表'!E3,SUMIF('数据-汇总表'!$C19:$C33,D1,'数据-汇总表'!$E19:$E33))</f>
        <v>54229.759999999966</v>
      </c>
      <c r="E3" s="1952"/>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1768</v>
      </c>
      <c r="B4" s="356"/>
      <c r="C4" s="3683" t="s">
        <v>1769</v>
      </c>
      <c r="D4" s="3695"/>
      <c r="E4" s="3696" t="s">
        <v>1770</v>
      </c>
      <c r="F4" s="3697"/>
      <c r="G4" s="3683" t="s">
        <v>1771</v>
      </c>
      <c r="H4" s="3695"/>
      <c r="I4" s="3683" t="s">
        <v>1772</v>
      </c>
      <c r="J4" s="3695"/>
      <c r="K4" s="558" t="s">
        <v>1773</v>
      </c>
      <c r="L4" s="2711"/>
      <c r="M4" s="2712"/>
      <c r="N4" s="2712"/>
      <c r="O4" s="2712"/>
      <c r="P4" s="3766" t="s">
        <v>1774</v>
      </c>
      <c r="Q4" s="3767"/>
      <c r="R4" s="3770" t="s">
        <v>1770</v>
      </c>
      <c r="S4" s="3771"/>
      <c r="T4" s="3770" t="s">
        <v>1771</v>
      </c>
      <c r="U4" s="3771"/>
      <c r="V4" s="3772" t="s">
        <v>1772</v>
      </c>
      <c r="W4" s="3772"/>
      <c r="X4" s="1956"/>
      <c r="Y4" s="3770" t="s">
        <v>1774</v>
      </c>
      <c r="Z4" s="3771"/>
      <c r="AA4" s="3774" t="s">
        <v>1770</v>
      </c>
      <c r="AB4" s="3774" t="s">
        <v>1771</v>
      </c>
      <c r="AC4" s="3763" t="s">
        <v>1772</v>
      </c>
    </row>
    <row r="5" spans="1:29" ht="15">
      <c r="A5" s="358"/>
      <c r="B5" s="359"/>
      <c r="C5" s="3712" t="s">
        <v>1672</v>
      </c>
      <c r="D5" s="3713"/>
      <c r="E5" s="3759" t="s">
        <v>1673</v>
      </c>
      <c r="F5" s="3720"/>
      <c r="G5" s="3712" t="s">
        <v>1674</v>
      </c>
      <c r="H5" s="3713"/>
      <c r="I5" s="3712" t="s">
        <v>1675</v>
      </c>
      <c r="J5" s="3713"/>
      <c r="K5" s="558"/>
      <c r="L5" s="2711"/>
      <c r="M5" s="2712"/>
      <c r="N5" s="2712"/>
      <c r="O5" s="2712"/>
      <c r="P5" s="3768"/>
      <c r="Q5" s="3701"/>
      <c r="R5" s="3706"/>
      <c r="S5" s="3707"/>
      <c r="T5" s="3706"/>
      <c r="U5" s="3707"/>
      <c r="V5" s="3691"/>
      <c r="W5" s="3691"/>
      <c r="X5" s="1354"/>
      <c r="Y5" s="3706"/>
      <c r="Z5" s="3707"/>
      <c r="AA5" s="3693"/>
      <c r="AB5" s="3693"/>
      <c r="AC5" s="3764"/>
    </row>
    <row r="6" spans="1:29" ht="15.75" thickBot="1">
      <c r="A6" s="360"/>
      <c r="B6" s="361"/>
      <c r="C6" s="3710" t="s">
        <v>1676</v>
      </c>
      <c r="D6" s="3711"/>
      <c r="E6" s="3717" t="s">
        <v>1676</v>
      </c>
      <c r="F6" s="3718"/>
      <c r="G6" s="3710" t="s">
        <v>1676</v>
      </c>
      <c r="H6" s="3711"/>
      <c r="I6" s="3710" t="s">
        <v>1676</v>
      </c>
      <c r="J6" s="3711"/>
      <c r="K6" s="558" t="s">
        <v>1677</v>
      </c>
      <c r="L6" s="2711"/>
      <c r="M6" s="2712"/>
      <c r="N6" s="2712"/>
      <c r="O6" s="2712"/>
      <c r="P6" s="3769"/>
      <c r="Q6" s="3703"/>
      <c r="R6" s="3706"/>
      <c r="S6" s="3707"/>
      <c r="T6" s="3708"/>
      <c r="U6" s="3709"/>
      <c r="V6" s="3691"/>
      <c r="W6" s="3691"/>
      <c r="X6" s="1354"/>
      <c r="Y6" s="3708"/>
      <c r="Z6" s="3709"/>
      <c r="AA6" s="3694"/>
      <c r="AB6" s="3694"/>
      <c r="AC6" s="3765"/>
    </row>
    <row r="7" spans="1:29" s="108" customFormat="1" ht="15.75" thickBot="1">
      <c r="A7" s="362" t="s">
        <v>1678</v>
      </c>
      <c r="B7" s="363"/>
      <c r="C7" s="364">
        <f>'数据-取费表'!B2</f>
        <v>45009</v>
      </c>
      <c r="D7" s="365">
        <v>100</v>
      </c>
      <c r="E7" s="366"/>
      <c r="F7" s="367">
        <f>SUMIF(59:59,YEAR(E7)&amp;"-"&amp;MONTH(E7),60:60)</f>
        <v>0</v>
      </c>
      <c r="G7" s="366"/>
      <c r="H7" s="365">
        <f>SUMIF(59:59,YEAR(G7)&amp;"-"&amp;MONTH(G7),60:60)</f>
        <v>0</v>
      </c>
      <c r="I7" s="366"/>
      <c r="J7" s="365">
        <f>SUMIF(59:59,YEAR(I7)&amp;"-"&amp;MONTH(I7),60:60)</f>
        <v>0</v>
      </c>
      <c r="K7" s="559"/>
      <c r="L7" s="2713"/>
      <c r="M7" s="2714"/>
      <c r="N7" s="2714"/>
      <c r="O7" s="2714"/>
      <c r="P7" s="3773" t="s">
        <v>1679</v>
      </c>
      <c r="Q7" s="3716"/>
      <c r="R7" s="700" t="s">
        <v>14</v>
      </c>
      <c r="S7" s="701">
        <f t="shared" ref="S7:S15" si="0">F7</f>
        <v>0</v>
      </c>
      <c r="T7" s="700" t="s">
        <v>14</v>
      </c>
      <c r="U7" s="701">
        <f t="shared" ref="U7:U15" si="1">H7</f>
        <v>0</v>
      </c>
      <c r="V7" s="700" t="s">
        <v>14</v>
      </c>
      <c r="W7" s="701">
        <f t="shared" ref="W7:W15" si="2">J7</f>
        <v>0</v>
      </c>
      <c r="X7" s="702"/>
      <c r="Y7" s="3714" t="s">
        <v>1679</v>
      </c>
      <c r="Z7" s="3715"/>
      <c r="AA7" s="703" t="e">
        <f>D7/F7</f>
        <v>#DIV/0!</v>
      </c>
      <c r="AB7" s="703" t="e">
        <f>D7/H7</f>
        <v>#DIV/0!</v>
      </c>
      <c r="AC7" s="1957"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59"/>
      <c r="L8" s="2713"/>
      <c r="M8" s="2714"/>
      <c r="N8" s="2714"/>
      <c r="O8" s="2714"/>
      <c r="P8" s="3773" t="s">
        <v>1682</v>
      </c>
      <c r="Q8" s="3715"/>
      <c r="R8" s="700" t="s">
        <v>14</v>
      </c>
      <c r="S8" s="701">
        <f t="shared" si="0"/>
        <v>100</v>
      </c>
      <c r="T8" s="700" t="s">
        <v>14</v>
      </c>
      <c r="U8" s="701">
        <f t="shared" si="1"/>
        <v>100</v>
      </c>
      <c r="V8" s="700" t="s">
        <v>14</v>
      </c>
      <c r="W8" s="701">
        <f t="shared" si="2"/>
        <v>100</v>
      </c>
      <c r="X8" s="702"/>
      <c r="Y8" s="3714" t="s">
        <v>1682</v>
      </c>
      <c r="Z8" s="3715"/>
      <c r="AA8" s="703">
        <f t="shared" ref="AA8:AA47" si="3">D8/F8</f>
        <v>1</v>
      </c>
      <c r="AB8" s="703">
        <f t="shared" ref="AB8:AB47" si="4">D8/H8</f>
        <v>1</v>
      </c>
      <c r="AC8" s="1957">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59"/>
      <c r="L9" s="2713"/>
      <c r="M9" s="2714"/>
      <c r="N9" s="2714"/>
      <c r="O9" s="2714"/>
      <c r="P9" s="3685"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1957">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59"/>
      <c r="L10" s="2715"/>
      <c r="M10" s="2716"/>
      <c r="N10" s="2716"/>
      <c r="O10" s="2716"/>
      <c r="P10" s="3685"/>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0"/>
      <c r="L11" s="2717"/>
      <c r="M11" s="2712"/>
      <c r="N11" s="2712"/>
      <c r="O11" s="2712"/>
      <c r="P11" s="3685"/>
      <c r="Q11" s="1342"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1"/>
      <c r="L12" s="2713"/>
      <c r="M12" s="2714"/>
      <c r="N12" s="2714"/>
      <c r="O12" s="2714"/>
      <c r="P12" s="3685"/>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1"/>
      <c r="L13" s="2718"/>
      <c r="M13" s="2712"/>
      <c r="N13" s="2712"/>
      <c r="O13" s="2712"/>
      <c r="P13" s="3685"/>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1"/>
      <c r="L14" s="2718"/>
      <c r="M14" s="2712"/>
      <c r="N14" s="2712"/>
      <c r="O14" s="2712"/>
      <c r="P14" s="3685"/>
      <c r="Q14" s="1342">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1957">
        <f t="shared" si="5"/>
        <v>1</v>
      </c>
    </row>
    <row r="15" spans="1:29" ht="71.25">
      <c r="A15" s="391" t="s">
        <v>1689</v>
      </c>
      <c r="B15" s="576"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2"/>
      <c r="L15" s="2718"/>
      <c r="M15" s="2712"/>
      <c r="N15" s="2712"/>
      <c r="O15" s="2712"/>
      <c r="P15" s="3756" t="s">
        <v>1690</v>
      </c>
      <c r="Q15" s="1351" t="str">
        <f t="shared" si="6"/>
        <v>办公集聚程度</v>
      </c>
      <c r="R15" s="704" t="s">
        <v>14</v>
      </c>
      <c r="S15" s="705">
        <f t="shared" si="0"/>
        <v>100</v>
      </c>
      <c r="T15" s="704" t="s">
        <v>14</v>
      </c>
      <c r="U15" s="705">
        <f t="shared" si="1"/>
        <v>100</v>
      </c>
      <c r="V15" s="704" t="s">
        <v>14</v>
      </c>
      <c r="W15" s="705">
        <f t="shared" si="2"/>
        <v>100</v>
      </c>
      <c r="X15" s="1354"/>
      <c r="Y15" s="3687" t="s">
        <v>1690</v>
      </c>
      <c r="Z15" s="1355" t="str">
        <f t="shared" si="7"/>
        <v>办公集聚程度</v>
      </c>
      <c r="AA15" s="1352">
        <f t="shared" si="3"/>
        <v>1</v>
      </c>
      <c r="AB15" s="1352">
        <f t="shared" si="4"/>
        <v>1</v>
      </c>
      <c r="AC15" s="1960">
        <f t="shared" si="5"/>
        <v>1</v>
      </c>
    </row>
    <row r="16" spans="1:29" ht="15">
      <c r="A16" s="379"/>
      <c r="B16" s="577"/>
      <c r="C16" s="1902"/>
      <c r="D16" s="399"/>
      <c r="E16" s="398"/>
      <c r="F16" s="399"/>
      <c r="G16" s="1902"/>
      <c r="H16" s="401"/>
      <c r="I16" s="398"/>
      <c r="J16" s="399"/>
      <c r="K16" s="563"/>
      <c r="L16" s="2718"/>
      <c r="M16" s="2712"/>
      <c r="N16" s="2712"/>
      <c r="O16" s="2712"/>
      <c r="P16" s="3757"/>
      <c r="Q16" s="1351"/>
      <c r="R16" s="704"/>
      <c r="S16" s="705"/>
      <c r="T16" s="704"/>
      <c r="U16" s="705"/>
      <c r="V16" s="704"/>
      <c r="W16" s="705"/>
      <c r="X16" s="1354"/>
      <c r="Y16" s="3688"/>
      <c r="Z16" s="1355"/>
      <c r="AA16" s="1352">
        <v>1</v>
      </c>
      <c r="AB16" s="1352">
        <v>1</v>
      </c>
      <c r="AC16" s="1960">
        <v>1</v>
      </c>
    </row>
    <row r="17" spans="1:29" ht="71.25">
      <c r="A17" s="379"/>
      <c r="B17" s="578" t="s">
        <v>1258</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2"/>
      <c r="L17" s="2718"/>
      <c r="M17" s="2712"/>
      <c r="N17" s="2712"/>
      <c r="O17" s="2712"/>
      <c r="P17" s="3757"/>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960">
        <f t="shared" si="5"/>
        <v>1</v>
      </c>
    </row>
    <row r="18" spans="1:29" ht="15">
      <c r="A18" s="379"/>
      <c r="B18" s="579"/>
      <c r="C18" s="1962"/>
      <c r="D18" s="401"/>
      <c r="E18" s="1900"/>
      <c r="F18" s="401"/>
      <c r="G18" s="1901"/>
      <c r="H18" s="399"/>
      <c r="I18" s="1901"/>
      <c r="J18" s="399"/>
      <c r="K18" s="563"/>
      <c r="L18" s="2718"/>
      <c r="M18" s="2712"/>
      <c r="N18" s="2712"/>
      <c r="O18" s="2712"/>
      <c r="P18" s="3757"/>
      <c r="Q18" s="1351"/>
      <c r="R18" s="704"/>
      <c r="S18" s="705"/>
      <c r="T18" s="704"/>
      <c r="U18" s="705"/>
      <c r="V18" s="704"/>
      <c r="W18" s="705"/>
      <c r="X18" s="1354"/>
      <c r="Y18" s="3688"/>
      <c r="Z18" s="1355"/>
      <c r="AA18" s="1352">
        <v>1</v>
      </c>
      <c r="AB18" s="1352">
        <v>1</v>
      </c>
      <c r="AC18" s="1960">
        <v>1</v>
      </c>
    </row>
    <row r="19" spans="1:29" ht="42.75">
      <c r="A19" s="379"/>
      <c r="B19" s="578"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2"/>
      <c r="L19" s="2718"/>
      <c r="M19" s="2712"/>
      <c r="N19" s="2712"/>
      <c r="O19" s="2712"/>
      <c r="P19" s="3757"/>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960">
        <f t="shared" si="5"/>
        <v>1</v>
      </c>
    </row>
    <row r="20" spans="1:29" ht="15">
      <c r="A20" s="379"/>
      <c r="B20" s="579"/>
      <c r="C20" s="1902"/>
      <c r="D20" s="399"/>
      <c r="E20" s="1895"/>
      <c r="F20" s="399"/>
      <c r="G20" s="1896"/>
      <c r="H20" s="399"/>
      <c r="I20" s="1896"/>
      <c r="J20" s="399"/>
      <c r="K20" s="563"/>
      <c r="L20" s="2718"/>
      <c r="M20" s="2712"/>
      <c r="N20" s="2712"/>
      <c r="O20" s="2712"/>
      <c r="P20" s="3757"/>
      <c r="Q20" s="1351"/>
      <c r="R20" s="704"/>
      <c r="S20" s="705"/>
      <c r="T20" s="704"/>
      <c r="U20" s="705"/>
      <c r="V20" s="704"/>
      <c r="W20" s="705"/>
      <c r="X20" s="1354"/>
      <c r="Y20" s="3688"/>
      <c r="Z20" s="1355"/>
      <c r="AA20" s="1352">
        <v>1</v>
      </c>
      <c r="AB20" s="1352">
        <v>1</v>
      </c>
      <c r="AC20" s="1960">
        <v>1</v>
      </c>
    </row>
    <row r="21" spans="1:29" ht="28.5">
      <c r="A21" s="379"/>
      <c r="B21" s="580"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2"/>
      <c r="L21" s="2718"/>
      <c r="M21" s="2712"/>
      <c r="N21" s="2712"/>
      <c r="O21" s="2712"/>
      <c r="P21" s="3757"/>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960">
        <f t="shared" ref="AC21" si="10">D21/J21</f>
        <v>1</v>
      </c>
    </row>
    <row r="22" spans="1:29" ht="15">
      <c r="A22" s="379"/>
      <c r="B22" s="580"/>
      <c r="C22" s="1962"/>
      <c r="D22" s="399"/>
      <c r="E22" s="398"/>
      <c r="F22" s="399"/>
      <c r="G22" s="1902"/>
      <c r="H22" s="399"/>
      <c r="I22" s="1902"/>
      <c r="J22" s="399"/>
      <c r="K22" s="1129"/>
      <c r="L22" s="2718"/>
      <c r="M22" s="2712"/>
      <c r="N22" s="2712"/>
      <c r="O22" s="2712"/>
      <c r="P22" s="3757"/>
      <c r="Q22" s="1351"/>
      <c r="R22" s="704"/>
      <c r="S22" s="705"/>
      <c r="T22" s="704"/>
      <c r="U22" s="705"/>
      <c r="V22" s="704"/>
      <c r="W22" s="705"/>
      <c r="X22" s="1354"/>
      <c r="Y22" s="3688"/>
      <c r="Z22" s="1355"/>
      <c r="AA22" s="1352">
        <v>1</v>
      </c>
      <c r="AB22" s="1352">
        <v>1</v>
      </c>
      <c r="AC22" s="1960">
        <v>1</v>
      </c>
    </row>
    <row r="23" spans="1:29" ht="42.75">
      <c r="A23" s="379"/>
      <c r="B23" s="578"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2"/>
      <c r="L23" s="2718"/>
      <c r="M23" s="2712"/>
      <c r="N23" s="2712"/>
      <c r="O23" s="2712"/>
      <c r="P23" s="3757"/>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960">
        <f t="shared" si="5"/>
        <v>1</v>
      </c>
    </row>
    <row r="24" spans="1:29" ht="15">
      <c r="A24" s="379"/>
      <c r="B24" s="580"/>
      <c r="C24" s="1902"/>
      <c r="D24" s="399"/>
      <c r="E24" s="1895"/>
      <c r="F24" s="399"/>
      <c r="G24" s="1896"/>
      <c r="H24" s="399"/>
      <c r="I24" s="1896"/>
      <c r="J24" s="399"/>
      <c r="K24" s="563"/>
      <c r="L24" s="2718"/>
      <c r="M24" s="2712"/>
      <c r="N24" s="2712"/>
      <c r="O24" s="2712"/>
      <c r="P24" s="3757"/>
      <c r="Q24" s="1351"/>
      <c r="R24" s="704"/>
      <c r="S24" s="705"/>
      <c r="T24" s="704"/>
      <c r="U24" s="705"/>
      <c r="V24" s="704"/>
      <c r="W24" s="705"/>
      <c r="X24" s="1354"/>
      <c r="Y24" s="3688"/>
      <c r="Z24" s="1355"/>
      <c r="AA24" s="1352">
        <v>1</v>
      </c>
      <c r="AB24" s="1352">
        <v>1</v>
      </c>
      <c r="AC24" s="1960">
        <v>1</v>
      </c>
    </row>
    <row r="25" spans="1:29" ht="27">
      <c r="A25" s="358"/>
      <c r="B25" s="578" t="s">
        <v>1814</v>
      </c>
      <c r="C25" s="1906"/>
      <c r="D25" s="386">
        <v>100</v>
      </c>
      <c r="E25" s="385"/>
      <c r="F25" s="386">
        <f>SUMIF(87:87,E26,88:88)-SUMIF(87:87,C26,88:88)+100</f>
        <v>100</v>
      </c>
      <c r="G25" s="1906"/>
      <c r="H25" s="386">
        <f>SUMIF(87:87,G26,88:88)-SUMIF(87:87,C26,88:88)+100</f>
        <v>100</v>
      </c>
      <c r="I25" s="385"/>
      <c r="J25" s="386">
        <f>SUMIF(87:87,I26,88:88)-SUMIF(87:87,C26,88:88)+100</f>
        <v>100</v>
      </c>
      <c r="K25" s="562"/>
      <c r="L25" s="2718"/>
      <c r="M25" s="2712"/>
      <c r="N25" s="2712"/>
      <c r="O25" s="2712"/>
      <c r="P25" s="3757"/>
      <c r="Q25" s="1351" t="str">
        <f>B25</f>
        <v>毗邻道路的类型与等级</v>
      </c>
      <c r="R25" s="704" t="s">
        <v>14</v>
      </c>
      <c r="S25" s="705">
        <f>F25</f>
        <v>100</v>
      </c>
      <c r="T25" s="704" t="s">
        <v>14</v>
      </c>
      <c r="U25" s="705">
        <f>H25</f>
        <v>100</v>
      </c>
      <c r="V25" s="704" t="s">
        <v>14</v>
      </c>
      <c r="W25" s="705">
        <f>J25</f>
        <v>100</v>
      </c>
      <c r="X25" s="1354"/>
      <c r="Y25" s="3688"/>
      <c r="Z25" s="1355" t="str">
        <f>Q25</f>
        <v>毗邻道路的类型与等级</v>
      </c>
      <c r="AA25" s="1352">
        <f t="shared" si="3"/>
        <v>1</v>
      </c>
      <c r="AB25" s="1352">
        <f t="shared" si="4"/>
        <v>1</v>
      </c>
      <c r="AC25" s="1960">
        <f t="shared" si="5"/>
        <v>1</v>
      </c>
    </row>
    <row r="26" spans="1:29" ht="15">
      <c r="A26" s="358"/>
      <c r="B26" s="579"/>
      <c r="C26" s="581"/>
      <c r="D26" s="386"/>
      <c r="E26" s="564"/>
      <c r="F26" s="386"/>
      <c r="G26" s="581"/>
      <c r="H26" s="386"/>
      <c r="I26" s="564"/>
      <c r="J26" s="386"/>
      <c r="K26" s="563"/>
      <c r="L26" s="2718"/>
      <c r="M26" s="2712"/>
      <c r="N26" s="2712"/>
      <c r="O26" s="2712"/>
      <c r="P26" s="3757"/>
      <c r="Q26" s="1351"/>
      <c r="R26" s="704"/>
      <c r="S26" s="705"/>
      <c r="T26" s="704"/>
      <c r="U26" s="705"/>
      <c r="V26" s="704"/>
      <c r="W26" s="705"/>
      <c r="X26" s="1354"/>
      <c r="Y26" s="3688"/>
      <c r="Z26" s="1355"/>
      <c r="AA26" s="1352">
        <v>1</v>
      </c>
      <c r="AB26" s="1352">
        <v>1</v>
      </c>
      <c r="AC26" s="1960">
        <v>1</v>
      </c>
    </row>
    <row r="27" spans="1:29" ht="15">
      <c r="A27" s="379"/>
      <c r="B27" s="579" t="s">
        <v>1782</v>
      </c>
      <c r="C27" s="581"/>
      <c r="D27" s="386">
        <v>100</v>
      </c>
      <c r="E27" s="564"/>
      <c r="F27" s="386">
        <f>SUMIF(89:89,E27,90:90)-SUMIF(89:89,C27,90:90)+100</f>
        <v>100</v>
      </c>
      <c r="G27" s="581"/>
      <c r="H27" s="386">
        <f>SUMIF(89:89,G27,90:90)-SUMIF(89:89,C27,90:90)+100</f>
        <v>100</v>
      </c>
      <c r="I27" s="564"/>
      <c r="J27" s="386">
        <f>SUMIF(89:89,I27,90:90)-SUMIF(89:89,C27,90:90)+100</f>
        <v>100</v>
      </c>
      <c r="K27" s="560"/>
      <c r="L27" s="2718"/>
      <c r="M27" s="2712"/>
      <c r="N27" s="2712"/>
      <c r="O27" s="2712"/>
      <c r="P27" s="3757"/>
      <c r="Q27" s="1351" t="str">
        <f t="shared" ref="Q27:Q47" si="11">B27</f>
        <v>楼层</v>
      </c>
      <c r="R27" s="704" t="s">
        <v>14</v>
      </c>
      <c r="S27" s="705">
        <f>F27</f>
        <v>100</v>
      </c>
      <c r="T27" s="704" t="s">
        <v>14</v>
      </c>
      <c r="U27" s="705">
        <f>H27</f>
        <v>100</v>
      </c>
      <c r="V27" s="704" t="s">
        <v>14</v>
      </c>
      <c r="W27" s="705">
        <f>J27</f>
        <v>100</v>
      </c>
      <c r="X27" s="1354"/>
      <c r="Y27" s="3688"/>
      <c r="Z27" s="1355" t="str">
        <f>Q27</f>
        <v>楼层</v>
      </c>
      <c r="AA27" s="1352">
        <f t="shared" si="3"/>
        <v>1</v>
      </c>
      <c r="AB27" s="1352">
        <f t="shared" si="4"/>
        <v>1</v>
      </c>
      <c r="AC27" s="1960">
        <f t="shared" si="5"/>
        <v>1</v>
      </c>
    </row>
    <row r="28" spans="1:29" s="108" customFormat="1" ht="15">
      <c r="A28" s="382"/>
      <c r="B28" s="578" t="s">
        <v>1815</v>
      </c>
      <c r="C28" s="1963"/>
      <c r="D28" s="413">
        <v>100</v>
      </c>
      <c r="E28" s="1954"/>
      <c r="F28" s="413">
        <f>SUMIF(91:91,E28,92:92)-SUMIF(91:91,C28,92:92)+100</f>
        <v>100</v>
      </c>
      <c r="G28" s="1963"/>
      <c r="H28" s="413">
        <f>SUMIF(91:91,G28,92:92)-SUMIF(91:91,C28,92:92)+100</f>
        <v>100</v>
      </c>
      <c r="I28" s="1954"/>
      <c r="J28" s="413">
        <f>SUMIF(91:91,I28,92:92)-SUMIF(91:91,C28,92:92)+100</f>
        <v>100</v>
      </c>
      <c r="K28" s="560"/>
      <c r="L28" s="2713"/>
      <c r="M28" s="2714"/>
      <c r="N28" s="2714"/>
      <c r="O28" s="2714"/>
      <c r="P28" s="3757"/>
      <c r="Q28" s="1342" t="str">
        <f t="shared" si="11"/>
        <v>朝向</v>
      </c>
      <c r="R28" s="700" t="s">
        <v>14</v>
      </c>
      <c r="S28" s="701">
        <f>F28</f>
        <v>100</v>
      </c>
      <c r="T28" s="700" t="s">
        <v>14</v>
      </c>
      <c r="U28" s="701">
        <f>H28</f>
        <v>100</v>
      </c>
      <c r="V28" s="700" t="s">
        <v>14</v>
      </c>
      <c r="W28" s="701">
        <f>J28</f>
        <v>100</v>
      </c>
      <c r="X28" s="702"/>
      <c r="Y28" s="3688"/>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1"/>
      <c r="L29" s="2718"/>
      <c r="M29" s="2712"/>
      <c r="N29" s="2712"/>
      <c r="O29" s="2712"/>
      <c r="P29" s="3757"/>
      <c r="Q29" s="1351">
        <f t="shared" si="11"/>
        <v>111</v>
      </c>
      <c r="R29" s="704" t="s">
        <v>14</v>
      </c>
      <c r="S29" s="705">
        <f t="shared" ref="S29:S47" si="12">F29</f>
        <v>100</v>
      </c>
      <c r="T29" s="704" t="s">
        <v>14</v>
      </c>
      <c r="U29" s="705">
        <f t="shared" ref="U29:U47" si="13">H29</f>
        <v>100</v>
      </c>
      <c r="V29" s="704" t="s">
        <v>14</v>
      </c>
      <c r="W29" s="705">
        <f t="shared" ref="W29:W47" si="14">J29</f>
        <v>100</v>
      </c>
      <c r="X29" s="1354"/>
      <c r="Y29" s="3688"/>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1"/>
      <c r="L30" s="2718"/>
      <c r="M30" s="2712"/>
      <c r="N30" s="2712"/>
      <c r="O30" s="2712"/>
      <c r="P30" s="3757"/>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1"/>
      <c r="L31" s="2718"/>
      <c r="M31" s="2712"/>
      <c r="N31" s="2712"/>
      <c r="O31" s="2712"/>
      <c r="P31" s="3757"/>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1"/>
      <c r="L32" s="2718"/>
      <c r="M32" s="2712"/>
      <c r="N32" s="2712"/>
      <c r="O32" s="2712"/>
      <c r="P32" s="3757"/>
      <c r="Q32" s="1351">
        <f t="shared" si="11"/>
        <v>111</v>
      </c>
      <c r="R32" s="704" t="s">
        <v>14</v>
      </c>
      <c r="S32" s="705">
        <f t="shared" si="12"/>
        <v>100</v>
      </c>
      <c r="T32" s="704" t="s">
        <v>14</v>
      </c>
      <c r="U32" s="705">
        <f t="shared" si="13"/>
        <v>100</v>
      </c>
      <c r="V32" s="704" t="s">
        <v>14</v>
      </c>
      <c r="W32" s="705">
        <f t="shared" si="14"/>
        <v>100</v>
      </c>
      <c r="X32" s="1354"/>
      <c r="Y32" s="3688"/>
      <c r="Z32" s="1355">
        <f t="shared" si="15"/>
        <v>111</v>
      </c>
      <c r="AA32" s="1352">
        <f t="shared" si="3"/>
        <v>1</v>
      </c>
      <c r="AB32" s="1352">
        <f t="shared" si="4"/>
        <v>1</v>
      </c>
      <c r="AC32" s="1960">
        <f t="shared" si="5"/>
        <v>1</v>
      </c>
    </row>
    <row r="33" spans="1:29" ht="15">
      <c r="A33" s="391" t="s">
        <v>1693</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0"/>
      <c r="L33" s="2718"/>
      <c r="M33" s="2712"/>
      <c r="N33" s="2712"/>
      <c r="O33" s="2712"/>
      <c r="P33" s="3752" t="s">
        <v>1695</v>
      </c>
      <c r="Q33" s="1351" t="str">
        <f t="shared" si="11"/>
        <v>建筑类型</v>
      </c>
      <c r="R33" s="704" t="s">
        <v>14</v>
      </c>
      <c r="S33" s="705">
        <f t="shared" si="12"/>
        <v>100</v>
      </c>
      <c r="T33" s="704" t="s">
        <v>14</v>
      </c>
      <c r="U33" s="705">
        <f t="shared" si="13"/>
        <v>100</v>
      </c>
      <c r="V33" s="704" t="s">
        <v>14</v>
      </c>
      <c r="W33" s="705">
        <f t="shared" si="14"/>
        <v>100</v>
      </c>
      <c r="X33" s="1354"/>
      <c r="Y33" s="3690" t="s">
        <v>1695</v>
      </c>
      <c r="Z33" s="1355" t="str">
        <f t="shared" si="15"/>
        <v>建筑类型</v>
      </c>
      <c r="AA33" s="1352">
        <f t="shared" si="3"/>
        <v>1</v>
      </c>
      <c r="AB33" s="1352">
        <f t="shared" si="4"/>
        <v>1</v>
      </c>
      <c r="AC33" s="1960">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1"/>
      <c r="L34" s="2717"/>
      <c r="M34" s="2719"/>
      <c r="N34" s="2719"/>
      <c r="O34" s="2719"/>
      <c r="P34" s="3753"/>
      <c r="Q34" s="706" t="str">
        <f t="shared" si="11"/>
        <v>项目建筑规模</v>
      </c>
      <c r="R34" s="707" t="s">
        <v>14</v>
      </c>
      <c r="S34" s="708" t="e">
        <f t="shared" si="12"/>
        <v>#N/A</v>
      </c>
      <c r="T34" s="707" t="s">
        <v>14</v>
      </c>
      <c r="U34" s="708" t="e">
        <f t="shared" si="13"/>
        <v>#N/A</v>
      </c>
      <c r="V34" s="707" t="s">
        <v>14</v>
      </c>
      <c r="W34" s="708" t="e">
        <f t="shared" si="14"/>
        <v>#N/A</v>
      </c>
      <c r="X34" s="709"/>
      <c r="Y34" s="3690"/>
      <c r="Z34" s="710" t="str">
        <f t="shared" si="15"/>
        <v>项目建筑规模</v>
      </c>
      <c r="AA34" s="1352" t="e">
        <f t="shared" si="3"/>
        <v>#N/A</v>
      </c>
      <c r="AB34" s="1352" t="e">
        <f t="shared" si="4"/>
        <v>#N/A</v>
      </c>
      <c r="AC34" s="1960"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0"/>
      <c r="L35" s="2718"/>
      <c r="M35" s="2712"/>
      <c r="N35" s="2712"/>
      <c r="O35" s="2712"/>
      <c r="P35" s="3753"/>
      <c r="Q35" s="1351" t="str">
        <f t="shared" si="11"/>
        <v>建筑结构</v>
      </c>
      <c r="R35" s="704" t="s">
        <v>14</v>
      </c>
      <c r="S35" s="705">
        <f t="shared" si="12"/>
        <v>100</v>
      </c>
      <c r="T35" s="704" t="s">
        <v>14</v>
      </c>
      <c r="U35" s="705">
        <f t="shared" si="13"/>
        <v>100</v>
      </c>
      <c r="V35" s="704" t="s">
        <v>14</v>
      </c>
      <c r="W35" s="705">
        <f t="shared" si="14"/>
        <v>100</v>
      </c>
      <c r="X35" s="1354"/>
      <c r="Y35" s="3690"/>
      <c r="Z35" s="1355" t="str">
        <f t="shared" si="15"/>
        <v>建筑结构</v>
      </c>
      <c r="AA35" s="1352">
        <f t="shared" si="3"/>
        <v>1</v>
      </c>
      <c r="AB35" s="1352">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0"/>
      <c r="L36" s="2718"/>
      <c r="M36" s="2712"/>
      <c r="N36" s="2712"/>
      <c r="O36" s="2712"/>
      <c r="P36" s="3753"/>
      <c r="Q36" s="1351" t="str">
        <f t="shared" si="11"/>
        <v>公共部分装修</v>
      </c>
      <c r="R36" s="704" t="s">
        <v>14</v>
      </c>
      <c r="S36" s="705">
        <f t="shared" si="12"/>
        <v>100</v>
      </c>
      <c r="T36" s="704" t="s">
        <v>14</v>
      </c>
      <c r="U36" s="705">
        <f t="shared" si="13"/>
        <v>100</v>
      </c>
      <c r="V36" s="704" t="s">
        <v>14</v>
      </c>
      <c r="W36" s="705">
        <f t="shared" si="14"/>
        <v>100</v>
      </c>
      <c r="X36" s="1354"/>
      <c r="Y36" s="3690"/>
      <c r="Z36" s="1355" t="str">
        <f t="shared" si="15"/>
        <v>公共部分装修</v>
      </c>
      <c r="AA36" s="1352">
        <f t="shared" si="3"/>
        <v>1</v>
      </c>
      <c r="AB36" s="1352">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0"/>
      <c r="L37" s="2718"/>
      <c r="M37" s="2712"/>
      <c r="N37" s="2712"/>
      <c r="O37" s="2712"/>
      <c r="P37" s="3753"/>
      <c r="Q37" s="1351" t="str">
        <f t="shared" si="11"/>
        <v>成新度</v>
      </c>
      <c r="R37" s="704" t="s">
        <v>14</v>
      </c>
      <c r="S37" s="705" t="e">
        <f t="shared" si="12"/>
        <v>#N/A</v>
      </c>
      <c r="T37" s="704" t="s">
        <v>14</v>
      </c>
      <c r="U37" s="705" t="e">
        <f t="shared" si="13"/>
        <v>#N/A</v>
      </c>
      <c r="V37" s="704" t="s">
        <v>14</v>
      </c>
      <c r="W37" s="705" t="e">
        <f t="shared" si="14"/>
        <v>#N/A</v>
      </c>
      <c r="X37" s="1354"/>
      <c r="Y37" s="3690"/>
      <c r="Z37" s="1355" t="str">
        <f t="shared" si="15"/>
        <v>成新度</v>
      </c>
      <c r="AA37" s="1352" t="e">
        <f t="shared" si="3"/>
        <v>#N/A</v>
      </c>
      <c r="AB37" s="1352"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0"/>
      <c r="L38" s="2713"/>
      <c r="M38" s="2714"/>
      <c r="N38" s="2714"/>
      <c r="O38" s="2714"/>
      <c r="P38" s="3753"/>
      <c r="Q38" s="1342" t="str">
        <f t="shared" si="11"/>
        <v>写字楼等级</v>
      </c>
      <c r="R38" s="700" t="s">
        <v>14</v>
      </c>
      <c r="S38" s="701">
        <f t="shared" si="12"/>
        <v>100</v>
      </c>
      <c r="T38" s="700" t="s">
        <v>14</v>
      </c>
      <c r="U38" s="701">
        <f t="shared" si="13"/>
        <v>100</v>
      </c>
      <c r="V38" s="700" t="s">
        <v>14</v>
      </c>
      <c r="W38" s="701">
        <f t="shared" si="14"/>
        <v>100</v>
      </c>
      <c r="X38" s="702"/>
      <c r="Y38" s="3690"/>
      <c r="Z38" s="52" t="str">
        <f t="shared" si="15"/>
        <v>写字楼等级</v>
      </c>
      <c r="AA38" s="703">
        <f t="shared" si="3"/>
        <v>1</v>
      </c>
      <c r="AB38" s="703">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0"/>
      <c r="L39" s="2718"/>
      <c r="M39" s="2712"/>
      <c r="N39" s="2712"/>
      <c r="O39" s="2712"/>
      <c r="P39" s="3753" t="s">
        <v>1695</v>
      </c>
      <c r="Q39" s="1351" t="str">
        <f t="shared" si="11"/>
        <v>物业管理</v>
      </c>
      <c r="R39" s="704" t="s">
        <v>14</v>
      </c>
      <c r="S39" s="705">
        <f t="shared" si="12"/>
        <v>100</v>
      </c>
      <c r="T39" s="704" t="s">
        <v>14</v>
      </c>
      <c r="U39" s="705">
        <f t="shared" si="13"/>
        <v>100</v>
      </c>
      <c r="V39" s="704" t="s">
        <v>14</v>
      </c>
      <c r="W39" s="705">
        <f t="shared" si="14"/>
        <v>100</v>
      </c>
      <c r="X39" s="1354"/>
      <c r="Y39" s="3690" t="s">
        <v>1695</v>
      </c>
      <c r="Z39" s="1355" t="str">
        <f t="shared" si="15"/>
        <v>物业管理</v>
      </c>
      <c r="AA39" s="1352">
        <f t="shared" si="3"/>
        <v>1</v>
      </c>
      <c r="AB39" s="1352">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0"/>
      <c r="L40" s="2718"/>
      <c r="M40" s="2712"/>
      <c r="N40" s="2712"/>
      <c r="O40" s="2712"/>
      <c r="P40" s="3753"/>
      <c r="Q40" s="1351" t="str">
        <f t="shared" si="11"/>
        <v>市政基础设施</v>
      </c>
      <c r="R40" s="704" t="s">
        <v>14</v>
      </c>
      <c r="S40" s="705">
        <f t="shared" si="12"/>
        <v>100</v>
      </c>
      <c r="T40" s="704" t="s">
        <v>14</v>
      </c>
      <c r="U40" s="705">
        <f t="shared" si="13"/>
        <v>100</v>
      </c>
      <c r="V40" s="704" t="s">
        <v>14</v>
      </c>
      <c r="W40" s="705">
        <f t="shared" si="14"/>
        <v>100</v>
      </c>
      <c r="X40" s="1354"/>
      <c r="Y40" s="3690"/>
      <c r="Z40" s="1355" t="str">
        <f t="shared" si="15"/>
        <v>市政基础设施</v>
      </c>
      <c r="AA40" s="1352">
        <f t="shared" si="3"/>
        <v>1</v>
      </c>
      <c r="AB40" s="1352">
        <f t="shared" si="4"/>
        <v>1</v>
      </c>
      <c r="AC40" s="1960">
        <f t="shared" si="5"/>
        <v>1</v>
      </c>
    </row>
    <row r="41" spans="1:29" ht="15">
      <c r="A41" s="423"/>
      <c r="B41" s="375" t="s">
        <v>1788</v>
      </c>
      <c r="C41" s="564"/>
      <c r="D41" s="386">
        <v>100</v>
      </c>
      <c r="E41" s="564"/>
      <c r="F41" s="412">
        <f>SUMIF(119:119,E41,120:120)-SUMIF(119:119,C41,120:120)+100</f>
        <v>100</v>
      </c>
      <c r="G41" s="564"/>
      <c r="H41" s="386">
        <f>SUMIF(119:119,G41,120:120)-SUMIF(119:119,C41,120:120)+100</f>
        <v>100</v>
      </c>
      <c r="I41" s="564"/>
      <c r="J41" s="386">
        <f>SUMIF(119:119,I41,120:120)-SUMIF(119:119,C41,120:120)+100</f>
        <v>100</v>
      </c>
      <c r="K41" s="560"/>
      <c r="L41" s="2718"/>
      <c r="M41" s="2712"/>
      <c r="N41" s="2712"/>
      <c r="O41" s="2712"/>
      <c r="P41" s="3753"/>
      <c r="Q41" s="1351" t="str">
        <f t="shared" si="11"/>
        <v>层高</v>
      </c>
      <c r="R41" s="704" t="s">
        <v>14</v>
      </c>
      <c r="S41" s="705">
        <f t="shared" si="12"/>
        <v>100</v>
      </c>
      <c r="T41" s="704" t="s">
        <v>14</v>
      </c>
      <c r="U41" s="705">
        <f t="shared" si="13"/>
        <v>100</v>
      </c>
      <c r="V41" s="704" t="s">
        <v>14</v>
      </c>
      <c r="W41" s="705">
        <f t="shared" si="14"/>
        <v>100</v>
      </c>
      <c r="X41" s="1354"/>
      <c r="Y41" s="3690"/>
      <c r="Z41" s="1355" t="str">
        <f t="shared" si="15"/>
        <v>层高</v>
      </c>
      <c r="AA41" s="1352">
        <f t="shared" si="3"/>
        <v>1</v>
      </c>
      <c r="AB41" s="1352">
        <f t="shared" si="4"/>
        <v>1</v>
      </c>
      <c r="AC41" s="1960">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1"/>
      <c r="L42" s="2717"/>
      <c r="M42" s="2719"/>
      <c r="N42" s="2719"/>
      <c r="O42" s="2719"/>
      <c r="P42" s="3753"/>
      <c r="Q42" s="706" t="str">
        <f t="shared" si="11"/>
        <v>单套建筑面积</v>
      </c>
      <c r="R42" s="707" t="s">
        <v>14</v>
      </c>
      <c r="S42" s="708">
        <f t="shared" si="12"/>
        <v>100</v>
      </c>
      <c r="T42" s="707" t="s">
        <v>14</v>
      </c>
      <c r="U42" s="708">
        <f t="shared" si="13"/>
        <v>100</v>
      </c>
      <c r="V42" s="707" t="s">
        <v>14</v>
      </c>
      <c r="W42" s="708">
        <f t="shared" si="14"/>
        <v>100</v>
      </c>
      <c r="X42" s="709"/>
      <c r="Y42" s="3690"/>
      <c r="Z42" s="710" t="str">
        <f t="shared" si="15"/>
        <v>单套建筑面积</v>
      </c>
      <c r="AA42" s="1352">
        <f t="shared" si="3"/>
        <v>1</v>
      </c>
      <c r="AB42" s="1352">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0"/>
      <c r="L43" s="2718"/>
      <c r="M43" s="2712"/>
      <c r="N43" s="2712"/>
      <c r="O43" s="2712"/>
      <c r="P43" s="3753"/>
      <c r="Q43" s="1351" t="str">
        <f t="shared" si="11"/>
        <v>内部装修</v>
      </c>
      <c r="R43" s="704" t="s">
        <v>14</v>
      </c>
      <c r="S43" s="705">
        <f t="shared" si="12"/>
        <v>100</v>
      </c>
      <c r="T43" s="704" t="s">
        <v>14</v>
      </c>
      <c r="U43" s="705">
        <f t="shared" si="13"/>
        <v>100</v>
      </c>
      <c r="V43" s="704" t="s">
        <v>14</v>
      </c>
      <c r="W43" s="705">
        <f t="shared" si="14"/>
        <v>100</v>
      </c>
      <c r="X43" s="1354"/>
      <c r="Y43" s="3690"/>
      <c r="Z43" s="1355" t="str">
        <f t="shared" si="15"/>
        <v>内部装修</v>
      </c>
      <c r="AA43" s="1352">
        <f t="shared" si="3"/>
        <v>1</v>
      </c>
      <c r="AB43" s="1352">
        <f t="shared" si="4"/>
        <v>1</v>
      </c>
      <c r="AC43" s="1960">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0"/>
      <c r="L44" s="2718"/>
      <c r="M44" s="2712"/>
      <c r="N44" s="2712"/>
      <c r="O44" s="2712"/>
      <c r="P44" s="3753"/>
      <c r="Q44" s="1351" t="str">
        <f t="shared" si="11"/>
        <v>内部装修维护情况</v>
      </c>
      <c r="R44" s="704" t="s">
        <v>14</v>
      </c>
      <c r="S44" s="705">
        <f t="shared" si="12"/>
        <v>100</v>
      </c>
      <c r="T44" s="704" t="s">
        <v>14</v>
      </c>
      <c r="U44" s="705">
        <f t="shared" si="13"/>
        <v>100</v>
      </c>
      <c r="V44" s="704" t="s">
        <v>14</v>
      </c>
      <c r="W44" s="705">
        <f t="shared" si="14"/>
        <v>100</v>
      </c>
      <c r="X44" s="1354"/>
      <c r="Y44" s="3690"/>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1"/>
      <c r="L45" s="2713"/>
      <c r="M45" s="2714"/>
      <c r="N45" s="2714"/>
      <c r="O45" s="2714"/>
      <c r="P45" s="3753"/>
      <c r="Q45" s="1342">
        <f t="shared" si="11"/>
        <v>111</v>
      </c>
      <c r="R45" s="700" t="s">
        <v>14</v>
      </c>
      <c r="S45" s="701">
        <f t="shared" si="12"/>
        <v>100</v>
      </c>
      <c r="T45" s="700" t="s">
        <v>14</v>
      </c>
      <c r="U45" s="701">
        <f t="shared" si="13"/>
        <v>100</v>
      </c>
      <c r="V45" s="700" t="s">
        <v>14</v>
      </c>
      <c r="W45" s="701">
        <f t="shared" si="14"/>
        <v>100</v>
      </c>
      <c r="X45" s="702"/>
      <c r="Y45" s="3690"/>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1"/>
      <c r="L46" s="2718"/>
      <c r="M46" s="2712"/>
      <c r="N46" s="2712"/>
      <c r="O46" s="2712"/>
      <c r="P46" s="3753"/>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960">
        <f t="shared" si="5"/>
        <v>1</v>
      </c>
    </row>
    <row r="47" spans="1:29" ht="15.75" thickBot="1">
      <c r="A47" s="428"/>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1"/>
      <c r="L47" s="2718"/>
      <c r="M47" s="2712"/>
      <c r="N47" s="2712"/>
      <c r="O47" s="2712"/>
      <c r="P47" s="3754"/>
      <c r="Q47" s="1351">
        <f t="shared" si="11"/>
        <v>111</v>
      </c>
      <c r="R47" s="704" t="s">
        <v>14</v>
      </c>
      <c r="S47" s="705">
        <f t="shared" si="12"/>
        <v>100</v>
      </c>
      <c r="T47" s="704" t="s">
        <v>14</v>
      </c>
      <c r="U47" s="705">
        <f t="shared" si="13"/>
        <v>100</v>
      </c>
      <c r="V47" s="704" t="s">
        <v>14</v>
      </c>
      <c r="W47" s="705">
        <f t="shared" si="14"/>
        <v>100</v>
      </c>
      <c r="X47" s="1354"/>
      <c r="Y47" s="3755"/>
      <c r="Z47" s="1355">
        <f t="shared" si="15"/>
        <v>111</v>
      </c>
      <c r="AA47" s="1352">
        <f t="shared" si="3"/>
        <v>1</v>
      </c>
      <c r="AB47" s="1352">
        <f t="shared" si="4"/>
        <v>1</v>
      </c>
      <c r="AC47" s="1960">
        <f t="shared" si="5"/>
        <v>1</v>
      </c>
    </row>
    <row r="48" spans="1:29" ht="15">
      <c r="A48" s="429" t="s">
        <v>1707</v>
      </c>
      <c r="B48" s="430"/>
      <c r="C48" s="1153" t="s">
        <v>0</v>
      </c>
      <c r="D48" s="1154"/>
      <c r="E48" s="1155"/>
      <c r="F48" s="1156"/>
      <c r="G48" s="1157"/>
      <c r="H48" s="1158"/>
      <c r="I48" s="1155"/>
      <c r="J48" s="435"/>
      <c r="K48" s="713"/>
      <c r="L48" s="2720"/>
      <c r="M48" s="2712"/>
      <c r="N48" s="2712"/>
      <c r="O48" s="2712"/>
      <c r="P48" s="3685" t="str">
        <f>A48</f>
        <v>成交单价（元/平方米）</v>
      </c>
      <c r="Q48" s="3686"/>
      <c r="R48" s="3751">
        <f>E48</f>
        <v>0</v>
      </c>
      <c r="S48" s="3751"/>
      <c r="T48" s="3751">
        <f>G48</f>
        <v>0</v>
      </c>
      <c r="U48" s="3751"/>
      <c r="V48" s="3751">
        <f>I48</f>
        <v>0</v>
      </c>
      <c r="W48" s="3751"/>
      <c r="X48" s="397"/>
      <c r="Y48" s="711"/>
      <c r="Z48" s="397"/>
      <c r="AA48" s="397"/>
      <c r="AB48" s="397"/>
      <c r="AC48" s="577"/>
    </row>
    <row r="49" spans="1:29" ht="15.75" thickBot="1">
      <c r="A49" s="436" t="s">
        <v>1792</v>
      </c>
      <c r="B49" s="437"/>
      <c r="C49" s="1159" t="e">
        <f>R50</f>
        <v>#DIV/0!</v>
      </c>
      <c r="D49" s="2315" t="s">
        <v>2137</v>
      </c>
      <c r="E49" s="1160" t="e">
        <f>R49</f>
        <v>#DIV/0!</v>
      </c>
      <c r="F49" s="2316"/>
      <c r="G49" s="1159" t="e">
        <f>T49</f>
        <v>#DIV/0!</v>
      </c>
      <c r="H49" s="2316"/>
      <c r="I49" s="1160" t="e">
        <f>V49</f>
        <v>#DIV/0!</v>
      </c>
      <c r="J49" s="2316"/>
      <c r="K49" s="2318">
        <f>F49+H49+J49</f>
        <v>0</v>
      </c>
      <c r="L49" s="2720"/>
      <c r="M49" s="2712"/>
      <c r="N49" s="2712"/>
      <c r="O49" s="2712"/>
      <c r="P49" s="3685" t="str">
        <f>A49</f>
        <v>比较价值（元/平方米）</v>
      </c>
      <c r="Q49" s="3686"/>
      <c r="R49" s="3751" t="e">
        <f>IF(F1="售价",ROUND(PRODUCT(R48,AA7:AA47),0),ROUND(PRODUCT(R48,AA7:AA47),1))</f>
        <v>#DIV/0!</v>
      </c>
      <c r="S49" s="3751"/>
      <c r="T49" s="3751" t="e">
        <f>IF(F1="售价",ROUND(PRODUCT(T48,AB7:AB47),0),ROUND(PRODUCT(T48,AB7:AB47),1))</f>
        <v>#DIV/0!</v>
      </c>
      <c r="U49" s="3751"/>
      <c r="V49" s="3751" t="e">
        <f>IF(F1="售价",ROUND(PRODUCT(V48,AC7:AC47),0),ROUND(PRODUCT(V48,AC7:AC47),1))</f>
        <v>#DIV/0!</v>
      </c>
      <c r="W49" s="3751"/>
      <c r="X49" s="397"/>
      <c r="Y49" s="397"/>
      <c r="Z49" s="397"/>
      <c r="AA49" s="397"/>
      <c r="AB49" s="397"/>
      <c r="AC49" s="577"/>
    </row>
    <row r="50" spans="1:29" ht="15.75" thickBot="1">
      <c r="A50" s="440" t="s">
        <v>1793</v>
      </c>
      <c r="B50" s="441"/>
      <c r="C50" s="1162" t="e">
        <f>R50</f>
        <v>#DIV/0!</v>
      </c>
      <c r="D50" s="1162"/>
      <c r="E50" s="1162"/>
      <c r="F50" s="1162"/>
      <c r="G50" s="1162"/>
      <c r="H50" s="1162"/>
      <c r="I50" s="1162"/>
      <c r="J50" s="442"/>
      <c r="K50" s="714"/>
      <c r="L50" s="2720"/>
      <c r="M50" s="2712"/>
      <c r="N50" s="2712"/>
      <c r="O50" s="2712"/>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1678</v>
      </c>
      <c r="B59" s="454"/>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1680</v>
      </c>
      <c r="B62" s="458"/>
      <c r="C62" s="470" t="s">
        <v>1775</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1718</v>
      </c>
      <c r="B64" s="476" t="s">
        <v>1684</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2"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2"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2"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2"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2"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1822</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5"/>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2"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6"/>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1693</v>
      </c>
      <c r="B101" s="476" t="s">
        <v>1735</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1"/>
      <c r="B113" s="486" t="s">
        <v>1823</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531"/>
      <c r="D119" s="531"/>
      <c r="E119" s="531"/>
      <c r="F119" s="531"/>
      <c r="G119" s="531"/>
      <c r="H119" s="531"/>
      <c r="I119" s="531"/>
      <c r="J119" s="531"/>
      <c r="K119" s="531"/>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7">
        <f>IF(C2="——",C43,ROUND(B2*10000/D3,0))</f>
        <v>0</v>
      </c>
      <c r="C3" s="354" t="s">
        <v>1767</v>
      </c>
      <c r="D3" s="353">
        <f>IF(D1="",'数据-汇总表'!E3,SUMIF('数据-汇总表'!$C19:$C33,D1,'数据-汇总表'!$E19:$E33))</f>
        <v>54229.759999999966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683" t="s">
        <v>1769</v>
      </c>
      <c r="D4" s="3695"/>
      <c r="E4" s="3696" t="s">
        <v>1770</v>
      </c>
      <c r="F4" s="3697"/>
      <c r="G4" s="3683" t="s">
        <v>1771</v>
      </c>
      <c r="H4" s="3695"/>
      <c r="I4" s="3683" t="s">
        <v>1772</v>
      </c>
      <c r="J4" s="3695"/>
      <c r="K4" s="558" t="s">
        <v>1773</v>
      </c>
      <c r="L4" s="912"/>
      <c r="M4" s="913"/>
      <c r="N4" s="913"/>
      <c r="O4" s="913"/>
      <c r="P4" s="3698" t="s">
        <v>1774</v>
      </c>
      <c r="Q4" s="3699"/>
      <c r="R4" s="3704" t="s">
        <v>1770</v>
      </c>
      <c r="S4" s="3705"/>
      <c r="T4" s="3704" t="s">
        <v>1771</v>
      </c>
      <c r="U4" s="3705"/>
      <c r="V4" s="3691" t="s">
        <v>1772</v>
      </c>
      <c r="W4" s="3691"/>
      <c r="X4" s="1354"/>
      <c r="Y4" s="3704" t="s">
        <v>1774</v>
      </c>
      <c r="Z4" s="3705"/>
      <c r="AA4" s="3692" t="s">
        <v>1770</v>
      </c>
      <c r="AB4" s="3693" t="s">
        <v>1771</v>
      </c>
      <c r="AC4" s="3692" t="s">
        <v>1772</v>
      </c>
    </row>
    <row r="5" spans="1:29" ht="15">
      <c r="A5" s="358"/>
      <c r="B5" s="359"/>
      <c r="C5" s="3712" t="s">
        <v>1672</v>
      </c>
      <c r="D5" s="3713"/>
      <c r="E5" s="3759" t="s">
        <v>1673</v>
      </c>
      <c r="F5" s="3720"/>
      <c r="G5" s="3712" t="s">
        <v>1674</v>
      </c>
      <c r="H5" s="3713"/>
      <c r="I5" s="3712" t="s">
        <v>1675</v>
      </c>
      <c r="J5" s="3713"/>
      <c r="K5" s="558"/>
      <c r="L5" s="912"/>
      <c r="M5" s="913"/>
      <c r="N5" s="913"/>
      <c r="O5" s="913"/>
      <c r="P5" s="3700"/>
      <c r="Q5" s="3701"/>
      <c r="R5" s="3706"/>
      <c r="S5" s="3707"/>
      <c r="T5" s="3706"/>
      <c r="U5" s="3707"/>
      <c r="V5" s="3691"/>
      <c r="W5" s="3691"/>
      <c r="X5" s="1354"/>
      <c r="Y5" s="3706"/>
      <c r="Z5" s="3707"/>
      <c r="AA5" s="3693"/>
      <c r="AB5" s="3693"/>
      <c r="AC5" s="3693"/>
    </row>
    <row r="6" spans="1:29" ht="15.75" thickBot="1">
      <c r="A6" s="360"/>
      <c r="B6" s="361"/>
      <c r="C6" s="3710" t="s">
        <v>1676</v>
      </c>
      <c r="D6" s="3711"/>
      <c r="E6" s="3717" t="s">
        <v>1676</v>
      </c>
      <c r="F6" s="3718"/>
      <c r="G6" s="3710" t="s">
        <v>1676</v>
      </c>
      <c r="H6" s="3711"/>
      <c r="I6" s="3710" t="s">
        <v>1676</v>
      </c>
      <c r="J6" s="3711"/>
      <c r="K6" s="558" t="s">
        <v>1677</v>
      </c>
      <c r="L6" s="912"/>
      <c r="M6" s="913"/>
      <c r="N6" s="913"/>
      <c r="O6" s="913"/>
      <c r="P6" s="3702"/>
      <c r="Q6" s="3703"/>
      <c r="R6" s="3706"/>
      <c r="S6" s="3707"/>
      <c r="T6" s="3708"/>
      <c r="U6" s="3709"/>
      <c r="V6" s="3691"/>
      <c r="W6" s="3691"/>
      <c r="X6" s="1354"/>
      <c r="Y6" s="3708"/>
      <c r="Z6" s="3709"/>
      <c r="AA6" s="3694"/>
      <c r="AB6" s="3694"/>
      <c r="AC6" s="3694"/>
    </row>
    <row r="7" spans="1:29" s="108" customFormat="1" ht="15.75" thickBot="1">
      <c r="A7" s="362" t="s">
        <v>1678</v>
      </c>
      <c r="B7" s="363"/>
      <c r="C7" s="364">
        <f>'数据-取费表'!B2</f>
        <v>45009</v>
      </c>
      <c r="D7" s="365">
        <v>100</v>
      </c>
      <c r="E7" s="366"/>
      <c r="F7" s="367">
        <f>SUMIF(52:52,YEAR(E7)&amp;"-"&amp;MONTH(E7),53:53)</f>
        <v>0</v>
      </c>
      <c r="G7" s="366"/>
      <c r="H7" s="365">
        <f>SUMIF(52:52,YEAR(G7)&amp;"-"&amp;MONTH(G7),53:53)</f>
        <v>0</v>
      </c>
      <c r="I7" s="366"/>
      <c r="J7" s="365">
        <f>SUMIF(52:52,YEAR(I7)&amp;"-"&amp;MONTH(I7),53:53)</f>
        <v>0</v>
      </c>
      <c r="K7" s="559"/>
      <c r="L7" s="914"/>
      <c r="M7" s="915"/>
      <c r="N7" s="915"/>
      <c r="O7" s="915"/>
      <c r="P7" s="3714" t="s">
        <v>1679</v>
      </c>
      <c r="Q7" s="3716"/>
      <c r="R7" s="700" t="s">
        <v>14</v>
      </c>
      <c r="S7" s="701">
        <f t="shared" ref="S7:S15" si="0">F7</f>
        <v>0</v>
      </c>
      <c r="T7" s="700" t="s">
        <v>14</v>
      </c>
      <c r="U7" s="701">
        <f t="shared" ref="U7:U15" si="1">H7</f>
        <v>0</v>
      </c>
      <c r="V7" s="700" t="s">
        <v>14</v>
      </c>
      <c r="W7" s="701">
        <f t="shared" ref="W7:W15" si="2">J7</f>
        <v>0</v>
      </c>
      <c r="X7" s="702"/>
      <c r="Y7" s="3714" t="s">
        <v>1679</v>
      </c>
      <c r="Z7" s="3715"/>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59"/>
      <c r="L8" s="914"/>
      <c r="M8" s="915"/>
      <c r="N8" s="915"/>
      <c r="O8" s="915"/>
      <c r="P8" s="3714" t="s">
        <v>1682</v>
      </c>
      <c r="Q8" s="3715"/>
      <c r="R8" s="700" t="s">
        <v>14</v>
      </c>
      <c r="S8" s="701">
        <f t="shared" si="0"/>
        <v>100</v>
      </c>
      <c r="T8" s="700" t="s">
        <v>14</v>
      </c>
      <c r="U8" s="701">
        <f t="shared" si="1"/>
        <v>100</v>
      </c>
      <c r="V8" s="700" t="s">
        <v>14</v>
      </c>
      <c r="W8" s="701">
        <f t="shared" si="2"/>
        <v>100</v>
      </c>
      <c r="X8" s="702"/>
      <c r="Y8" s="3714" t="s">
        <v>1682</v>
      </c>
      <c r="Z8" s="3715"/>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59"/>
      <c r="L9" s="914"/>
      <c r="M9" s="915"/>
      <c r="N9" s="915"/>
      <c r="O9" s="916"/>
      <c r="P9" s="3686"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59"/>
      <c r="L10" s="917"/>
      <c r="M10" s="918"/>
      <c r="N10" s="918"/>
      <c r="O10" s="919"/>
      <c r="P10" s="3686"/>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0"/>
      <c r="L11" s="920"/>
      <c r="M11" s="913"/>
      <c r="N11" s="913"/>
      <c r="O11" s="921"/>
      <c r="P11" s="3686"/>
      <c r="Q11" s="1342"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1"/>
      <c r="L12" s="914"/>
      <c r="M12" s="915"/>
      <c r="N12" s="915"/>
      <c r="O12" s="916"/>
      <c r="P12" s="3686"/>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1"/>
      <c r="L13" s="922"/>
      <c r="M13" s="913"/>
      <c r="N13" s="913"/>
      <c r="O13" s="921"/>
      <c r="P13" s="3686"/>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1"/>
      <c r="L14" s="922"/>
      <c r="M14" s="913"/>
      <c r="N14" s="913"/>
      <c r="O14" s="921"/>
      <c r="P14" s="3686"/>
      <c r="Q14" s="1342">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2"/>
      <c r="L15" s="922"/>
      <c r="M15" s="913"/>
      <c r="N15" s="913"/>
      <c r="O15" s="921"/>
      <c r="P15" s="3687" t="s">
        <v>1690</v>
      </c>
      <c r="Q15" s="1351" t="str">
        <f t="shared" si="6"/>
        <v>产业集聚程度</v>
      </c>
      <c r="R15" s="704" t="s">
        <v>14</v>
      </c>
      <c r="S15" s="705">
        <f t="shared" si="0"/>
        <v>100</v>
      </c>
      <c r="T15" s="704" t="s">
        <v>14</v>
      </c>
      <c r="U15" s="705">
        <f t="shared" si="1"/>
        <v>100</v>
      </c>
      <c r="V15" s="704" t="s">
        <v>14</v>
      </c>
      <c r="W15" s="705">
        <f t="shared" si="2"/>
        <v>100</v>
      </c>
      <c r="X15" s="1354"/>
      <c r="Y15" s="3687"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3"/>
      <c r="L16" s="922"/>
      <c r="M16" s="913"/>
      <c r="N16" s="913"/>
      <c r="O16" s="921"/>
      <c r="P16" s="3688"/>
      <c r="Q16" s="1351"/>
      <c r="R16" s="704"/>
      <c r="S16" s="705"/>
      <c r="T16" s="704"/>
      <c r="U16" s="705"/>
      <c r="V16" s="704"/>
      <c r="W16" s="705"/>
      <c r="X16" s="1354"/>
      <c r="Y16" s="3688"/>
      <c r="Z16" s="1355"/>
      <c r="AA16" s="1352">
        <v>1</v>
      </c>
      <c r="AB16" s="1352">
        <v>1</v>
      </c>
      <c r="AC16" s="1352">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2"/>
      <c r="L17" s="922"/>
      <c r="M17" s="913"/>
      <c r="N17" s="913"/>
      <c r="O17" s="921"/>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3"/>
      <c r="L18" s="922"/>
      <c r="M18" s="913"/>
      <c r="N18" s="913"/>
      <c r="O18" s="921"/>
      <c r="P18" s="3688"/>
      <c r="Q18" s="1351"/>
      <c r="R18" s="704"/>
      <c r="S18" s="705"/>
      <c r="T18" s="704"/>
      <c r="U18" s="705"/>
      <c r="V18" s="704"/>
      <c r="W18" s="705"/>
      <c r="X18" s="1354"/>
      <c r="Y18" s="3688"/>
      <c r="Z18" s="1355"/>
      <c r="AA18" s="1352">
        <v>1</v>
      </c>
      <c r="AB18" s="1352">
        <v>1</v>
      </c>
      <c r="AC18" s="1352">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2"/>
      <c r="L19" s="922"/>
      <c r="M19" s="913"/>
      <c r="N19" s="913"/>
      <c r="O19" s="921"/>
      <c r="P19" s="3688"/>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3"/>
      <c r="L20" s="922"/>
      <c r="M20" s="913"/>
      <c r="N20" s="913"/>
      <c r="O20" s="921"/>
      <c r="P20" s="3688"/>
      <c r="Q20" s="1351"/>
      <c r="R20" s="704"/>
      <c r="S20" s="705"/>
      <c r="T20" s="704"/>
      <c r="U20" s="705"/>
      <c r="V20" s="704"/>
      <c r="W20" s="705"/>
      <c r="X20" s="1354"/>
      <c r="Y20" s="3688"/>
      <c r="Z20" s="1355"/>
      <c r="AA20" s="1352">
        <v>1</v>
      </c>
      <c r="AB20" s="1352">
        <v>1</v>
      </c>
      <c r="AC20" s="1352">
        <v>1</v>
      </c>
    </row>
    <row r="21" spans="1:29" ht="28.5">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2"/>
      <c r="L21" s="922"/>
      <c r="M21" s="913"/>
      <c r="N21" s="913"/>
      <c r="O21" s="921"/>
      <c r="P21" s="3688"/>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2"/>
      <c r="M22" s="913"/>
      <c r="N22" s="913"/>
      <c r="O22" s="921"/>
      <c r="P22" s="3688"/>
      <c r="Q22" s="1351"/>
      <c r="R22" s="704"/>
      <c r="S22" s="705"/>
      <c r="T22" s="704"/>
      <c r="U22" s="705"/>
      <c r="V22" s="704"/>
      <c r="W22" s="705"/>
      <c r="X22" s="1354"/>
      <c r="Y22" s="3688"/>
      <c r="Z22" s="1355"/>
      <c r="AA22" s="1352">
        <v>1</v>
      </c>
      <c r="AB22" s="1352">
        <v>1</v>
      </c>
      <c r="AC22" s="1352">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2"/>
      <c r="L23" s="922"/>
      <c r="M23" s="913"/>
      <c r="N23" s="913"/>
      <c r="O23" s="921"/>
      <c r="P23" s="3688"/>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3"/>
      <c r="L24" s="922"/>
      <c r="M24" s="913"/>
      <c r="N24" s="913"/>
      <c r="O24" s="921"/>
      <c r="P24" s="3688"/>
      <c r="Q24" s="1351"/>
      <c r="R24" s="704"/>
      <c r="S24" s="705"/>
      <c r="T24" s="704"/>
      <c r="U24" s="705"/>
      <c r="V24" s="704"/>
      <c r="W24" s="705"/>
      <c r="X24" s="1354"/>
      <c r="Y24" s="368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1"/>
      <c r="L25" s="922"/>
      <c r="M25" s="913"/>
      <c r="N25" s="913"/>
      <c r="O25" s="921"/>
      <c r="P25" s="3688"/>
      <c r="Q25" s="1351">
        <f>B25</f>
        <v>111</v>
      </c>
      <c r="R25" s="704" t="s">
        <v>14</v>
      </c>
      <c r="S25" s="705">
        <f>F25</f>
        <v>100</v>
      </c>
      <c r="T25" s="704" t="s">
        <v>14</v>
      </c>
      <c r="U25" s="705">
        <f>H25</f>
        <v>100</v>
      </c>
      <c r="V25" s="704" t="s">
        <v>14</v>
      </c>
      <c r="W25" s="705">
        <f>J25</f>
        <v>100</v>
      </c>
      <c r="X25" s="1354"/>
      <c r="Y25" s="368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1"/>
      <c r="L26" s="922"/>
      <c r="M26" s="913"/>
      <c r="N26" s="913"/>
      <c r="O26" s="921"/>
      <c r="P26" s="3688"/>
      <c r="Q26" s="1351">
        <f t="shared" ref="Q26:Q40" si="11">B26</f>
        <v>111</v>
      </c>
      <c r="R26" s="704" t="s">
        <v>14</v>
      </c>
      <c r="S26" s="705">
        <f>F26</f>
        <v>100</v>
      </c>
      <c r="T26" s="704" t="s">
        <v>14</v>
      </c>
      <c r="U26" s="705">
        <f>H26</f>
        <v>100</v>
      </c>
      <c r="V26" s="704" t="s">
        <v>14</v>
      </c>
      <c r="W26" s="705">
        <f>J26</f>
        <v>100</v>
      </c>
      <c r="X26" s="1354"/>
      <c r="Y26" s="368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1"/>
      <c r="L27" s="914"/>
      <c r="M27" s="915"/>
      <c r="N27" s="915"/>
      <c r="O27" s="916"/>
      <c r="P27" s="3688"/>
      <c r="Q27" s="1342">
        <f t="shared" si="11"/>
        <v>111</v>
      </c>
      <c r="R27" s="700" t="s">
        <v>14</v>
      </c>
      <c r="S27" s="701">
        <f>F27</f>
        <v>100</v>
      </c>
      <c r="T27" s="700" t="s">
        <v>14</v>
      </c>
      <c r="U27" s="701">
        <f>H27</f>
        <v>100</v>
      </c>
      <c r="V27" s="700" t="s">
        <v>14</v>
      </c>
      <c r="W27" s="701">
        <f>J27</f>
        <v>100</v>
      </c>
      <c r="X27" s="702"/>
      <c r="Y27" s="368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1"/>
      <c r="L28" s="922"/>
      <c r="M28" s="913"/>
      <c r="N28" s="913"/>
      <c r="O28" s="921"/>
      <c r="P28" s="3688"/>
      <c r="Q28" s="1351">
        <f t="shared" si="11"/>
        <v>111</v>
      </c>
      <c r="R28" s="704" t="s">
        <v>14</v>
      </c>
      <c r="S28" s="705">
        <f t="shared" ref="S28:S40" si="12">F28</f>
        <v>100</v>
      </c>
      <c r="T28" s="704" t="s">
        <v>14</v>
      </c>
      <c r="U28" s="705">
        <f t="shared" ref="U28:U40" si="13">H28</f>
        <v>100</v>
      </c>
      <c r="V28" s="704" t="s">
        <v>14</v>
      </c>
      <c r="W28" s="705">
        <f t="shared" ref="W28:W40" si="14">J28</f>
        <v>100</v>
      </c>
      <c r="X28" s="1354"/>
      <c r="Y28" s="3688"/>
      <c r="Z28" s="1355">
        <f t="shared" ref="Z28:Z40" si="15">Q28</f>
        <v>111</v>
      </c>
      <c r="AA28" s="1352">
        <f t="shared" si="3"/>
        <v>1</v>
      </c>
      <c r="AB28" s="1352">
        <f t="shared" si="4"/>
        <v>1</v>
      </c>
      <c r="AC28" s="1352">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0"/>
      <c r="L29" s="922"/>
      <c r="M29" s="913"/>
      <c r="N29" s="913"/>
      <c r="O29" s="921"/>
      <c r="P29" s="3689" t="s">
        <v>1695</v>
      </c>
      <c r="Q29" s="1351" t="str">
        <f t="shared" si="11"/>
        <v>建筑类型</v>
      </c>
      <c r="R29" s="704" t="s">
        <v>14</v>
      </c>
      <c r="S29" s="705">
        <f t="shared" si="12"/>
        <v>100</v>
      </c>
      <c r="T29" s="704" t="s">
        <v>14</v>
      </c>
      <c r="U29" s="705">
        <f t="shared" si="13"/>
        <v>100</v>
      </c>
      <c r="V29" s="704" t="s">
        <v>14</v>
      </c>
      <c r="W29" s="705">
        <f t="shared" si="14"/>
        <v>100</v>
      </c>
      <c r="X29" s="1354"/>
      <c r="Y29" s="3690"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1"/>
      <c r="L30" s="920"/>
      <c r="M30" s="923"/>
      <c r="N30" s="923"/>
      <c r="O30" s="924"/>
      <c r="P30" s="3690"/>
      <c r="Q30" s="706" t="str">
        <f t="shared" si="11"/>
        <v>项目建筑规模</v>
      </c>
      <c r="R30" s="707" t="s">
        <v>14</v>
      </c>
      <c r="S30" s="708" t="e">
        <f t="shared" si="12"/>
        <v>#N/A</v>
      </c>
      <c r="T30" s="707" t="s">
        <v>14</v>
      </c>
      <c r="U30" s="708" t="e">
        <f t="shared" si="13"/>
        <v>#N/A</v>
      </c>
      <c r="V30" s="707" t="s">
        <v>14</v>
      </c>
      <c r="W30" s="708" t="e">
        <f t="shared" si="14"/>
        <v>#N/A</v>
      </c>
      <c r="X30" s="709"/>
      <c r="Y30" s="3690"/>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0"/>
      <c r="L31" s="922"/>
      <c r="M31" s="913"/>
      <c r="N31" s="913"/>
      <c r="O31" s="921"/>
      <c r="P31" s="3690"/>
      <c r="Q31" s="1351" t="str">
        <f t="shared" si="11"/>
        <v>建筑结构</v>
      </c>
      <c r="R31" s="704" t="s">
        <v>14</v>
      </c>
      <c r="S31" s="705">
        <f t="shared" si="12"/>
        <v>100</v>
      </c>
      <c r="T31" s="704" t="s">
        <v>14</v>
      </c>
      <c r="U31" s="705">
        <f t="shared" si="13"/>
        <v>100</v>
      </c>
      <c r="V31" s="704" t="s">
        <v>14</v>
      </c>
      <c r="W31" s="705">
        <f t="shared" si="14"/>
        <v>100</v>
      </c>
      <c r="X31" s="1354"/>
      <c r="Y31" s="3690"/>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0"/>
      <c r="L32" s="922"/>
      <c r="M32" s="913"/>
      <c r="N32" s="913"/>
      <c r="O32" s="921"/>
      <c r="P32" s="3690"/>
      <c r="Q32" s="1351" t="str">
        <f t="shared" si="11"/>
        <v>公共部分装修</v>
      </c>
      <c r="R32" s="704" t="s">
        <v>14</v>
      </c>
      <c r="S32" s="705">
        <f t="shared" si="12"/>
        <v>100</v>
      </c>
      <c r="T32" s="704" t="s">
        <v>14</v>
      </c>
      <c r="U32" s="705">
        <f t="shared" si="13"/>
        <v>100</v>
      </c>
      <c r="V32" s="704" t="s">
        <v>14</v>
      </c>
      <c r="W32" s="705">
        <f t="shared" si="14"/>
        <v>100</v>
      </c>
      <c r="X32" s="1354"/>
      <c r="Y32" s="3690"/>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0"/>
      <c r="L33" s="922"/>
      <c r="M33" s="913"/>
      <c r="N33" s="913"/>
      <c r="O33" s="921"/>
      <c r="P33" s="3690"/>
      <c r="Q33" s="1351" t="str">
        <f t="shared" si="11"/>
        <v>成新度</v>
      </c>
      <c r="R33" s="704" t="s">
        <v>14</v>
      </c>
      <c r="S33" s="705" t="e">
        <f t="shared" si="12"/>
        <v>#N/A</v>
      </c>
      <c r="T33" s="704" t="s">
        <v>14</v>
      </c>
      <c r="U33" s="705" t="e">
        <f t="shared" si="13"/>
        <v>#N/A</v>
      </c>
      <c r="V33" s="704" t="s">
        <v>14</v>
      </c>
      <c r="W33" s="705" t="e">
        <f t="shared" si="14"/>
        <v>#N/A</v>
      </c>
      <c r="X33" s="1354"/>
      <c r="Y33" s="3690"/>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0"/>
      <c r="L34" s="914"/>
      <c r="M34" s="915"/>
      <c r="N34" s="915"/>
      <c r="O34" s="916"/>
      <c r="P34" s="3690"/>
      <c r="Q34" s="1342" t="str">
        <f t="shared" si="11"/>
        <v>物业管理</v>
      </c>
      <c r="R34" s="700" t="s">
        <v>14</v>
      </c>
      <c r="S34" s="701">
        <f t="shared" si="12"/>
        <v>100</v>
      </c>
      <c r="T34" s="700" t="s">
        <v>14</v>
      </c>
      <c r="U34" s="701">
        <f t="shared" si="13"/>
        <v>100</v>
      </c>
      <c r="V34" s="700" t="s">
        <v>14</v>
      </c>
      <c r="W34" s="701">
        <f t="shared" si="14"/>
        <v>100</v>
      </c>
      <c r="X34" s="702"/>
      <c r="Y34" s="3690"/>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0"/>
      <c r="L35" s="922"/>
      <c r="M35" s="913"/>
      <c r="N35" s="913"/>
      <c r="O35" s="921"/>
      <c r="P35" s="3690" t="s">
        <v>1695</v>
      </c>
      <c r="Q35" s="1351" t="str">
        <f t="shared" si="11"/>
        <v>市政基础设施</v>
      </c>
      <c r="R35" s="704" t="s">
        <v>14</v>
      </c>
      <c r="S35" s="705">
        <f t="shared" si="12"/>
        <v>100</v>
      </c>
      <c r="T35" s="704" t="s">
        <v>14</v>
      </c>
      <c r="U35" s="705">
        <f t="shared" si="13"/>
        <v>100</v>
      </c>
      <c r="V35" s="704" t="s">
        <v>14</v>
      </c>
      <c r="W35" s="705">
        <f t="shared" si="14"/>
        <v>100</v>
      </c>
      <c r="X35" s="1354"/>
      <c r="Y35" s="3690"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0"/>
      <c r="L36" s="922"/>
      <c r="M36" s="913"/>
      <c r="N36" s="913"/>
      <c r="O36" s="921"/>
      <c r="P36" s="3690"/>
      <c r="Q36" s="1351" t="str">
        <f t="shared" si="11"/>
        <v>内部装修</v>
      </c>
      <c r="R36" s="704" t="s">
        <v>14</v>
      </c>
      <c r="S36" s="705">
        <f t="shared" si="12"/>
        <v>100</v>
      </c>
      <c r="T36" s="704" t="s">
        <v>14</v>
      </c>
      <c r="U36" s="705">
        <f t="shared" si="13"/>
        <v>100</v>
      </c>
      <c r="V36" s="704" t="s">
        <v>14</v>
      </c>
      <c r="W36" s="705">
        <f t="shared" si="14"/>
        <v>100</v>
      </c>
      <c r="X36" s="1354"/>
      <c r="Y36" s="3690"/>
      <c r="Z36" s="1355" t="str">
        <f t="shared" si="15"/>
        <v>内部装修</v>
      </c>
      <c r="AA36" s="1352">
        <f t="shared" si="3"/>
        <v>1</v>
      </c>
      <c r="AB36" s="1352">
        <f t="shared" si="4"/>
        <v>1</v>
      </c>
      <c r="AC36" s="1352">
        <f t="shared" si="5"/>
        <v>1</v>
      </c>
    </row>
    <row r="37" spans="1:29" ht="15">
      <c r="A37" s="423"/>
      <c r="B37" s="375" t="s">
        <v>1827</v>
      </c>
      <c r="C37" s="564"/>
      <c r="D37" s="386">
        <v>100</v>
      </c>
      <c r="E37" s="564"/>
      <c r="F37" s="412">
        <f>SUMIF(106:106,E37,107:107)-SUMIF(106:106,C37,107:107)+100</f>
        <v>100</v>
      </c>
      <c r="G37" s="564"/>
      <c r="H37" s="386">
        <f>SUMIF(106:106,G37,107:107)-SUMIF(106:106,C37,107:107)+100</f>
        <v>100</v>
      </c>
      <c r="I37" s="564"/>
      <c r="J37" s="386">
        <f>SUMIF(106:106,I37,107:107)-SUMIF(106:106,C37,107:107)+100</f>
        <v>100</v>
      </c>
      <c r="K37" s="560"/>
      <c r="L37" s="922"/>
      <c r="M37" s="913"/>
      <c r="N37" s="913"/>
      <c r="O37" s="921"/>
      <c r="P37" s="3690"/>
      <c r="Q37" s="1351" t="str">
        <f t="shared" si="11"/>
        <v>内部装修状况</v>
      </c>
      <c r="R37" s="704" t="s">
        <v>14</v>
      </c>
      <c r="S37" s="705">
        <f t="shared" si="12"/>
        <v>100</v>
      </c>
      <c r="T37" s="704" t="s">
        <v>14</v>
      </c>
      <c r="U37" s="705">
        <f t="shared" si="13"/>
        <v>100</v>
      </c>
      <c r="V37" s="704" t="s">
        <v>14</v>
      </c>
      <c r="W37" s="705">
        <f t="shared" si="14"/>
        <v>100</v>
      </c>
      <c r="X37" s="1354"/>
      <c r="Y37" s="369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1"/>
      <c r="L38" s="920"/>
      <c r="M38" s="923"/>
      <c r="N38" s="923"/>
      <c r="O38" s="924"/>
      <c r="P38" s="3690"/>
      <c r="Q38" s="706">
        <f t="shared" si="11"/>
        <v>111</v>
      </c>
      <c r="R38" s="707" t="s">
        <v>14</v>
      </c>
      <c r="S38" s="708">
        <f t="shared" si="12"/>
        <v>100</v>
      </c>
      <c r="T38" s="707" t="s">
        <v>14</v>
      </c>
      <c r="U38" s="708">
        <f t="shared" si="13"/>
        <v>100</v>
      </c>
      <c r="V38" s="707" t="s">
        <v>14</v>
      </c>
      <c r="W38" s="708">
        <f t="shared" si="14"/>
        <v>100</v>
      </c>
      <c r="X38" s="709"/>
      <c r="Y38" s="369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1"/>
      <c r="L39" s="922"/>
      <c r="M39" s="913"/>
      <c r="N39" s="913"/>
      <c r="O39" s="921"/>
      <c r="P39" s="3690"/>
      <c r="Q39" s="1351">
        <f t="shared" si="11"/>
        <v>111</v>
      </c>
      <c r="R39" s="704" t="s">
        <v>14</v>
      </c>
      <c r="S39" s="705">
        <f t="shared" si="12"/>
        <v>100</v>
      </c>
      <c r="T39" s="704" t="s">
        <v>14</v>
      </c>
      <c r="U39" s="705">
        <f t="shared" si="13"/>
        <v>100</v>
      </c>
      <c r="V39" s="704" t="s">
        <v>14</v>
      </c>
      <c r="W39" s="705">
        <f t="shared" si="14"/>
        <v>100</v>
      </c>
      <c r="X39" s="1354"/>
      <c r="Y39" s="3690"/>
      <c r="Z39" s="1355">
        <f t="shared" si="15"/>
        <v>111</v>
      </c>
      <c r="AA39" s="1352">
        <f t="shared" si="3"/>
        <v>1</v>
      </c>
      <c r="AB39" s="1352">
        <f t="shared" si="4"/>
        <v>1</v>
      </c>
      <c r="AC39" s="1352">
        <f t="shared" si="5"/>
        <v>1</v>
      </c>
    </row>
    <row r="40" spans="1:29" ht="15.75" thickBot="1">
      <c r="A40" s="428"/>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1"/>
      <c r="L40" s="922"/>
      <c r="M40" s="913"/>
      <c r="N40" s="913"/>
      <c r="O40" s="921"/>
      <c r="P40" s="3755"/>
      <c r="Q40" s="1351">
        <f t="shared" si="11"/>
        <v>111</v>
      </c>
      <c r="R40" s="704" t="s">
        <v>14</v>
      </c>
      <c r="S40" s="705">
        <f t="shared" si="12"/>
        <v>100</v>
      </c>
      <c r="T40" s="704" t="s">
        <v>14</v>
      </c>
      <c r="U40" s="705">
        <f t="shared" si="13"/>
        <v>100</v>
      </c>
      <c r="V40" s="704" t="s">
        <v>14</v>
      </c>
      <c r="W40" s="705">
        <f t="shared" si="14"/>
        <v>100</v>
      </c>
      <c r="X40" s="1354"/>
      <c r="Y40" s="3755"/>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686" t="str">
        <f>A41</f>
        <v>成交单价（元/平方米）</v>
      </c>
      <c r="Q41" s="3686"/>
      <c r="R41" s="3751">
        <f>E41</f>
        <v>0</v>
      </c>
      <c r="S41" s="3751"/>
      <c r="T41" s="3751">
        <f>G41</f>
        <v>0</v>
      </c>
      <c r="U41" s="3751"/>
      <c r="V41" s="3751">
        <f>I41</f>
        <v>0</v>
      </c>
      <c r="W41" s="3751"/>
      <c r="X41" s="689"/>
      <c r="Y41" s="711"/>
      <c r="Z41" s="689"/>
      <c r="AA41" s="689"/>
      <c r="AB41" s="689"/>
      <c r="AC41" s="689"/>
    </row>
    <row r="42" spans="1:29" ht="15.75" thickBot="1">
      <c r="A42" s="436" t="s">
        <v>1792</v>
      </c>
      <c r="B42" s="437"/>
      <c r="C42" s="1159" t="e">
        <f>R43</f>
        <v>#DIV/0!</v>
      </c>
      <c r="D42" s="2315" t="s">
        <v>2137</v>
      </c>
      <c r="E42" s="1160" t="e">
        <f>R42</f>
        <v>#DIV/0!</v>
      </c>
      <c r="F42" s="2316"/>
      <c r="G42" s="1159" t="e">
        <f>T42</f>
        <v>#DIV/0!</v>
      </c>
      <c r="H42" s="2316"/>
      <c r="I42" s="1160" t="e">
        <f>V42</f>
        <v>#DIV/0!</v>
      </c>
      <c r="J42" s="2316"/>
      <c r="K42" s="2318">
        <f>F42+H42+J42</f>
        <v>0</v>
      </c>
      <c r="L42" s="925"/>
      <c r="M42" s="926"/>
      <c r="N42" s="913"/>
      <c r="O42" s="926"/>
      <c r="P42" s="3686" t="str">
        <f>A42</f>
        <v>比较价值（元/平方米）</v>
      </c>
      <c r="Q42" s="3686"/>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680" t="str">
        <f>A43</f>
        <v>估价对象XX用房的比较价值（楼面单价，元/平方米）</v>
      </c>
      <c r="Q43" s="3681"/>
      <c r="R43" s="3750" t="e">
        <f>IF(F1="售价",ROUND(IF(D42="简单平均",AVERAGE(R42:V42),R42*F42+T42*H42+V42*J42),0),ROUND(IF(D42="简单平均",AVERAGE(R42:V42),R42*F42+T42*H42+V42*J42),1))</f>
        <v>#DIV/0!</v>
      </c>
      <c r="S43" s="3750"/>
      <c r="T43" s="3750"/>
      <c r="U43" s="3750"/>
      <c r="V43" s="3750"/>
      <c r="W43" s="3750"/>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1715</v>
      </c>
      <c r="B54" s="464"/>
      <c r="C54" s="465"/>
      <c r="D54" s="466"/>
      <c r="E54" s="466"/>
      <c r="F54" s="466"/>
      <c r="G54" s="466"/>
      <c r="H54" s="466"/>
      <c r="I54" s="466"/>
      <c r="J54" s="466"/>
      <c r="K54" s="466"/>
      <c r="L54" s="466"/>
      <c r="M54" s="467"/>
      <c r="N54" s="2766"/>
      <c r="O54" s="2767"/>
      <c r="P54" s="452"/>
      <c r="Q54" s="452"/>
    </row>
    <row r="55" spans="1:17" s="108" customFormat="1" ht="15">
      <c r="A55" s="469" t="s">
        <v>1680</v>
      </c>
      <c r="B55" s="458"/>
      <c r="C55" s="470" t="s">
        <v>1775</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1687</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9"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2" customFormat="1" ht="15.75" thickTop="1">
      <c r="A64" s="501"/>
      <c r="B64" s="486">
        <f>B12</f>
        <v>111</v>
      </c>
      <c r="C64" s="502"/>
      <c r="D64" s="502"/>
      <c r="E64" s="502"/>
      <c r="F64" s="502"/>
      <c r="G64" s="502"/>
      <c r="H64" s="503"/>
      <c r="I64" s="503"/>
      <c r="J64" s="503"/>
      <c r="K64" s="503"/>
      <c r="L64" s="504"/>
      <c r="M64" s="505"/>
      <c r="N64" s="934"/>
      <c r="O64" s="934"/>
      <c r="P64" s="506"/>
      <c r="Q64" s="507"/>
    </row>
    <row r="65" spans="1:17" s="422" customFormat="1" ht="15.75" thickBot="1">
      <c r="A65" s="501"/>
      <c r="B65" s="491"/>
      <c r="C65" s="508"/>
      <c r="D65" s="484"/>
      <c r="E65" s="484"/>
      <c r="F65" s="484"/>
      <c r="G65" s="484"/>
      <c r="H65" s="484"/>
      <c r="I65" s="484"/>
      <c r="J65" s="484"/>
      <c r="K65" s="484"/>
      <c r="L65" s="484"/>
      <c r="M65" s="485"/>
      <c r="N65" s="933"/>
      <c r="O65" s="933"/>
      <c r="P65" s="506"/>
      <c r="Q65" s="507"/>
    </row>
    <row r="66" spans="1:17" s="422" customFormat="1" ht="15.75" thickTop="1">
      <c r="A66" s="501"/>
      <c r="B66" s="486">
        <f>B13</f>
        <v>111</v>
      </c>
      <c r="C66" s="502"/>
      <c r="D66" s="502"/>
      <c r="E66" s="502"/>
      <c r="F66" s="502"/>
      <c r="G66" s="502"/>
      <c r="H66" s="503"/>
      <c r="I66" s="503"/>
      <c r="J66" s="503"/>
      <c r="K66" s="503"/>
      <c r="L66" s="504"/>
      <c r="M66" s="505"/>
      <c r="N66" s="934"/>
      <c r="O66" s="934"/>
      <c r="P66" s="421"/>
      <c r="Q66" s="509"/>
    </row>
    <row r="67" spans="1:17" s="422" customFormat="1" ht="15.75" thickBot="1">
      <c r="A67" s="501"/>
      <c r="B67" s="491"/>
      <c r="C67" s="508"/>
      <c r="D67" s="484"/>
      <c r="E67" s="484"/>
      <c r="F67" s="484"/>
      <c r="G67" s="508"/>
      <c r="H67" s="510"/>
      <c r="I67" s="510"/>
      <c r="J67" s="510"/>
      <c r="K67" s="510"/>
      <c r="L67" s="510"/>
      <c r="M67" s="511"/>
      <c r="N67" s="934"/>
      <c r="O67" s="934"/>
      <c r="P67" s="506"/>
      <c r="Q67" s="507"/>
    </row>
    <row r="68" spans="1:17" s="422" customFormat="1" ht="15.75" thickTop="1">
      <c r="A68" s="501"/>
      <c r="B68" s="494">
        <f>B14</f>
        <v>111</v>
      </c>
      <c r="C68" s="471"/>
      <c r="D68" s="471"/>
      <c r="E68" s="471"/>
      <c r="F68" s="471"/>
      <c r="G68" s="471"/>
      <c r="H68" s="512"/>
      <c r="I68" s="512"/>
      <c r="J68" s="512"/>
      <c r="K68" s="512"/>
      <c r="L68" s="513"/>
      <c r="M68" s="514"/>
      <c r="N68" s="934"/>
      <c r="O68" s="934"/>
      <c r="P68" s="515"/>
      <c r="Q68" s="507"/>
    </row>
    <row r="69" spans="1:17" s="422"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1"/>
      <c r="N77" s="933"/>
      <c r="O77" s="933"/>
      <c r="P77" s="42"/>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2" customFormat="1" ht="15.75" thickTop="1">
      <c r="A84" s="501"/>
      <c r="B84" s="486">
        <f>B27</f>
        <v>111</v>
      </c>
      <c r="C84" s="502"/>
      <c r="D84" s="502"/>
      <c r="E84" s="502"/>
      <c r="F84" s="502"/>
      <c r="G84" s="502"/>
      <c r="H84" s="502"/>
      <c r="I84" s="502"/>
      <c r="J84" s="502"/>
      <c r="K84" s="502"/>
      <c r="L84" s="528"/>
      <c r="M84" s="529"/>
      <c r="N84" s="934"/>
      <c r="O84" s="934"/>
      <c r="P84" s="506"/>
      <c r="Q84" s="507"/>
    </row>
    <row r="85" spans="1:17" s="422"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1693</v>
      </c>
      <c r="B88" s="476" t="s">
        <v>1735</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2" customFormat="1">
      <c r="A91" s="541"/>
      <c r="B91" s="542"/>
      <c r="C91" s="543"/>
      <c r="D91" s="543"/>
      <c r="E91" s="543"/>
      <c r="F91" s="543"/>
      <c r="G91" s="543"/>
      <c r="H91" s="543"/>
      <c r="I91" s="543"/>
      <c r="J91" s="544"/>
      <c r="K91" s="544"/>
      <c r="L91" s="545"/>
      <c r="M91" s="546"/>
      <c r="N91" s="934"/>
      <c r="O91" s="934"/>
      <c r="P91" s="506"/>
      <c r="Q91" s="507"/>
    </row>
    <row r="92" spans="1:17" s="422"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2"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2"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2"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2"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25" sqref="C2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3" customWidth="1"/>
    <col min="12" max="12" width="12.25" style="444"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3335</v>
      </c>
      <c r="C1" s="1223" t="s">
        <v>1661</v>
      </c>
      <c r="D1" s="1224" t="s">
        <v>3395</v>
      </c>
      <c r="E1" s="3429" t="s">
        <v>3422</v>
      </c>
      <c r="F1" s="1878" t="s">
        <v>3421</v>
      </c>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IF(B37="元/平方米",ROUND(C39*D3/10000,0),ROUND(F3*C39/10000,0)),IF(B37="元/平方米",ROUND(C39*D3/10000,0),ROUND(F3*C39/10000,0))-D2),IF(E1="单套模式",IF(C2="——",IF(B37="元/平方米",ROUND(C39*D3/10000,0),ROUND(F3*C39/10000,0)),IF(B37="元/平方米",ROUND(C39*D3/10000,0),ROUND(F3*C39/10000,0))-D2)))</f>
        <v>15664</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1463</v>
      </c>
      <c r="B3" s="557">
        <f>IF(AND(C2="——",B37="元/平方米"),C39,ROUND(B2*10000/D3,0))</f>
        <v>6947</v>
      </c>
      <c r="C3" s="354" t="s">
        <v>1767</v>
      </c>
      <c r="D3" s="353">
        <f>SUMIF('数据-汇总表'!$C19:$C33,D1,'数据-汇总表'!$E19:$E33)</f>
        <v>22548.009999999973</v>
      </c>
      <c r="E3" s="354" t="s">
        <v>1831</v>
      </c>
      <c r="F3" s="353">
        <f>SUMIF('数据-取费表'!A5:A15,D1,'数据-取费表'!AH5:AH15)</f>
        <v>0</v>
      </c>
      <c r="G3" s="907"/>
      <c r="H3" s="907"/>
      <c r="I3" s="907"/>
      <c r="J3" s="907"/>
      <c r="K3" s="909"/>
      <c r="L3" s="2730"/>
      <c r="M3" s="2731">
        <f>IF(C2="——",IF(B37="元/平方米",ROUND(C39*D3/10000,0),ROUND(F3*C39/10000,0)),IF(B37="元/平方米",ROUND(C39*D3/10000,0),ROUND(F3*C39/10000,0))-D2)</f>
        <v>15664</v>
      </c>
      <c r="N3" s="2731"/>
      <c r="O3" s="2731"/>
      <c r="P3" s="1164"/>
      <c r="Q3" s="698"/>
      <c r="R3" s="698"/>
      <c r="S3" s="698"/>
      <c r="T3" s="698"/>
      <c r="U3" s="698"/>
      <c r="V3" s="698"/>
      <c r="W3" s="698"/>
      <c r="X3" s="698"/>
      <c r="Y3" s="698"/>
      <c r="Z3" s="698"/>
      <c r="AA3" s="698"/>
      <c r="AB3" s="715"/>
      <c r="AC3" s="712"/>
    </row>
    <row r="4" spans="1:29" ht="15">
      <c r="A4" s="355" t="s">
        <v>1768</v>
      </c>
      <c r="B4" s="356"/>
      <c r="C4" s="3683" t="s">
        <v>1769</v>
      </c>
      <c r="D4" s="3695"/>
      <c r="E4" s="3696" t="s">
        <v>1770</v>
      </c>
      <c r="F4" s="3697"/>
      <c r="G4" s="3683" t="s">
        <v>1771</v>
      </c>
      <c r="H4" s="3695"/>
      <c r="I4" s="3683" t="s">
        <v>1772</v>
      </c>
      <c r="J4" s="3695"/>
      <c r="K4" s="558" t="s">
        <v>1773</v>
      </c>
      <c r="L4" s="2711"/>
      <c r="M4" s="2712"/>
      <c r="N4" s="2712"/>
      <c r="O4" s="2712"/>
      <c r="P4" s="3698" t="s">
        <v>1774</v>
      </c>
      <c r="Q4" s="3699"/>
      <c r="R4" s="3704" t="s">
        <v>1770</v>
      </c>
      <c r="S4" s="3705"/>
      <c r="T4" s="3704" t="s">
        <v>1771</v>
      </c>
      <c r="U4" s="3705"/>
      <c r="V4" s="3691" t="s">
        <v>1772</v>
      </c>
      <c r="W4" s="3691"/>
      <c r="X4" s="1354"/>
      <c r="Y4" s="3704" t="s">
        <v>1774</v>
      </c>
      <c r="Z4" s="3705"/>
      <c r="AA4" s="3692" t="s">
        <v>1770</v>
      </c>
      <c r="AB4" s="3693" t="s">
        <v>1771</v>
      </c>
      <c r="AC4" s="3692" t="s">
        <v>1772</v>
      </c>
    </row>
    <row r="5" spans="1:29" ht="15">
      <c r="A5" s="358"/>
      <c r="B5" s="359"/>
      <c r="C5" s="3712" t="s">
        <v>1672</v>
      </c>
      <c r="D5" s="3713"/>
      <c r="E5" s="3719" t="s">
        <v>3464</v>
      </c>
      <c r="F5" s="3720"/>
      <c r="G5" s="3758" t="s">
        <v>3420</v>
      </c>
      <c r="H5" s="3713"/>
      <c r="I5" s="3758" t="s">
        <v>3465</v>
      </c>
      <c r="J5" s="3713"/>
      <c r="K5" s="558"/>
      <c r="L5" s="2711"/>
      <c r="M5" s="2712"/>
      <c r="N5" s="2712"/>
      <c r="O5" s="2712"/>
      <c r="P5" s="3700"/>
      <c r="Q5" s="3701"/>
      <c r="R5" s="3706"/>
      <c r="S5" s="3707"/>
      <c r="T5" s="3706"/>
      <c r="U5" s="3707"/>
      <c r="V5" s="3691"/>
      <c r="W5" s="3691"/>
      <c r="X5" s="1354"/>
      <c r="Y5" s="3706"/>
      <c r="Z5" s="3707"/>
      <c r="AA5" s="3693"/>
      <c r="AB5" s="3693"/>
      <c r="AC5" s="3693"/>
    </row>
    <row r="6" spans="1:29" ht="15.75" thickBot="1">
      <c r="A6" s="360"/>
      <c r="B6" s="361"/>
      <c r="C6" s="3710" t="s">
        <v>1676</v>
      </c>
      <c r="D6" s="3711"/>
      <c r="E6" s="3717" t="s">
        <v>1676</v>
      </c>
      <c r="F6" s="3718"/>
      <c r="G6" s="3710" t="s">
        <v>1676</v>
      </c>
      <c r="H6" s="3711"/>
      <c r="I6" s="3710" t="s">
        <v>1676</v>
      </c>
      <c r="J6" s="3711"/>
      <c r="K6" s="558" t="s">
        <v>1677</v>
      </c>
      <c r="L6" s="2711"/>
      <c r="M6" s="2712"/>
      <c r="N6" s="2712"/>
      <c r="O6" s="2712"/>
      <c r="P6" s="3702"/>
      <c r="Q6" s="3703"/>
      <c r="R6" s="3706"/>
      <c r="S6" s="3707"/>
      <c r="T6" s="3708"/>
      <c r="U6" s="3709"/>
      <c r="V6" s="3691"/>
      <c r="W6" s="3691"/>
      <c r="X6" s="1354"/>
      <c r="Y6" s="3708"/>
      <c r="Z6" s="3709"/>
      <c r="AA6" s="3694"/>
      <c r="AB6" s="3694"/>
      <c r="AC6" s="3694"/>
    </row>
    <row r="7" spans="1:29" s="108" customFormat="1" ht="15.75" thickBot="1">
      <c r="A7" s="362" t="s">
        <v>1678</v>
      </c>
      <c r="B7" s="363"/>
      <c r="C7" s="364">
        <f>'数据-取费表'!B2</f>
        <v>45009</v>
      </c>
      <c r="D7" s="365">
        <v>100</v>
      </c>
      <c r="E7" s="366">
        <v>44958</v>
      </c>
      <c r="F7" s="367">
        <f>SUMIF(48:48,YEAR(E7)&amp;"-"&amp;MONTH(E7),49:49)</f>
        <v>100</v>
      </c>
      <c r="G7" s="366">
        <v>44958</v>
      </c>
      <c r="H7" s="365">
        <f>SUMIF(48:48,YEAR(G7)&amp;"-"&amp;MONTH(G7),49:49)</f>
        <v>100</v>
      </c>
      <c r="I7" s="366">
        <v>44927</v>
      </c>
      <c r="J7" s="365">
        <f>SUMIF(48:48,YEAR(I7)&amp;"-"&amp;MONTH(I7),49:49)</f>
        <v>100</v>
      </c>
      <c r="K7" s="559"/>
      <c r="L7" s="2713"/>
      <c r="M7" s="2714"/>
      <c r="N7" s="2714"/>
      <c r="O7" s="2714"/>
      <c r="P7" s="3714" t="s">
        <v>1679</v>
      </c>
      <c r="Q7" s="3716"/>
      <c r="R7" s="700" t="s">
        <v>14</v>
      </c>
      <c r="S7" s="701">
        <f t="shared" ref="S7:S14" si="0">F7</f>
        <v>100</v>
      </c>
      <c r="T7" s="700" t="s">
        <v>14</v>
      </c>
      <c r="U7" s="701">
        <f t="shared" ref="U7:U14" si="1">H7</f>
        <v>100</v>
      </c>
      <c r="V7" s="700" t="s">
        <v>14</v>
      </c>
      <c r="W7" s="701">
        <f t="shared" ref="W7:W14" si="2">J7</f>
        <v>100</v>
      </c>
      <c r="X7" s="702"/>
      <c r="Y7" s="3714" t="s">
        <v>1679</v>
      </c>
      <c r="Z7" s="3715"/>
      <c r="AA7" s="703">
        <f>D7/F7</f>
        <v>1</v>
      </c>
      <c r="AB7" s="703">
        <f>D7/H7</f>
        <v>1</v>
      </c>
      <c r="AC7" s="703">
        <f>D7/J7</f>
        <v>1</v>
      </c>
    </row>
    <row r="8" spans="1:29" s="108" customFormat="1" ht="15.75" thickBot="1">
      <c r="A8" s="362" t="s">
        <v>1680</v>
      </c>
      <c r="B8" s="363"/>
      <c r="C8" s="368" t="s">
        <v>3445</v>
      </c>
      <c r="D8" s="365">
        <v>100</v>
      </c>
      <c r="E8" s="368" t="s">
        <v>3445</v>
      </c>
      <c r="F8" s="367">
        <f>SUMIF(51:51,E8,52:52)-SUMIF(51:51,C8,52:52)+100</f>
        <v>100</v>
      </c>
      <c r="G8" s="368" t="s">
        <v>3445</v>
      </c>
      <c r="H8" s="365">
        <f>SUMIF(51:51,G8,52:52)-SUMIF(51:51,C8,52:52)+100</f>
        <v>100</v>
      </c>
      <c r="I8" s="368" t="s">
        <v>3445</v>
      </c>
      <c r="J8" s="365">
        <f>SUMIF(51:51,I8,52:52)-SUMIF(51:51,C8,52:52)+100</f>
        <v>100</v>
      </c>
      <c r="K8" s="559"/>
      <c r="L8" s="2713"/>
      <c r="M8" s="2714"/>
      <c r="N8" s="2714"/>
      <c r="O8" s="2714"/>
      <c r="P8" s="3714" t="s">
        <v>1682</v>
      </c>
      <c r="Q8" s="3715"/>
      <c r="R8" s="700" t="s">
        <v>14</v>
      </c>
      <c r="S8" s="701">
        <f t="shared" si="0"/>
        <v>100</v>
      </c>
      <c r="T8" s="700" t="s">
        <v>14</v>
      </c>
      <c r="U8" s="701">
        <f t="shared" si="1"/>
        <v>100</v>
      </c>
      <c r="V8" s="700" t="s">
        <v>14</v>
      </c>
      <c r="W8" s="701">
        <f t="shared" si="2"/>
        <v>100</v>
      </c>
      <c r="X8" s="702"/>
      <c r="Y8" s="3714" t="s">
        <v>1682</v>
      </c>
      <c r="Z8" s="3715"/>
      <c r="AA8" s="703">
        <f t="shared" ref="AA8:AA36" si="3">D8/F8</f>
        <v>1</v>
      </c>
      <c r="AB8" s="703">
        <f t="shared" ref="AB8:AB36" si="4">D8/H8</f>
        <v>1</v>
      </c>
      <c r="AC8" s="703">
        <f t="shared" ref="AC8:AC36" si="5">D8/J8</f>
        <v>1</v>
      </c>
    </row>
    <row r="9" spans="1:29" s="108" customFormat="1">
      <c r="A9" s="60" t="s">
        <v>1683</v>
      </c>
      <c r="B9" s="587" t="s">
        <v>1684</v>
      </c>
      <c r="C9" s="3459" t="s">
        <v>3463</v>
      </c>
      <c r="D9" s="126">
        <v>100</v>
      </c>
      <c r="E9" s="373" t="s">
        <v>3335</v>
      </c>
      <c r="F9" s="126">
        <f>SUMIF(53:53,E9,54:54)-SUMIF(53:53,C9,54:54)+100</f>
        <v>100</v>
      </c>
      <c r="G9" s="373" t="s">
        <v>3335</v>
      </c>
      <c r="H9" s="126">
        <f>SUMIF(53:53,G9,54:54)-SUMIF(53:53,C9,54:54)+100</f>
        <v>100</v>
      </c>
      <c r="I9" s="373" t="s">
        <v>3335</v>
      </c>
      <c r="J9" s="126">
        <f>SUMIF(53:53,I9,54:54)-SUMIF(53:53,C9,54:54)+100</f>
        <v>100</v>
      </c>
      <c r="K9" s="559"/>
      <c r="L9" s="2713"/>
      <c r="M9" s="2714"/>
      <c r="N9" s="2714"/>
      <c r="O9" s="2714"/>
      <c r="P9" s="3686" t="s">
        <v>1685</v>
      </c>
      <c r="Q9" s="1342" t="str">
        <f t="shared" ref="Q9:Q14" si="6">B9</f>
        <v>用途</v>
      </c>
      <c r="R9" s="700" t="s">
        <v>14</v>
      </c>
      <c r="S9" s="701">
        <f t="shared" si="0"/>
        <v>100</v>
      </c>
      <c r="T9" s="700" t="s">
        <v>14</v>
      </c>
      <c r="U9" s="701">
        <f t="shared" si="1"/>
        <v>100</v>
      </c>
      <c r="V9" s="700" t="s">
        <v>14</v>
      </c>
      <c r="W9" s="701">
        <f t="shared" si="2"/>
        <v>100</v>
      </c>
      <c r="X9" s="702"/>
      <c r="Y9" s="3586" t="s">
        <v>1686</v>
      </c>
      <c r="Z9" s="52" t="str">
        <f t="shared" ref="Z9:Z14" si="7">Q9</f>
        <v>用途</v>
      </c>
      <c r="AA9" s="703">
        <f t="shared" si="3"/>
        <v>1</v>
      </c>
      <c r="AB9" s="703">
        <f t="shared" si="4"/>
        <v>1</v>
      </c>
      <c r="AC9" s="703">
        <f t="shared" si="5"/>
        <v>1</v>
      </c>
    </row>
    <row r="10" spans="1:29" s="378" customFormat="1" ht="27">
      <c r="A10" s="588"/>
      <c r="B10" s="589" t="s">
        <v>1687</v>
      </c>
      <c r="C10" s="3430"/>
      <c r="D10" s="127">
        <v>100</v>
      </c>
      <c r="E10" s="3430"/>
      <c r="F10" s="127">
        <f>SUMIF(55:55,E10,56:56)-SUMIF(55:55,C10,56:56)+100</f>
        <v>100</v>
      </c>
      <c r="G10" s="3431"/>
      <c r="H10" s="127">
        <f>SUMIF(55:55,G10,56:56)-SUMIF(55:55,C10,56:56)+100</f>
        <v>100</v>
      </c>
      <c r="I10" s="3430"/>
      <c r="J10" s="127">
        <f>SUMIF(55:55,I10,56:56)-SUMIF(55:55,C10,56:56)+100</f>
        <v>100</v>
      </c>
      <c r="K10" s="559"/>
      <c r="L10" s="2715"/>
      <c r="M10" s="2716"/>
      <c r="N10" s="2716"/>
      <c r="O10" s="2716"/>
      <c r="P10" s="3686"/>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1"/>
      <c r="L11" s="2717"/>
      <c r="M11" s="2712"/>
      <c r="N11" s="2712"/>
      <c r="O11" s="2712"/>
      <c r="P11" s="3686"/>
      <c r="Q11" s="1342">
        <f t="shared" si="6"/>
        <v>111</v>
      </c>
      <c r="R11" s="700" t="s">
        <v>14</v>
      </c>
      <c r="S11" s="701">
        <f t="shared" si="0"/>
        <v>100</v>
      </c>
      <c r="T11" s="700" t="s">
        <v>14</v>
      </c>
      <c r="U11" s="701">
        <f t="shared" si="1"/>
        <v>100</v>
      </c>
      <c r="V11" s="700" t="s">
        <v>14</v>
      </c>
      <c r="W11" s="701">
        <f t="shared" si="2"/>
        <v>100</v>
      </c>
      <c r="X11" s="702"/>
      <c r="Y11" s="358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1"/>
      <c r="L12" s="2713"/>
      <c r="M12" s="2714"/>
      <c r="N12" s="2714"/>
      <c r="O12" s="2714"/>
      <c r="P12" s="3686"/>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1"/>
      <c r="L13" s="2718"/>
      <c r="M13" s="2712"/>
      <c r="N13" s="2712"/>
      <c r="O13" s="2712"/>
      <c r="P13" s="3686"/>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85.5">
      <c r="A14" s="355" t="s">
        <v>1689</v>
      </c>
      <c r="B14" s="576"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95</v>
      </c>
      <c r="G14" s="395"/>
      <c r="H14" s="392">
        <f>SUMIF(63:63,G15,64:64)-SUMIF(63:63,C15,64:64)+100</f>
        <v>100</v>
      </c>
      <c r="I14" s="393"/>
      <c r="J14" s="392">
        <f>SUMIF(63:63,I15,64:64)-SUMIF(63:63,C15,64:64)+100</f>
        <v>95</v>
      </c>
      <c r="K14" s="562">
        <f>'比较法-住宅'!K15</f>
        <v>5</v>
      </c>
      <c r="L14" s="2718"/>
      <c r="M14" s="2712"/>
      <c r="N14" s="2712"/>
      <c r="O14" s="2712"/>
      <c r="P14" s="3687" t="s">
        <v>1690</v>
      </c>
      <c r="Q14" s="1351" t="str">
        <f t="shared" si="6"/>
        <v>交通便捷度</v>
      </c>
      <c r="R14" s="704" t="s">
        <v>14</v>
      </c>
      <c r="S14" s="705">
        <f t="shared" si="0"/>
        <v>95</v>
      </c>
      <c r="T14" s="704" t="s">
        <v>14</v>
      </c>
      <c r="U14" s="705">
        <f t="shared" si="1"/>
        <v>100</v>
      </c>
      <c r="V14" s="704" t="s">
        <v>14</v>
      </c>
      <c r="W14" s="705">
        <f t="shared" si="2"/>
        <v>95</v>
      </c>
      <c r="X14" s="1354"/>
      <c r="Y14" s="3687" t="s">
        <v>1690</v>
      </c>
      <c r="Z14" s="1355" t="str">
        <f t="shared" si="7"/>
        <v>交通便捷度</v>
      </c>
      <c r="AA14" s="1352">
        <f t="shared" si="3"/>
        <v>1.0526315789473684</v>
      </c>
      <c r="AB14" s="1352">
        <f t="shared" si="4"/>
        <v>1</v>
      </c>
      <c r="AC14" s="1352">
        <f t="shared" si="5"/>
        <v>1.0526315789473684</v>
      </c>
    </row>
    <row r="15" spans="1:29" ht="15">
      <c r="A15" s="358"/>
      <c r="B15" s="594"/>
      <c r="C15" s="398" t="s">
        <v>3447</v>
      </c>
      <c r="D15" s="399"/>
      <c r="E15" s="1899" t="s">
        <v>3449</v>
      </c>
      <c r="F15" s="400"/>
      <c r="G15" s="398" t="s">
        <v>3447</v>
      </c>
      <c r="H15" s="401"/>
      <c r="I15" s="398" t="s">
        <v>3449</v>
      </c>
      <c r="J15" s="399"/>
      <c r="K15" s="563"/>
      <c r="L15" s="2718"/>
      <c r="M15" s="2712"/>
      <c r="N15" s="2712"/>
      <c r="O15" s="2712"/>
      <c r="P15" s="3688"/>
      <c r="Q15" s="1351"/>
      <c r="R15" s="704"/>
      <c r="S15" s="705"/>
      <c r="T15" s="704"/>
      <c r="U15" s="705"/>
      <c r="V15" s="704"/>
      <c r="W15" s="705"/>
      <c r="X15" s="1354"/>
      <c r="Y15" s="3688"/>
      <c r="Z15" s="1355"/>
      <c r="AA15" s="1352">
        <v>1</v>
      </c>
      <c r="AB15" s="1352">
        <v>1</v>
      </c>
      <c r="AC15" s="1352">
        <v>1</v>
      </c>
    </row>
    <row r="16" spans="1:29" ht="42.75">
      <c r="A16" s="358"/>
      <c r="B16" s="578" t="s">
        <v>1811</v>
      </c>
      <c r="C16" s="1898" t="str">
        <f>IF(B1="工业",估价对象房地状况!G5,估价对象房地状况!C7)</f>
        <v>估价对象所在区域公共配套设施齐备情况</v>
      </c>
      <c r="D16" s="406">
        <v>100</v>
      </c>
      <c r="E16" s="408"/>
      <c r="F16" s="409">
        <f>SUMIF(65:65,E17,66:66)-SUMIF(65:65,C17,66:66)+100</f>
        <v>105</v>
      </c>
      <c r="G16" s="410"/>
      <c r="H16" s="406">
        <f>SUMIF(65:65,G17,66:66)-SUMIF(65:65,C17,66:66)+100</f>
        <v>100</v>
      </c>
      <c r="I16" s="408"/>
      <c r="J16" s="406">
        <f>SUMIF(65:65,I17,66:66)-SUMIF(65:65,C17,66:66)+100</f>
        <v>100</v>
      </c>
      <c r="K16" s="562">
        <f>'比较法-住宅'!K19</f>
        <v>5</v>
      </c>
      <c r="L16" s="2718"/>
      <c r="M16" s="2712"/>
      <c r="N16" s="2712"/>
      <c r="O16" s="2712"/>
      <c r="P16" s="3688"/>
      <c r="Q16" s="1351" t="str">
        <f>B16</f>
        <v>公共配套设施</v>
      </c>
      <c r="R16" s="704" t="s">
        <v>14</v>
      </c>
      <c r="S16" s="705">
        <f>F16</f>
        <v>105</v>
      </c>
      <c r="T16" s="704" t="s">
        <v>14</v>
      </c>
      <c r="U16" s="705">
        <f>H16</f>
        <v>100</v>
      </c>
      <c r="V16" s="704" t="s">
        <v>14</v>
      </c>
      <c r="W16" s="705">
        <f>J16</f>
        <v>100</v>
      </c>
      <c r="X16" s="1354"/>
      <c r="Y16" s="3688"/>
      <c r="Z16" s="1355" t="str">
        <f>Q16</f>
        <v>公共配套设施</v>
      </c>
      <c r="AA16" s="1352">
        <f t="shared" si="3"/>
        <v>0.95238095238095233</v>
      </c>
      <c r="AB16" s="1352">
        <f t="shared" si="4"/>
        <v>1</v>
      </c>
      <c r="AC16" s="1352">
        <f t="shared" si="5"/>
        <v>1</v>
      </c>
    </row>
    <row r="17" spans="1:29" ht="15">
      <c r="A17" s="358"/>
      <c r="B17" s="579"/>
      <c r="C17" s="1899" t="s">
        <v>3449</v>
      </c>
      <c r="D17" s="399"/>
      <c r="E17" s="1899" t="s">
        <v>3447</v>
      </c>
      <c r="F17" s="400"/>
      <c r="G17" s="1899" t="s">
        <v>3449</v>
      </c>
      <c r="H17" s="399"/>
      <c r="I17" s="398" t="s">
        <v>3449</v>
      </c>
      <c r="J17" s="399"/>
      <c r="K17" s="563"/>
      <c r="L17" s="2718"/>
      <c r="M17" s="2712"/>
      <c r="N17" s="2712"/>
      <c r="O17" s="2712"/>
      <c r="P17" s="3688"/>
      <c r="Q17" s="1351"/>
      <c r="R17" s="704"/>
      <c r="S17" s="705"/>
      <c r="T17" s="704"/>
      <c r="U17" s="705"/>
      <c r="V17" s="704"/>
      <c r="W17" s="705"/>
      <c r="X17" s="1354"/>
      <c r="Y17" s="3688"/>
      <c r="Z17" s="1355"/>
      <c r="AA17" s="1352">
        <v>1</v>
      </c>
      <c r="AB17" s="1352">
        <v>1</v>
      </c>
      <c r="AC17" s="1352">
        <v>1</v>
      </c>
    </row>
    <row r="18" spans="1:29" ht="28.5">
      <c r="A18" s="358"/>
      <c r="B18" s="580"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2">
        <f>'比较法-住宅'!K21</f>
        <v>1</v>
      </c>
      <c r="L18" s="2718"/>
      <c r="M18" s="2712"/>
      <c r="N18" s="2712"/>
      <c r="O18" s="2712"/>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58"/>
      <c r="B19" s="580"/>
      <c r="C19" s="1899" t="s">
        <v>3448</v>
      </c>
      <c r="D19" s="401"/>
      <c r="E19" s="1899" t="s">
        <v>3448</v>
      </c>
      <c r="F19" s="404"/>
      <c r="G19" s="1899" t="s">
        <v>3448</v>
      </c>
      <c r="H19" s="399"/>
      <c r="I19" s="1899" t="s">
        <v>3448</v>
      </c>
      <c r="J19" s="399"/>
      <c r="K19" s="1129"/>
      <c r="L19" s="2718"/>
      <c r="M19" s="2712"/>
      <c r="N19" s="2712"/>
      <c r="O19" s="2712"/>
      <c r="P19" s="3688"/>
      <c r="Q19" s="1351"/>
      <c r="R19" s="704"/>
      <c r="S19" s="705"/>
      <c r="T19" s="704"/>
      <c r="U19" s="705"/>
      <c r="V19" s="704"/>
      <c r="W19" s="705"/>
      <c r="X19" s="1354"/>
      <c r="Y19" s="3688"/>
      <c r="Z19" s="1355"/>
      <c r="AA19" s="1352">
        <v>1</v>
      </c>
      <c r="AB19" s="1352">
        <v>1</v>
      </c>
      <c r="AC19" s="1352">
        <v>1</v>
      </c>
    </row>
    <row r="20" spans="1:29" ht="57">
      <c r="A20" s="358"/>
      <c r="B20" s="578" t="s">
        <v>1833</v>
      </c>
      <c r="C20" s="1898" t="str">
        <f>IF(B1="工业",估价对象房地状况!G7,估价对象房地状况!C9)</f>
        <v>区域自然环境：；人文环境；综合评价环境状况一般</v>
      </c>
      <c r="D20" s="406">
        <v>100</v>
      </c>
      <c r="E20" s="408"/>
      <c r="F20" s="409">
        <f>SUMIF(69:69,E21,70:70)-SUMIF(69:69,C21,70:70)+100</f>
        <v>103</v>
      </c>
      <c r="G20" s="410"/>
      <c r="H20" s="401">
        <f>SUMIF(69:69,G21,70:70)-SUMIF(69:69,C21,70:70)+100</f>
        <v>100</v>
      </c>
      <c r="I20" s="403"/>
      <c r="J20" s="401">
        <f>SUMIF(69:69,I21,70:70)-SUMIF(69:69,C21,70:70)+100</f>
        <v>100</v>
      </c>
      <c r="K20" s="562">
        <f>'比较法-住宅'!K23</f>
        <v>3</v>
      </c>
      <c r="L20" s="2718"/>
      <c r="M20" s="2712"/>
      <c r="N20" s="2712"/>
      <c r="O20" s="2712"/>
      <c r="P20" s="3688"/>
      <c r="Q20" s="1351" t="str">
        <f>B20</f>
        <v>自然及人文环境</v>
      </c>
      <c r="R20" s="704" t="s">
        <v>14</v>
      </c>
      <c r="S20" s="705">
        <f>F20</f>
        <v>103</v>
      </c>
      <c r="T20" s="704" t="s">
        <v>14</v>
      </c>
      <c r="U20" s="705">
        <f>H20</f>
        <v>100</v>
      </c>
      <c r="V20" s="704" t="s">
        <v>14</v>
      </c>
      <c r="W20" s="705">
        <f>J20</f>
        <v>100</v>
      </c>
      <c r="X20" s="1354"/>
      <c r="Y20" s="3688"/>
      <c r="Z20" s="1355" t="str">
        <f>Q20</f>
        <v>自然及人文环境</v>
      </c>
      <c r="AA20" s="1352">
        <f t="shared" si="3"/>
        <v>0.970873786407767</v>
      </c>
      <c r="AB20" s="1352">
        <f t="shared" si="4"/>
        <v>1</v>
      </c>
      <c r="AC20" s="1352">
        <f t="shared" si="5"/>
        <v>1</v>
      </c>
    </row>
    <row r="21" spans="1:29" ht="15">
      <c r="A21" s="358"/>
      <c r="B21" s="579"/>
      <c r="C21" s="398" t="s">
        <v>3449</v>
      </c>
      <c r="D21" s="399"/>
      <c r="E21" s="398" t="s">
        <v>3447</v>
      </c>
      <c r="F21" s="400"/>
      <c r="G21" s="398" t="s">
        <v>3449</v>
      </c>
      <c r="H21" s="399"/>
      <c r="I21" s="398" t="s">
        <v>3449</v>
      </c>
      <c r="J21" s="399"/>
      <c r="K21" s="563"/>
      <c r="L21" s="2718"/>
      <c r="M21" s="2712"/>
      <c r="N21" s="2712"/>
      <c r="O21" s="2712"/>
      <c r="P21" s="3688"/>
      <c r="Q21" s="1351"/>
      <c r="R21" s="704"/>
      <c r="S21" s="705"/>
      <c r="T21" s="704"/>
      <c r="U21" s="705"/>
      <c r="V21" s="704"/>
      <c r="W21" s="705"/>
      <c r="X21" s="1354"/>
      <c r="Y21" s="3688"/>
      <c r="Z21" s="1355"/>
      <c r="AA21" s="1352">
        <v>1</v>
      </c>
      <c r="AB21" s="1352">
        <v>1</v>
      </c>
      <c r="AC21" s="1352">
        <v>1</v>
      </c>
    </row>
    <row r="22" spans="1:29" ht="15">
      <c r="A22" s="358"/>
      <c r="B22" s="578" t="s">
        <v>1834</v>
      </c>
      <c r="C22" s="564"/>
      <c r="D22" s="401">
        <v>100</v>
      </c>
      <c r="E22" s="564"/>
      <c r="F22" s="412">
        <f>SUMIF(71:71,E22,72:72)-SUMIF(71:71,C22,72:72)+100</f>
        <v>100</v>
      </c>
      <c r="G22" s="564"/>
      <c r="H22" s="386">
        <f>SUMIF(71:71,G22,72:72)-SUMIF(71:71,C22,72:72)+100</f>
        <v>100</v>
      </c>
      <c r="I22" s="564"/>
      <c r="J22" s="386">
        <f>SUMIF(71:71,I22,72:72)-SUMIF(71:71,C22,72:72)+100</f>
        <v>100</v>
      </c>
      <c r="K22" s="560"/>
      <c r="L22" s="2718"/>
      <c r="M22" s="2712"/>
      <c r="N22" s="2712"/>
      <c r="O22" s="2712"/>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1"/>
      <c r="L23" s="2718"/>
      <c r="M23" s="2712"/>
      <c r="N23" s="2712"/>
      <c r="O23" s="2712"/>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1"/>
      <c r="L24" s="2718"/>
      <c r="M24" s="2712"/>
      <c r="N24" s="2712"/>
      <c r="O24" s="2712"/>
      <c r="P24" s="3688"/>
      <c r="Q24" s="1351">
        <f t="shared" ref="Q24:Q36"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88"/>
      <c r="Q25" s="1342">
        <f t="shared" si="11"/>
        <v>111</v>
      </c>
      <c r="R25" s="700" t="s">
        <v>14</v>
      </c>
      <c r="S25" s="701">
        <f>F25</f>
        <v>100</v>
      </c>
      <c r="T25" s="700" t="s">
        <v>14</v>
      </c>
      <c r="U25" s="701">
        <f>H25</f>
        <v>100</v>
      </c>
      <c r="V25" s="700" t="s">
        <v>14</v>
      </c>
      <c r="W25" s="701">
        <f>J25</f>
        <v>100</v>
      </c>
      <c r="X25" s="702"/>
      <c r="Y25" s="3688"/>
      <c r="Z25" s="52">
        <f>Q25</f>
        <v>111</v>
      </c>
      <c r="AA25" s="1352">
        <f>D25/F25</f>
        <v>1</v>
      </c>
      <c r="AB25" s="1352">
        <f>D25/H25</f>
        <v>1</v>
      </c>
      <c r="AC25" s="1352">
        <f>D25/J25</f>
        <v>1</v>
      </c>
    </row>
    <row r="26" spans="1:29" ht="28.5">
      <c r="A26" s="599" t="s">
        <v>1693</v>
      </c>
      <c r="B26" s="62" t="s">
        <v>1835</v>
      </c>
      <c r="C26" s="1970" t="str">
        <f>B1</f>
        <v>车库</v>
      </c>
      <c r="D26" s="399">
        <v>100</v>
      </c>
      <c r="E26" s="398" t="s">
        <v>3335</v>
      </c>
      <c r="F26" s="400">
        <f>SUMIF(79:79,E26,80:80)-SUMIF(79:79,C26,80:80)+100</f>
        <v>100</v>
      </c>
      <c r="G26" s="398" t="s">
        <v>3335</v>
      </c>
      <c r="H26" s="399">
        <f>SUMIF(79:79,G26,80:80)-SUMIF(79:79,C26,80:80)+100</f>
        <v>100</v>
      </c>
      <c r="I26" s="398" t="s">
        <v>3335</v>
      </c>
      <c r="J26" s="399">
        <f>SUMIF(79:79,I26,80:80)-SUMIF(79:79,C26,80:80)+100</f>
        <v>100</v>
      </c>
      <c r="K26" s="560">
        <v>2</v>
      </c>
      <c r="L26" s="2718"/>
      <c r="M26" s="2712"/>
      <c r="N26" s="2712"/>
      <c r="O26" s="2712"/>
      <c r="P26" s="3689" t="s">
        <v>1695</v>
      </c>
      <c r="Q26" s="1351" t="str">
        <f t="shared" si="11"/>
        <v>配套类型</v>
      </c>
      <c r="R26" s="704" t="s">
        <v>14</v>
      </c>
      <c r="S26" s="705">
        <f t="shared" ref="S26:S36" si="12">F26</f>
        <v>100</v>
      </c>
      <c r="T26" s="704" t="s">
        <v>14</v>
      </c>
      <c r="U26" s="705">
        <f t="shared" ref="U26:U36" si="13">H26</f>
        <v>100</v>
      </c>
      <c r="V26" s="704" t="s">
        <v>14</v>
      </c>
      <c r="W26" s="705">
        <f t="shared" ref="W26:W36" si="14">J26</f>
        <v>100</v>
      </c>
      <c r="X26" s="1354"/>
      <c r="Y26" s="3690" t="s">
        <v>1695</v>
      </c>
      <c r="Z26" s="1355" t="str">
        <f t="shared" ref="Z26:Z36" si="15">Q26</f>
        <v>配套类型</v>
      </c>
      <c r="AA26" s="1352">
        <f t="shared" si="3"/>
        <v>1</v>
      </c>
      <c r="AB26" s="1352">
        <f t="shared" si="4"/>
        <v>1</v>
      </c>
      <c r="AC26" s="1352">
        <f t="shared" si="5"/>
        <v>1</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1"/>
      <c r="L27" s="2717"/>
      <c r="M27" s="2719"/>
      <c r="N27" s="2719"/>
      <c r="O27" s="2719"/>
      <c r="P27" s="3690"/>
      <c r="Q27" s="706" t="str">
        <f t="shared" si="11"/>
        <v>项目停车位配比</v>
      </c>
      <c r="R27" s="707" t="s">
        <v>14</v>
      </c>
      <c r="S27" s="708">
        <f t="shared" si="12"/>
        <v>100</v>
      </c>
      <c r="T27" s="707" t="s">
        <v>14</v>
      </c>
      <c r="U27" s="708">
        <f t="shared" si="13"/>
        <v>100</v>
      </c>
      <c r="V27" s="707" t="s">
        <v>14</v>
      </c>
      <c r="W27" s="708">
        <f t="shared" si="14"/>
        <v>100</v>
      </c>
      <c r="X27" s="709"/>
      <c r="Y27" s="3690"/>
      <c r="Z27" s="710" t="str">
        <f t="shared" si="15"/>
        <v>项目停车位配比</v>
      </c>
      <c r="AA27" s="1352">
        <f t="shared" si="3"/>
        <v>1</v>
      </c>
      <c r="AB27" s="1352">
        <f t="shared" si="4"/>
        <v>1</v>
      </c>
      <c r="AC27" s="1352">
        <f t="shared" si="5"/>
        <v>1</v>
      </c>
    </row>
    <row r="28" spans="1:29" ht="15">
      <c r="A28" s="603"/>
      <c r="B28" s="601" t="s">
        <v>1837</v>
      </c>
      <c r="C28" s="411" t="s">
        <v>3451</v>
      </c>
      <c r="D28" s="386">
        <v>100</v>
      </c>
      <c r="E28" s="411" t="s">
        <v>3451</v>
      </c>
      <c r="F28" s="412">
        <f>SUMIF(83:83,E28,84:84)-SUMIF(83:83,C28,84:84)+100</f>
        <v>100</v>
      </c>
      <c r="G28" s="411" t="s">
        <v>3451</v>
      </c>
      <c r="H28" s="386">
        <f>SUMIF(83:83,G28,84:84)-SUMIF(83:83,C28,84:84)+100</f>
        <v>100</v>
      </c>
      <c r="I28" s="411" t="s">
        <v>3451</v>
      </c>
      <c r="J28" s="386">
        <f>SUMIF(83:83,I28,84:84)-SUMIF(83:83,C28,84:84)+100</f>
        <v>100</v>
      </c>
      <c r="K28" s="560">
        <v>1</v>
      </c>
      <c r="L28" s="2718"/>
      <c r="M28" s="2712"/>
      <c r="N28" s="2712"/>
      <c r="O28" s="2712"/>
      <c r="P28" s="3690"/>
      <c r="Q28" s="1351" t="str">
        <f t="shared" si="11"/>
        <v>公共部分装修</v>
      </c>
      <c r="R28" s="704" t="s">
        <v>14</v>
      </c>
      <c r="S28" s="705">
        <f t="shared" si="12"/>
        <v>100</v>
      </c>
      <c r="T28" s="704" t="s">
        <v>14</v>
      </c>
      <c r="U28" s="705">
        <f t="shared" si="13"/>
        <v>100</v>
      </c>
      <c r="V28" s="704" t="s">
        <v>14</v>
      </c>
      <c r="W28" s="705">
        <f t="shared" si="14"/>
        <v>100</v>
      </c>
      <c r="X28" s="1354"/>
      <c r="Y28" s="3690"/>
      <c r="Z28" s="1355" t="str">
        <f t="shared" si="15"/>
        <v>公共部分装修</v>
      </c>
      <c r="AA28" s="1352">
        <f t="shared" si="3"/>
        <v>1</v>
      </c>
      <c r="AB28" s="1352">
        <f t="shared" si="4"/>
        <v>1</v>
      </c>
      <c r="AC28" s="1352">
        <f t="shared" si="5"/>
        <v>1</v>
      </c>
    </row>
    <row r="29" spans="1:29" ht="15">
      <c r="A29" s="603"/>
      <c r="B29" s="601"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0">
        <v>1</v>
      </c>
      <c r="L29" s="2718"/>
      <c r="M29" s="2712"/>
      <c r="N29" s="2712"/>
      <c r="O29" s="2712"/>
      <c r="P29" s="3690"/>
      <c r="Q29" s="1351" t="str">
        <f t="shared" si="11"/>
        <v>成新率</v>
      </c>
      <c r="R29" s="704" t="s">
        <v>14</v>
      </c>
      <c r="S29" s="705">
        <f t="shared" si="12"/>
        <v>100</v>
      </c>
      <c r="T29" s="704" t="s">
        <v>14</v>
      </c>
      <c r="U29" s="705">
        <f t="shared" si="13"/>
        <v>100</v>
      </c>
      <c r="V29" s="704" t="s">
        <v>14</v>
      </c>
      <c r="W29" s="705">
        <f t="shared" si="14"/>
        <v>100</v>
      </c>
      <c r="X29" s="1354"/>
      <c r="Y29" s="3690"/>
      <c r="Z29" s="1355" t="str">
        <f t="shared" si="15"/>
        <v>成新率</v>
      </c>
      <c r="AA29" s="1352">
        <f t="shared" si="3"/>
        <v>1</v>
      </c>
      <c r="AB29" s="1352">
        <f t="shared" si="4"/>
        <v>1</v>
      </c>
      <c r="AC29" s="1352">
        <f t="shared" si="5"/>
        <v>1</v>
      </c>
    </row>
    <row r="30" spans="1:29" ht="15">
      <c r="A30" s="603"/>
      <c r="B30" s="601" t="s">
        <v>1839</v>
      </c>
      <c r="C30" s="604" t="s">
        <v>3452</v>
      </c>
      <c r="D30" s="386">
        <v>100</v>
      </c>
      <c r="E30" s="604" t="s">
        <v>3452</v>
      </c>
      <c r="F30" s="412">
        <f>SUMIF(88:88,E30,89:89)-SUMIF(88:88,C30,89:89)+100</f>
        <v>100</v>
      </c>
      <c r="G30" s="604" t="s">
        <v>3452</v>
      </c>
      <c r="H30" s="386">
        <f>SUMIF(88:88,E30,89:89)-SUMIF(88:88,C30,89:89)+100</f>
        <v>100</v>
      </c>
      <c r="I30" s="604" t="s">
        <v>3452</v>
      </c>
      <c r="J30" s="386">
        <f>SUMIF(88:88,E30,89:89)-SUMIF(88:88,C30,89:89)+100</f>
        <v>100</v>
      </c>
      <c r="K30" s="560">
        <v>2</v>
      </c>
      <c r="L30" s="2718"/>
      <c r="M30" s="2712"/>
      <c r="N30" s="2712"/>
      <c r="O30" s="2712"/>
      <c r="P30" s="3690"/>
      <c r="Q30" s="1351" t="str">
        <f t="shared" si="11"/>
        <v>物业等级</v>
      </c>
      <c r="R30" s="704" t="s">
        <v>14</v>
      </c>
      <c r="S30" s="705">
        <f t="shared" si="12"/>
        <v>100</v>
      </c>
      <c r="T30" s="704" t="s">
        <v>14</v>
      </c>
      <c r="U30" s="705">
        <f t="shared" si="13"/>
        <v>100</v>
      </c>
      <c r="V30" s="704" t="s">
        <v>14</v>
      </c>
      <c r="W30" s="705">
        <f t="shared" si="14"/>
        <v>100</v>
      </c>
      <c r="X30" s="1354"/>
      <c r="Y30" s="3690"/>
      <c r="Z30" s="1355" t="str">
        <f t="shared" si="15"/>
        <v>物业等级</v>
      </c>
      <c r="AA30" s="1352">
        <f t="shared" si="3"/>
        <v>1</v>
      </c>
      <c r="AB30" s="1352">
        <f t="shared" si="4"/>
        <v>1</v>
      </c>
      <c r="AC30" s="1352">
        <f t="shared" si="5"/>
        <v>1</v>
      </c>
    </row>
    <row r="31" spans="1:29" s="108" customFormat="1" ht="15">
      <c r="A31" s="605"/>
      <c r="B31" s="601" t="s">
        <v>1840</v>
      </c>
      <c r="C31" s="3471">
        <f>'数据-汇总表'!G21/783</f>
        <v>28.79694763729243</v>
      </c>
      <c r="D31" s="127">
        <v>100</v>
      </c>
      <c r="E31" s="420">
        <v>28.57</v>
      </c>
      <c r="F31" s="412">
        <f>LOOKUP(E31,91:91,92:92)-LOOKUP(C31,91:91,92:92)+100</f>
        <v>100</v>
      </c>
      <c r="G31" s="420">
        <v>28.57</v>
      </c>
      <c r="H31" s="386">
        <f>LOOKUP(G31,91:91,92:92)-LOOKUP(C31,91:91,92:92)+100</f>
        <v>100</v>
      </c>
      <c r="I31" s="420">
        <v>30</v>
      </c>
      <c r="J31" s="386">
        <f>LOOKUP(I31,91:91,92:92)-LOOKUP(C31,91:91,92:92)+100</f>
        <v>101</v>
      </c>
      <c r="K31" s="560"/>
      <c r="L31" s="2713"/>
      <c r="M31" s="2714"/>
      <c r="N31" s="2714"/>
      <c r="O31" s="2714"/>
      <c r="P31" s="3690"/>
      <c r="Q31" s="1342" t="str">
        <f t="shared" si="11"/>
        <v>停车位面积</v>
      </c>
      <c r="R31" s="700" t="s">
        <v>14</v>
      </c>
      <c r="S31" s="701">
        <f t="shared" si="12"/>
        <v>100</v>
      </c>
      <c r="T31" s="700" t="s">
        <v>14</v>
      </c>
      <c r="U31" s="701">
        <f t="shared" si="13"/>
        <v>100</v>
      </c>
      <c r="V31" s="700" t="s">
        <v>14</v>
      </c>
      <c r="W31" s="701">
        <f t="shared" si="14"/>
        <v>101</v>
      </c>
      <c r="X31" s="702"/>
      <c r="Y31" s="3690"/>
      <c r="Z31" s="52" t="str">
        <f t="shared" si="15"/>
        <v>停车位面积</v>
      </c>
      <c r="AA31" s="703">
        <f t="shared" si="3"/>
        <v>1</v>
      </c>
      <c r="AB31" s="703">
        <f t="shared" si="4"/>
        <v>1</v>
      </c>
      <c r="AC31" s="703">
        <f t="shared" si="5"/>
        <v>0.99009900990099009</v>
      </c>
    </row>
    <row r="32" spans="1:29" ht="15">
      <c r="A32" s="603"/>
      <c r="B32" s="601" t="s">
        <v>1841</v>
      </c>
      <c r="C32" s="411" t="s">
        <v>3462</v>
      </c>
      <c r="D32" s="386">
        <v>100</v>
      </c>
      <c r="E32" s="411" t="s">
        <v>3462</v>
      </c>
      <c r="F32" s="412">
        <f>SUMIF(93:93,E32,94:94)-SUMIF(93:93,C32,94:94)+100</f>
        <v>100</v>
      </c>
      <c r="G32" s="411" t="s">
        <v>3462</v>
      </c>
      <c r="H32" s="386">
        <f>SUMIF(93:93,G32,94:94)-SUMIF(93:93,C32,94:94)+100</f>
        <v>100</v>
      </c>
      <c r="I32" s="411" t="s">
        <v>3462</v>
      </c>
      <c r="J32" s="386">
        <f>SUMIF(93:93,I32,94:94)-SUMIF(93:93,C32,94:94)+100</f>
        <v>100</v>
      </c>
      <c r="K32" s="560">
        <v>2</v>
      </c>
      <c r="L32" s="2718"/>
      <c r="M32" s="2712"/>
      <c r="N32" s="2712"/>
      <c r="O32" s="2712"/>
      <c r="P32" s="3690" t="s">
        <v>1695</v>
      </c>
      <c r="Q32" s="1351" t="str">
        <f t="shared" si="11"/>
        <v>车位类型</v>
      </c>
      <c r="R32" s="704" t="s">
        <v>14</v>
      </c>
      <c r="S32" s="705">
        <f t="shared" si="12"/>
        <v>100</v>
      </c>
      <c r="T32" s="704" t="s">
        <v>14</v>
      </c>
      <c r="U32" s="705">
        <f t="shared" si="13"/>
        <v>100</v>
      </c>
      <c r="V32" s="704" t="s">
        <v>14</v>
      </c>
      <c r="W32" s="705">
        <f t="shared" si="14"/>
        <v>100</v>
      </c>
      <c r="X32" s="1354"/>
      <c r="Y32" s="3690" t="s">
        <v>1695</v>
      </c>
      <c r="Z32" s="1355" t="str">
        <f t="shared" si="15"/>
        <v>车位类型</v>
      </c>
      <c r="AA32" s="1352">
        <f t="shared" si="3"/>
        <v>1</v>
      </c>
      <c r="AB32" s="1352">
        <f t="shared" si="4"/>
        <v>1</v>
      </c>
      <c r="AC32" s="1352">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0"/>
      <c r="L33" s="2718"/>
      <c r="M33" s="2712"/>
      <c r="N33" s="2712"/>
      <c r="O33" s="2712"/>
      <c r="P33" s="3690"/>
      <c r="Q33" s="1351" t="str">
        <f t="shared" si="11"/>
        <v>是否直接入户</v>
      </c>
      <c r="R33" s="704" t="s">
        <v>14</v>
      </c>
      <c r="S33" s="705">
        <f t="shared" si="12"/>
        <v>100</v>
      </c>
      <c r="T33" s="704" t="s">
        <v>14</v>
      </c>
      <c r="U33" s="705">
        <f t="shared" si="13"/>
        <v>100</v>
      </c>
      <c r="V33" s="704" t="s">
        <v>14</v>
      </c>
      <c r="W33" s="705">
        <f t="shared" si="14"/>
        <v>100</v>
      </c>
      <c r="X33" s="1354"/>
      <c r="Y33" s="3690"/>
      <c r="Z33" s="1355" t="str">
        <f t="shared" si="15"/>
        <v>是否直接入户</v>
      </c>
      <c r="AA33" s="1352">
        <f t="shared" si="3"/>
        <v>1</v>
      </c>
      <c r="AB33" s="1352">
        <f t="shared" si="4"/>
        <v>1</v>
      </c>
      <c r="AC33" s="1352">
        <f t="shared" si="5"/>
        <v>1</v>
      </c>
    </row>
    <row r="34" spans="1:29" ht="15">
      <c r="A34" s="603"/>
      <c r="B34" s="3472" t="s">
        <v>3466</v>
      </c>
      <c r="C34" s="3473" t="s">
        <v>3467</v>
      </c>
      <c r="D34" s="386">
        <v>100</v>
      </c>
      <c r="E34" s="3473" t="s">
        <v>3467</v>
      </c>
      <c r="F34" s="412">
        <f>SUMIF(97:97,E34,98:98)-SUMIF(97:97,C34,98:98)+100</f>
        <v>100</v>
      </c>
      <c r="G34" s="3473" t="s">
        <v>3467</v>
      </c>
      <c r="H34" s="386">
        <f>SUMIF(97:97,G34,98:98)-SUMIF(97:97,C34,98:98)+100</f>
        <v>100</v>
      </c>
      <c r="I34" s="3473" t="s">
        <v>3468</v>
      </c>
      <c r="J34" s="386">
        <f>SUMIF(97:97,I34,98:98)-SUMIF(97:97,C34,98:98)+100</f>
        <v>102</v>
      </c>
      <c r="K34" s="561"/>
      <c r="L34" s="2718"/>
      <c r="M34" s="2712"/>
      <c r="N34" s="2712"/>
      <c r="O34" s="2712"/>
      <c r="P34" s="3690"/>
      <c r="Q34" s="1351" t="str">
        <f t="shared" si="11"/>
        <v>现房</v>
      </c>
      <c r="R34" s="704" t="s">
        <v>14</v>
      </c>
      <c r="S34" s="705">
        <f t="shared" si="12"/>
        <v>100</v>
      </c>
      <c r="T34" s="704" t="s">
        <v>14</v>
      </c>
      <c r="U34" s="705">
        <f t="shared" si="13"/>
        <v>100</v>
      </c>
      <c r="V34" s="704" t="s">
        <v>14</v>
      </c>
      <c r="W34" s="705">
        <f t="shared" si="14"/>
        <v>102</v>
      </c>
      <c r="X34" s="1354"/>
      <c r="Y34" s="3690"/>
      <c r="Z34" s="1355" t="str">
        <f t="shared" si="15"/>
        <v>现房</v>
      </c>
      <c r="AA34" s="1352">
        <f t="shared" si="3"/>
        <v>1</v>
      </c>
      <c r="AB34" s="1352">
        <f t="shared" si="4"/>
        <v>1</v>
      </c>
      <c r="AC34" s="1352">
        <f t="shared" si="5"/>
        <v>0.98039215686274506</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1"/>
      <c r="L35" s="2717"/>
      <c r="M35" s="2719"/>
      <c r="N35" s="2719"/>
      <c r="O35" s="2719"/>
      <c r="P35" s="3690"/>
      <c r="Q35" s="706">
        <f t="shared" si="11"/>
        <v>111</v>
      </c>
      <c r="R35" s="707" t="s">
        <v>14</v>
      </c>
      <c r="S35" s="708">
        <f t="shared" si="12"/>
        <v>100</v>
      </c>
      <c r="T35" s="707" t="s">
        <v>14</v>
      </c>
      <c r="U35" s="708">
        <f t="shared" si="13"/>
        <v>100</v>
      </c>
      <c r="V35" s="707" t="s">
        <v>14</v>
      </c>
      <c r="W35" s="708">
        <f t="shared" si="14"/>
        <v>100</v>
      </c>
      <c r="X35" s="709"/>
      <c r="Y35" s="3690"/>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1"/>
      <c r="L36" s="2718"/>
      <c r="M36" s="2712"/>
      <c r="N36" s="2712"/>
      <c r="O36" s="2712"/>
      <c r="P36" s="3690"/>
      <c r="Q36" s="1351">
        <f t="shared" si="11"/>
        <v>111</v>
      </c>
      <c r="R36" s="704" t="s">
        <v>14</v>
      </c>
      <c r="S36" s="705">
        <f t="shared" si="12"/>
        <v>100</v>
      </c>
      <c r="T36" s="704" t="s">
        <v>14</v>
      </c>
      <c r="U36" s="705">
        <f t="shared" si="13"/>
        <v>100</v>
      </c>
      <c r="V36" s="704" t="s">
        <v>14</v>
      </c>
      <c r="W36" s="705">
        <f t="shared" si="14"/>
        <v>100</v>
      </c>
      <c r="X36" s="1354"/>
      <c r="Y36" s="3690"/>
      <c r="Z36" s="1355">
        <f t="shared" si="15"/>
        <v>111</v>
      </c>
      <c r="AA36" s="1352">
        <f t="shared" si="3"/>
        <v>1</v>
      </c>
      <c r="AB36" s="1352">
        <f t="shared" si="4"/>
        <v>1</v>
      </c>
      <c r="AC36" s="1352">
        <f t="shared" si="5"/>
        <v>1</v>
      </c>
    </row>
    <row r="37" spans="1:29" ht="15">
      <c r="A37" s="429" t="s">
        <v>1843</v>
      </c>
      <c r="B37" s="1971" t="s">
        <v>3356</v>
      </c>
      <c r="C37" s="1153" t="s">
        <v>0</v>
      </c>
      <c r="D37" s="1154"/>
      <c r="E37" s="1155">
        <v>7187</v>
      </c>
      <c r="F37" s="1156"/>
      <c r="G37" s="1157">
        <v>6945</v>
      </c>
      <c r="H37" s="1158"/>
      <c r="I37" s="1155">
        <v>6755</v>
      </c>
      <c r="J37" s="1158"/>
      <c r="K37" s="567"/>
      <c r="L37" s="2720"/>
      <c r="M37" s="2721"/>
      <c r="N37" s="2712"/>
      <c r="O37" s="2721"/>
      <c r="P37" s="3686" t="str">
        <f>A37</f>
        <v>成交单价</v>
      </c>
      <c r="Q37" s="3686"/>
      <c r="R37" s="3751">
        <f>E37</f>
        <v>7187</v>
      </c>
      <c r="S37" s="3751"/>
      <c r="T37" s="3751">
        <f>G37</f>
        <v>6945</v>
      </c>
      <c r="U37" s="3751"/>
      <c r="V37" s="3751">
        <f>I37</f>
        <v>6755</v>
      </c>
      <c r="W37" s="3751"/>
      <c r="X37" s="689"/>
      <c r="Y37" s="711"/>
      <c r="Z37" s="689"/>
      <c r="AA37" s="689"/>
      <c r="AB37" s="689"/>
      <c r="AC37" s="689"/>
    </row>
    <row r="38" spans="1:29" ht="15.75" thickBot="1">
      <c r="A38" s="436" t="s">
        <v>1844</v>
      </c>
      <c r="B38" s="437" t="str">
        <f>B37</f>
        <v>元/平方米</v>
      </c>
      <c r="C38" s="1159">
        <f>R39</f>
        <v>6947</v>
      </c>
      <c r="D38" s="2315" t="s">
        <v>2137</v>
      </c>
      <c r="E38" s="1160">
        <f>R38</f>
        <v>6995</v>
      </c>
      <c r="F38" s="2316"/>
      <c r="G38" s="1159">
        <f>T38</f>
        <v>6945</v>
      </c>
      <c r="H38" s="2316"/>
      <c r="I38" s="1160">
        <f>V38</f>
        <v>6902</v>
      </c>
      <c r="J38" s="2316"/>
      <c r="K38" s="2318">
        <f>F38+H38+J38</f>
        <v>0</v>
      </c>
      <c r="L38" s="2720"/>
      <c r="M38" s="2721"/>
      <c r="N38" s="2721"/>
      <c r="O38" s="2721"/>
      <c r="P38" s="3686" t="str">
        <f>A38</f>
        <v>比较价值（元/平方米）</v>
      </c>
      <c r="Q38" s="3686"/>
      <c r="R38" s="3751">
        <f>IF(F1="售价",ROUND(PRODUCT(R37,AA7:AA36),0),ROUND(PRODUCT(R37,AA7:AA36),1))</f>
        <v>6995</v>
      </c>
      <c r="S38" s="3751"/>
      <c r="T38" s="3751">
        <f>IF(F1="售价",ROUND(PRODUCT(T37,AB7:AB36),0),ROUND(PRODUCT(T37,AB7:AB36),1))</f>
        <v>6945</v>
      </c>
      <c r="U38" s="3751"/>
      <c r="V38" s="3751">
        <f>IF(F1="售价",ROUND(PRODUCT(V37,AC7:AC36),0),ROUND(PRODUCT(V37,AC7:AC36),1))</f>
        <v>6902</v>
      </c>
      <c r="W38" s="3751"/>
      <c r="X38" s="689"/>
      <c r="Y38" s="689"/>
      <c r="Z38" s="689"/>
      <c r="AA38" s="689"/>
      <c r="AB38" s="689"/>
      <c r="AC38" s="689"/>
    </row>
    <row r="39" spans="1:29" ht="15.75" thickBot="1">
      <c r="A39" s="440" t="s">
        <v>1845</v>
      </c>
      <c r="B39" s="441"/>
      <c r="C39" s="1162">
        <f>R39</f>
        <v>6947</v>
      </c>
      <c r="D39" s="1162"/>
      <c r="E39" s="1162"/>
      <c r="F39" s="1162"/>
      <c r="G39" s="1162"/>
      <c r="H39" s="1162"/>
      <c r="I39" s="1162"/>
      <c r="J39" s="1162"/>
      <c r="K39" s="568"/>
      <c r="L39" s="2720"/>
      <c r="M39" s="2721"/>
      <c r="N39" s="2721"/>
      <c r="O39" s="2721"/>
      <c r="P39" s="3680" t="str">
        <f>A39</f>
        <v>估价对象XX用房的比较价值（楼面单价，元/平方米）</v>
      </c>
      <c r="Q39" s="3681"/>
      <c r="R39" s="3775">
        <f>IF(F1="售价",ROUND(IF(D38="简单平均",AVERAGE(R38:W38),R38*F38+T38*H38+V38*J38),0),ROUND(IF(D38="简单平均",AVERAGE(R38:V38),R38*F38+T38*H38+V38*J38),1))</f>
        <v>6947</v>
      </c>
      <c r="S39" s="3775"/>
      <c r="T39" s="3775"/>
      <c r="U39" s="3775"/>
      <c r="V39" s="3775"/>
      <c r="W39" s="3775"/>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f>IF(E37&lt;E38,E38/E37-1,E37/E38-1)</f>
        <v>2.7448177269478125E-2</v>
      </c>
      <c r="F42" s="448" t="str">
        <f>IF(OR(E42&gt;=0.3,E42&lt;=-0.3),"超过30%","")</f>
        <v/>
      </c>
      <c r="G42" s="447">
        <f>IF(G37&lt;G38,G38/G37-1,G37/G38-1)</f>
        <v>0</v>
      </c>
      <c r="H42" s="448" t="str">
        <f>IF(OR(G42&gt;=0.3,G42&lt;=-0.3),"超过30%","")</f>
        <v/>
      </c>
      <c r="I42" s="447">
        <f>IF(I37&lt;I38,I38/I37-1,I37/I38-1)</f>
        <v>2.1761658031087983E-2</v>
      </c>
      <c r="J42" s="448"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f>IF(E38&lt;G38,G38/E38-1,E38/G38-1)</f>
        <v>7.1994240460762082E-3</v>
      </c>
      <c r="F43" s="448" t="str">
        <f>IF(OR(E43&gt;=0.2,E43&lt;=-0.2),"超过20%","")</f>
        <v/>
      </c>
      <c r="G43" s="447">
        <f>IF(G38&lt;I38,I38/G38-1,G38/I38-1)</f>
        <v>6.2300782381918829E-3</v>
      </c>
      <c r="H43" s="448" t="str">
        <f>IF(OR(G43&gt;=0.2,G43&lt;=-0.2),"超过20%","")</f>
        <v/>
      </c>
      <c r="I43" s="447">
        <f>IF(I38&lt;E38,E38/I38-1,I38/E38-1)</f>
        <v>1.3474355259345039E-2</v>
      </c>
      <c r="J43" s="448"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f>IF(E37&lt;G37,G37/E37-1,E37/G37-1)</f>
        <v>3.4845212383009416E-2</v>
      </c>
      <c r="F44" s="448" t="str">
        <f>IF(OR(E44&gt;=0.3,E44&lt;=-0.3),"超过30%","")</f>
        <v/>
      </c>
      <c r="G44" s="447">
        <f>IF(G37&lt;I37,I37/G37-1,G37/I37-1)</f>
        <v>2.812731310140637E-2</v>
      </c>
      <c r="H44" s="448" t="str">
        <f>IF(OR(G44&gt;=0.3,G44&lt;=-0.3),"超过30%","")</f>
        <v/>
      </c>
      <c r="I44" s="447">
        <f>IF(I37&lt;E37,E37/I37-1,I37/E37-1)</f>
        <v>6.3952627683197649E-2</v>
      </c>
      <c r="J44" s="448"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5">
      <c r="A48" s="453" t="s">
        <v>1850</v>
      </c>
      <c r="B48" s="454"/>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ht="15">
      <c r="A49" s="457"/>
      <c r="B49" s="458"/>
      <c r="C49" s="1176">
        <v>100</v>
      </c>
      <c r="D49" s="460">
        <v>100</v>
      </c>
      <c r="E49" s="460">
        <v>100</v>
      </c>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1718</v>
      </c>
      <c r="B53" s="476" t="s">
        <v>1684</v>
      </c>
      <c r="C53" s="477" t="str">
        <f>C9</f>
        <v>车库</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2"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2"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2"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2"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95</v>
      </c>
      <c r="E64" s="492">
        <f>D64-$K14</f>
        <v>90</v>
      </c>
      <c r="F64" s="492">
        <f>E64-$K14</f>
        <v>85</v>
      </c>
      <c r="G64" s="492">
        <f>F64-$K14</f>
        <v>80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95</v>
      </c>
      <c r="E66" s="492">
        <f>D66-$K16</f>
        <v>90</v>
      </c>
      <c r="F66" s="492">
        <f>E66-$K16</f>
        <v>85</v>
      </c>
      <c r="G66" s="492">
        <f>F66-$K16</f>
        <v>80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99</v>
      </c>
      <c r="E68" s="492">
        <f>D68-$K18</f>
        <v>98</v>
      </c>
      <c r="F68" s="492">
        <f>E68-$K18</f>
        <v>97</v>
      </c>
      <c r="G68" s="492">
        <f>F68-$K18</f>
        <v>96</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97</v>
      </c>
      <c r="E70" s="492">
        <f>D70-$K20</f>
        <v>94</v>
      </c>
      <c r="F70" s="492">
        <f>E70-$K20</f>
        <v>91</v>
      </c>
      <c r="G70" s="492">
        <f>F70-$K20</f>
        <v>88</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2"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2"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98</v>
      </c>
      <c r="E80" s="492">
        <f t="shared" si="17"/>
        <v>96</v>
      </c>
      <c r="F80" s="492">
        <f t="shared" si="17"/>
        <v>94</v>
      </c>
      <c r="G80" s="492">
        <f t="shared" si="17"/>
        <v>92</v>
      </c>
      <c r="H80" s="492">
        <f t="shared" si="17"/>
        <v>90</v>
      </c>
      <c r="I80" s="492">
        <f t="shared" si="17"/>
        <v>88</v>
      </c>
      <c r="J80" s="492">
        <f t="shared" si="17"/>
        <v>86</v>
      </c>
      <c r="K80" s="492">
        <f t="shared" si="17"/>
        <v>84</v>
      </c>
      <c r="L80" s="492">
        <f t="shared" si="17"/>
        <v>82</v>
      </c>
      <c r="M80" s="493">
        <f t="shared" si="17"/>
        <v>80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3462" t="s">
        <v>3434</v>
      </c>
      <c r="D83" s="3462" t="s">
        <v>3435</v>
      </c>
      <c r="E83" s="3462" t="s">
        <v>3436</v>
      </c>
      <c r="F83" s="3463" t="s">
        <v>3437</v>
      </c>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99</v>
      </c>
      <c r="E84" s="492">
        <f t="shared" si="18"/>
        <v>98</v>
      </c>
      <c r="F84" s="492">
        <f t="shared" si="18"/>
        <v>97</v>
      </c>
      <c r="G84" s="492">
        <f t="shared" si="18"/>
        <v>96</v>
      </c>
      <c r="H84" s="492">
        <f t="shared" si="18"/>
        <v>95</v>
      </c>
      <c r="I84" s="492">
        <f t="shared" si="18"/>
        <v>94</v>
      </c>
      <c r="J84" s="492">
        <f t="shared" si="18"/>
        <v>93</v>
      </c>
      <c r="K84" s="492">
        <f t="shared" si="18"/>
        <v>92</v>
      </c>
      <c r="L84" s="492">
        <f t="shared" si="18"/>
        <v>91</v>
      </c>
      <c r="M84" s="493">
        <f t="shared" si="18"/>
        <v>90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101</v>
      </c>
      <c r="E87" s="492">
        <f t="shared" ref="E87:M87" si="19">D87+$K$29</f>
        <v>102</v>
      </c>
      <c r="F87" s="492">
        <f t="shared" si="19"/>
        <v>103</v>
      </c>
      <c r="G87" s="492">
        <f t="shared" si="19"/>
        <v>104</v>
      </c>
      <c r="H87" s="492">
        <f t="shared" si="19"/>
        <v>105</v>
      </c>
      <c r="I87" s="492">
        <f t="shared" si="19"/>
        <v>106</v>
      </c>
      <c r="J87" s="492">
        <f t="shared" si="19"/>
        <v>107</v>
      </c>
      <c r="K87" s="492">
        <f t="shared" si="19"/>
        <v>108</v>
      </c>
      <c r="L87" s="492">
        <f t="shared" si="19"/>
        <v>109</v>
      </c>
      <c r="M87" s="492">
        <f t="shared" si="19"/>
        <v>110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3469" t="s">
        <v>3427</v>
      </c>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102</v>
      </c>
      <c r="E89" s="492">
        <f t="shared" si="20"/>
        <v>104</v>
      </c>
      <c r="F89" s="492">
        <f t="shared" si="20"/>
        <v>106</v>
      </c>
      <c r="G89" s="492">
        <f t="shared" si="20"/>
        <v>108</v>
      </c>
      <c r="H89" s="492">
        <f t="shared" si="20"/>
        <v>110</v>
      </c>
      <c r="I89" s="492">
        <f t="shared" si="20"/>
        <v>112</v>
      </c>
      <c r="J89" s="492">
        <f t="shared" si="20"/>
        <v>114</v>
      </c>
      <c r="K89" s="492">
        <f t="shared" si="20"/>
        <v>116</v>
      </c>
      <c r="L89" s="492">
        <f t="shared" si="20"/>
        <v>118</v>
      </c>
      <c r="M89" s="492">
        <f t="shared" si="20"/>
        <v>120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1"/>
      <c r="B90" s="486" t="s">
        <v>1856</v>
      </c>
      <c r="C90" s="526" t="str">
        <f>C91&amp;"(含)"&amp;"-"&amp;D91</f>
        <v>0(含)-30</v>
      </c>
      <c r="D90" s="526" t="str">
        <f t="shared" ref="D90:L90" si="21">D91&amp;"(含)"&amp;"-"&amp;E91</f>
        <v>30(含)-40</v>
      </c>
      <c r="E90" s="526" t="str">
        <f t="shared" si="21"/>
        <v>40(含)-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1"/>
      <c r="B91" s="494"/>
      <c r="C91" s="3464">
        <v>0</v>
      </c>
      <c r="D91" s="3464">
        <v>30</v>
      </c>
      <c r="E91" s="3464">
        <v>40</v>
      </c>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1"/>
      <c r="B92" s="491"/>
      <c r="C92" s="3465">
        <v>100</v>
      </c>
      <c r="D92" s="3466">
        <f>C92+1</f>
        <v>101</v>
      </c>
      <c r="E92" s="3466">
        <f>D92+1</f>
        <v>102</v>
      </c>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3462" t="s">
        <v>3461</v>
      </c>
      <c r="D93" s="3467"/>
      <c r="E93" s="3468"/>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98</v>
      </c>
      <c r="E94" s="492">
        <f t="shared" si="22"/>
        <v>96</v>
      </c>
      <c r="F94" s="492">
        <f t="shared" si="22"/>
        <v>94</v>
      </c>
      <c r="G94" s="492">
        <f t="shared" si="22"/>
        <v>92</v>
      </c>
      <c r="H94" s="492">
        <f t="shared" si="22"/>
        <v>90</v>
      </c>
      <c r="I94" s="492">
        <f t="shared" si="22"/>
        <v>88</v>
      </c>
      <c r="J94" s="492">
        <f t="shared" si="22"/>
        <v>86</v>
      </c>
      <c r="K94" s="492">
        <f t="shared" si="22"/>
        <v>84</v>
      </c>
      <c r="L94" s="492">
        <f t="shared" si="22"/>
        <v>82</v>
      </c>
      <c r="M94" s="493">
        <f t="shared" si="22"/>
        <v>80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t="str">
        <f>B34</f>
        <v>现房</v>
      </c>
      <c r="C97" s="3454" t="s">
        <v>3459</v>
      </c>
      <c r="D97" s="3454" t="s">
        <v>3458</v>
      </c>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v>100</v>
      </c>
      <c r="D98" s="484">
        <v>98</v>
      </c>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2"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E34" sqref="E3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3336</v>
      </c>
      <c r="C1" s="1223" t="s">
        <v>1661</v>
      </c>
      <c r="D1" s="1224" t="s">
        <v>3397</v>
      </c>
      <c r="E1" s="3429" t="s">
        <v>3422</v>
      </c>
      <c r="F1" s="1878" t="s">
        <v>3421</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IF(E1="项目模式",IF(C2="——",ROUND(C37*D3/10000,0),ROUND(C37*D3/10000,0)-D2),IF(E1="单套模式",IF(C2="——",ROUND(C37*D3/10000,4),ROUND(C37*D3/10000,4)-D2)))</f>
        <v>7980</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f>IF(C2="——",C37,ROUND(B2*10000/D3,0))</f>
        <v>12567</v>
      </c>
      <c r="C3" s="354" t="s">
        <v>1767</v>
      </c>
      <c r="D3" s="353">
        <f>SUMIF('数据-汇总表'!$C19:$C33,D1,'数据-汇总表'!$E19:$E33)</f>
        <v>6350.3499999999931</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683" t="s">
        <v>1769</v>
      </c>
      <c r="D4" s="3695"/>
      <c r="E4" s="3696" t="s">
        <v>1770</v>
      </c>
      <c r="F4" s="3697"/>
      <c r="G4" s="3683" t="s">
        <v>1771</v>
      </c>
      <c r="H4" s="3695"/>
      <c r="I4" s="3683" t="s">
        <v>1772</v>
      </c>
      <c r="J4" s="3695"/>
      <c r="K4" s="558" t="s">
        <v>1773</v>
      </c>
      <c r="L4" s="2711"/>
      <c r="M4" s="2712"/>
      <c r="N4" s="2712"/>
      <c r="O4" s="2712"/>
      <c r="P4" s="3698" t="s">
        <v>1774</v>
      </c>
      <c r="Q4" s="3699"/>
      <c r="R4" s="3704" t="s">
        <v>1770</v>
      </c>
      <c r="S4" s="3705"/>
      <c r="T4" s="3704" t="s">
        <v>1771</v>
      </c>
      <c r="U4" s="3705"/>
      <c r="V4" s="3691" t="s">
        <v>1772</v>
      </c>
      <c r="W4" s="3691"/>
      <c r="X4" s="1354"/>
      <c r="Y4" s="3704" t="s">
        <v>1774</v>
      </c>
      <c r="Z4" s="3705"/>
      <c r="AA4" s="3692" t="s">
        <v>1770</v>
      </c>
      <c r="AB4" s="3693" t="s">
        <v>1771</v>
      </c>
      <c r="AC4" s="3692" t="s">
        <v>1772</v>
      </c>
    </row>
    <row r="5" spans="1:29" ht="15">
      <c r="A5" s="358"/>
      <c r="B5" s="359"/>
      <c r="C5" s="3712" t="s">
        <v>1672</v>
      </c>
      <c r="D5" s="3713"/>
      <c r="E5" s="3719" t="s">
        <v>3464</v>
      </c>
      <c r="F5" s="3720"/>
      <c r="G5" s="3758" t="s">
        <v>3470</v>
      </c>
      <c r="H5" s="3713"/>
      <c r="I5" s="3758" t="s">
        <v>3471</v>
      </c>
      <c r="J5" s="3713"/>
      <c r="K5" s="558"/>
      <c r="L5" s="2711"/>
      <c r="M5" s="2712"/>
      <c r="N5" s="2712"/>
      <c r="O5" s="2712"/>
      <c r="P5" s="3700"/>
      <c r="Q5" s="3701"/>
      <c r="R5" s="3706"/>
      <c r="S5" s="3707"/>
      <c r="T5" s="3706"/>
      <c r="U5" s="3707"/>
      <c r="V5" s="3691"/>
      <c r="W5" s="3691"/>
      <c r="X5" s="1354"/>
      <c r="Y5" s="3706"/>
      <c r="Z5" s="3707"/>
      <c r="AA5" s="3693"/>
      <c r="AB5" s="3693"/>
      <c r="AC5" s="3693"/>
    </row>
    <row r="6" spans="1:29" ht="15.75" thickBot="1">
      <c r="A6" s="360"/>
      <c r="B6" s="361"/>
      <c r="C6" s="3710" t="s">
        <v>1676</v>
      </c>
      <c r="D6" s="3711"/>
      <c r="E6" s="3717" t="s">
        <v>1676</v>
      </c>
      <c r="F6" s="3718"/>
      <c r="G6" s="3710" t="s">
        <v>1676</v>
      </c>
      <c r="H6" s="3711"/>
      <c r="I6" s="3710" t="s">
        <v>1676</v>
      </c>
      <c r="J6" s="3711"/>
      <c r="K6" s="558" t="s">
        <v>1677</v>
      </c>
      <c r="L6" s="2711"/>
      <c r="M6" s="2712"/>
      <c r="N6" s="2712"/>
      <c r="O6" s="2712"/>
      <c r="P6" s="3702"/>
      <c r="Q6" s="3703"/>
      <c r="R6" s="3706"/>
      <c r="S6" s="3707"/>
      <c r="T6" s="3708"/>
      <c r="U6" s="3709"/>
      <c r="V6" s="3691"/>
      <c r="W6" s="3691"/>
      <c r="X6" s="1354"/>
      <c r="Y6" s="3708"/>
      <c r="Z6" s="3709"/>
      <c r="AA6" s="3694"/>
      <c r="AB6" s="3694"/>
      <c r="AC6" s="3694"/>
    </row>
    <row r="7" spans="1:29" s="108" customFormat="1" ht="15.75" thickBot="1">
      <c r="A7" s="362" t="s">
        <v>1678</v>
      </c>
      <c r="B7" s="363"/>
      <c r="C7" s="364">
        <f>'数据-取费表'!B2</f>
        <v>45009</v>
      </c>
      <c r="D7" s="365">
        <v>100</v>
      </c>
      <c r="E7" s="366">
        <v>44774</v>
      </c>
      <c r="F7" s="367">
        <f>SUMIF(46:46,YEAR(E7)&amp;"-"&amp;MONTH(E7),47:47)</f>
        <v>100</v>
      </c>
      <c r="G7" s="1972">
        <v>44835</v>
      </c>
      <c r="H7" s="365">
        <f>SUMIF(46:46,YEAR(G7)&amp;"-"&amp;MONTH(G7),47:47)</f>
        <v>100</v>
      </c>
      <c r="I7" s="1972">
        <v>44835</v>
      </c>
      <c r="J7" s="365">
        <f>SUMIF(46:46,YEAR(I7)&amp;"-"&amp;MONTH(I7),47:47)</f>
        <v>100</v>
      </c>
      <c r="K7" s="559"/>
      <c r="L7" s="2713"/>
      <c r="M7" s="2714"/>
      <c r="N7" s="2714"/>
      <c r="O7" s="2714"/>
      <c r="P7" s="3714" t="s">
        <v>1679</v>
      </c>
      <c r="Q7" s="3716"/>
      <c r="R7" s="700" t="s">
        <v>14</v>
      </c>
      <c r="S7" s="701">
        <f t="shared" ref="S7:S14" si="0">F7</f>
        <v>100</v>
      </c>
      <c r="T7" s="700" t="s">
        <v>14</v>
      </c>
      <c r="U7" s="701">
        <f t="shared" ref="U7:U14" si="1">H7</f>
        <v>100</v>
      </c>
      <c r="V7" s="700" t="s">
        <v>14</v>
      </c>
      <c r="W7" s="701">
        <f t="shared" ref="W7:W14" si="2">J7</f>
        <v>100</v>
      </c>
      <c r="X7" s="702"/>
      <c r="Y7" s="3714" t="s">
        <v>1679</v>
      </c>
      <c r="Z7" s="3715"/>
      <c r="AA7" s="703">
        <f>D7/F7</f>
        <v>1</v>
      </c>
      <c r="AB7" s="703">
        <f>D7/H7</f>
        <v>1</v>
      </c>
      <c r="AC7" s="703">
        <f>D7/J7</f>
        <v>1</v>
      </c>
    </row>
    <row r="8" spans="1:29" s="108" customFormat="1" ht="15.75" thickBot="1">
      <c r="A8" s="362" t="s">
        <v>1680</v>
      </c>
      <c r="B8" s="363"/>
      <c r="C8" s="368" t="s">
        <v>3445</v>
      </c>
      <c r="D8" s="365">
        <v>100</v>
      </c>
      <c r="E8" s="368" t="s">
        <v>3445</v>
      </c>
      <c r="F8" s="367">
        <f>SUMIF(49:49,E8,50:50)-SUMIF(49:49,C8,50:50)+100</f>
        <v>100</v>
      </c>
      <c r="G8" s="368" t="s">
        <v>3445</v>
      </c>
      <c r="H8" s="365">
        <f>SUMIF(49:49,G8,50:50)-SUMIF(49:49,C8,50:50)+100</f>
        <v>100</v>
      </c>
      <c r="I8" s="368" t="s">
        <v>3445</v>
      </c>
      <c r="J8" s="365">
        <f>SUMIF(49:49,I8,50:50)-SUMIF(49:49,C8,50:50)+100</f>
        <v>100</v>
      </c>
      <c r="K8" s="559"/>
      <c r="L8" s="2713"/>
      <c r="M8" s="2714"/>
      <c r="N8" s="2714"/>
      <c r="O8" s="2714"/>
      <c r="P8" s="3714" t="s">
        <v>1682</v>
      </c>
      <c r="Q8" s="3715"/>
      <c r="R8" s="700" t="s">
        <v>14</v>
      </c>
      <c r="S8" s="701">
        <f t="shared" si="0"/>
        <v>100</v>
      </c>
      <c r="T8" s="700" t="s">
        <v>14</v>
      </c>
      <c r="U8" s="701">
        <f t="shared" si="1"/>
        <v>100</v>
      </c>
      <c r="V8" s="700" t="s">
        <v>14</v>
      </c>
      <c r="W8" s="701">
        <f t="shared" si="2"/>
        <v>100</v>
      </c>
      <c r="X8" s="702"/>
      <c r="Y8" s="3714" t="s">
        <v>1682</v>
      </c>
      <c r="Z8" s="3715"/>
      <c r="AA8" s="703">
        <f t="shared" ref="AA8:AA34" si="3">D8/F8</f>
        <v>1</v>
      </c>
      <c r="AB8" s="703">
        <f t="shared" ref="AB8:AB34" si="4">D8/H8</f>
        <v>1</v>
      </c>
      <c r="AC8" s="703">
        <f t="shared" ref="AC8:AC34" si="5">D8/J8</f>
        <v>1</v>
      </c>
    </row>
    <row r="9" spans="1:29" s="108" customFormat="1">
      <c r="A9" s="369" t="s">
        <v>1683</v>
      </c>
      <c r="B9" s="63" t="s">
        <v>1684</v>
      </c>
      <c r="C9" s="3459" t="s">
        <v>3469</v>
      </c>
      <c r="D9" s="126">
        <v>100</v>
      </c>
      <c r="E9" s="373" t="s">
        <v>3336</v>
      </c>
      <c r="F9" s="372">
        <f>SUMIF(51:51,E9,52:52)-SUMIF(51:51,C9,52:52)+100</f>
        <v>100</v>
      </c>
      <c r="G9" s="373" t="s">
        <v>3336</v>
      </c>
      <c r="H9" s="126">
        <f>SUMIF(51:51,G9,52:52)-SUMIF(51:51,C9,52:52)+100</f>
        <v>100</v>
      </c>
      <c r="I9" s="373" t="s">
        <v>3336</v>
      </c>
      <c r="J9" s="126">
        <f>SUMIF(51:51,I9,52:52)-SUMIF(51:51,C9,52:52)+100</f>
        <v>100</v>
      </c>
      <c r="K9" s="559"/>
      <c r="L9" s="2713"/>
      <c r="M9" s="2714"/>
      <c r="N9" s="2714"/>
      <c r="O9" s="2768"/>
      <c r="P9" s="3686" t="s">
        <v>1685</v>
      </c>
      <c r="Q9" s="1342" t="str">
        <f t="shared" ref="Q9:Q14" si="6">B9</f>
        <v>用途</v>
      </c>
      <c r="R9" s="700" t="s">
        <v>14</v>
      </c>
      <c r="S9" s="701">
        <f t="shared" si="0"/>
        <v>100</v>
      </c>
      <c r="T9" s="700" t="s">
        <v>14</v>
      </c>
      <c r="U9" s="701">
        <f t="shared" si="1"/>
        <v>100</v>
      </c>
      <c r="V9" s="700" t="s">
        <v>14</v>
      </c>
      <c r="W9" s="701">
        <f t="shared" si="2"/>
        <v>100</v>
      </c>
      <c r="X9" s="702"/>
      <c r="Y9" s="3586" t="s">
        <v>1686</v>
      </c>
      <c r="Z9" s="52" t="str">
        <f t="shared" ref="Z9:Z14" si="7">Q9</f>
        <v>用途</v>
      </c>
      <c r="AA9" s="703">
        <f t="shared" si="3"/>
        <v>1</v>
      </c>
      <c r="AB9" s="703">
        <f t="shared" si="4"/>
        <v>1</v>
      </c>
      <c r="AC9" s="703">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59"/>
      <c r="L10" s="2715"/>
      <c r="M10" s="2716"/>
      <c r="N10" s="2716"/>
      <c r="O10" s="2769"/>
      <c r="P10" s="3686"/>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1"/>
      <c r="L11" s="2717"/>
      <c r="M11" s="2712"/>
      <c r="N11" s="2712"/>
      <c r="O11" s="2770"/>
      <c r="P11" s="3686"/>
      <c r="Q11" s="1342">
        <f t="shared" si="6"/>
        <v>111</v>
      </c>
      <c r="R11" s="700" t="s">
        <v>14</v>
      </c>
      <c r="S11" s="701">
        <f t="shared" si="0"/>
        <v>100</v>
      </c>
      <c r="T11" s="700" t="s">
        <v>14</v>
      </c>
      <c r="U11" s="701">
        <f t="shared" si="1"/>
        <v>100</v>
      </c>
      <c r="V11" s="700" t="s">
        <v>14</v>
      </c>
      <c r="W11" s="701">
        <f t="shared" si="2"/>
        <v>100</v>
      </c>
      <c r="X11" s="702"/>
      <c r="Y11" s="3586"/>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1"/>
      <c r="L12" s="2713"/>
      <c r="M12" s="2714"/>
      <c r="N12" s="2714"/>
      <c r="O12" s="2768"/>
      <c r="P12" s="3686"/>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1"/>
      <c r="L13" s="2718"/>
      <c r="M13" s="2712"/>
      <c r="N13" s="2712"/>
      <c r="O13" s="2770"/>
      <c r="P13" s="3686"/>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85.5">
      <c r="A14" s="391" t="s">
        <v>1689</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95</v>
      </c>
      <c r="G14" s="393"/>
      <c r="H14" s="392">
        <f>SUMIF(61:61,G15,62:62)-SUMIF(61:61,C15,62:62)+100</f>
        <v>95</v>
      </c>
      <c r="I14" s="393"/>
      <c r="J14" s="392">
        <f>SUMIF(61:61,I15,62:62)-SUMIF(61:61,C15,62:62)+100</f>
        <v>95</v>
      </c>
      <c r="K14" s="562">
        <f>'比较法-车位'!K14</f>
        <v>5</v>
      </c>
      <c r="L14" s="2718"/>
      <c r="M14" s="2712"/>
      <c r="N14" s="2712"/>
      <c r="O14" s="2770"/>
      <c r="P14" s="3687" t="s">
        <v>1690</v>
      </c>
      <c r="Q14" s="1351" t="str">
        <f t="shared" si="6"/>
        <v>交通便捷度</v>
      </c>
      <c r="R14" s="704" t="s">
        <v>14</v>
      </c>
      <c r="S14" s="705">
        <f t="shared" si="0"/>
        <v>95</v>
      </c>
      <c r="T14" s="704" t="s">
        <v>14</v>
      </c>
      <c r="U14" s="705">
        <f t="shared" si="1"/>
        <v>95</v>
      </c>
      <c r="V14" s="704" t="s">
        <v>14</v>
      </c>
      <c r="W14" s="705">
        <f t="shared" si="2"/>
        <v>95</v>
      </c>
      <c r="X14" s="1354"/>
      <c r="Y14" s="3687" t="s">
        <v>1690</v>
      </c>
      <c r="Z14" s="1355" t="str">
        <f t="shared" si="7"/>
        <v>交通便捷度</v>
      </c>
      <c r="AA14" s="1352">
        <f t="shared" si="3"/>
        <v>1.0526315789473684</v>
      </c>
      <c r="AB14" s="1352">
        <f t="shared" si="4"/>
        <v>1.0526315789473684</v>
      </c>
      <c r="AC14" s="1352">
        <f t="shared" si="5"/>
        <v>1.0526315789473684</v>
      </c>
    </row>
    <row r="15" spans="1:29" ht="15">
      <c r="A15" s="379"/>
      <c r="B15" s="397"/>
      <c r="C15" s="398" t="s">
        <v>3447</v>
      </c>
      <c r="D15" s="399"/>
      <c r="E15" s="1899" t="s">
        <v>3449</v>
      </c>
      <c r="F15" s="400"/>
      <c r="G15" s="1899" t="s">
        <v>3449</v>
      </c>
      <c r="H15" s="401"/>
      <c r="I15" s="398" t="s">
        <v>3449</v>
      </c>
      <c r="J15" s="399"/>
      <c r="K15" s="563"/>
      <c r="L15" s="2718"/>
      <c r="M15" s="2712"/>
      <c r="N15" s="2712"/>
      <c r="O15" s="2770"/>
      <c r="P15" s="3688"/>
      <c r="Q15" s="1351"/>
      <c r="R15" s="704"/>
      <c r="S15" s="705"/>
      <c r="T15" s="704"/>
      <c r="U15" s="705"/>
      <c r="V15" s="704"/>
      <c r="W15" s="705"/>
      <c r="X15" s="1354"/>
      <c r="Y15" s="3688"/>
      <c r="Z15" s="1355"/>
      <c r="AA15" s="1352">
        <v>1</v>
      </c>
      <c r="AB15" s="1352">
        <v>1</v>
      </c>
      <c r="AC15" s="1352">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105</v>
      </c>
      <c r="G16" s="408"/>
      <c r="H16" s="406">
        <f>SUMIF(63:63,G17,64:64)-SUMIF(63:63,C17,64:64)+100</f>
        <v>100</v>
      </c>
      <c r="I16" s="408"/>
      <c r="J16" s="406">
        <f>SUMIF(63:63,I17,64:64)-SUMIF(63:63,C17,64:64)+100</f>
        <v>100</v>
      </c>
      <c r="K16" s="562">
        <f>'比较法-车位'!K16</f>
        <v>5</v>
      </c>
      <c r="L16" s="2718"/>
      <c r="M16" s="2712"/>
      <c r="N16" s="2712"/>
      <c r="O16" s="2770"/>
      <c r="P16" s="3688"/>
      <c r="Q16" s="1351" t="str">
        <f>B16</f>
        <v>公共配套设施</v>
      </c>
      <c r="R16" s="704" t="s">
        <v>14</v>
      </c>
      <c r="S16" s="705">
        <f>F16</f>
        <v>105</v>
      </c>
      <c r="T16" s="704" t="s">
        <v>14</v>
      </c>
      <c r="U16" s="705">
        <f>H16</f>
        <v>100</v>
      </c>
      <c r="V16" s="704" t="s">
        <v>14</v>
      </c>
      <c r="W16" s="705">
        <f>J16</f>
        <v>100</v>
      </c>
      <c r="X16" s="1354"/>
      <c r="Y16" s="3688"/>
      <c r="Z16" s="1355" t="str">
        <f>Q16</f>
        <v>公共配套设施</v>
      </c>
      <c r="AA16" s="1352">
        <f t="shared" si="3"/>
        <v>0.95238095238095233</v>
      </c>
      <c r="AB16" s="1352">
        <f t="shared" si="4"/>
        <v>1</v>
      </c>
      <c r="AC16" s="1352">
        <f t="shared" si="5"/>
        <v>1</v>
      </c>
    </row>
    <row r="17" spans="1:29" ht="15">
      <c r="A17" s="379"/>
      <c r="B17" s="407"/>
      <c r="C17" s="1899" t="s">
        <v>3449</v>
      </c>
      <c r="D17" s="399"/>
      <c r="E17" s="1899" t="s">
        <v>3447</v>
      </c>
      <c r="F17" s="400"/>
      <c r="G17" s="1899" t="s">
        <v>3449</v>
      </c>
      <c r="H17" s="399"/>
      <c r="I17" s="1899" t="s">
        <v>3449</v>
      </c>
      <c r="J17" s="399"/>
      <c r="K17" s="563"/>
      <c r="L17" s="2718"/>
      <c r="M17" s="2712"/>
      <c r="N17" s="2712"/>
      <c r="O17" s="2770"/>
      <c r="P17" s="3688"/>
      <c r="Q17" s="1351"/>
      <c r="R17" s="704"/>
      <c r="S17" s="705"/>
      <c r="T17" s="704"/>
      <c r="U17" s="705"/>
      <c r="V17" s="704"/>
      <c r="W17" s="705"/>
      <c r="X17" s="1354"/>
      <c r="Y17" s="3688"/>
      <c r="Z17" s="1355"/>
      <c r="AA17" s="1352">
        <v>1</v>
      </c>
      <c r="AB17" s="1352">
        <v>1</v>
      </c>
      <c r="AC17" s="1352">
        <v>1</v>
      </c>
    </row>
    <row r="18" spans="1:29" ht="28.5">
      <c r="A18" s="379"/>
      <c r="B18" s="1130" t="s">
        <v>1812</v>
      </c>
      <c r="C18" s="1898" t="str">
        <f>IF(B1="工业",估价对象房地状况!G6,估价对象房地状况!C8)</f>
        <v>估价对象所在区域基础设施水平</v>
      </c>
      <c r="D18" s="406">
        <v>100</v>
      </c>
      <c r="E18" s="403"/>
      <c r="F18" s="409">
        <f>SUMIF(65:65,E19,66:66)-SUMIF(65:65,C19,66:66)+100</f>
        <v>100</v>
      </c>
      <c r="G18" s="403"/>
      <c r="H18" s="406">
        <f>SUMIF(65:65,G19,66:66)-SUMIF(65:65,C19,66:66)+100</f>
        <v>100</v>
      </c>
      <c r="I18" s="408"/>
      <c r="J18" s="406">
        <f>SUMIF(65:65,I19,66:66)-SUMIF(65:65,C19,66:66)+100</f>
        <v>100</v>
      </c>
      <c r="K18" s="562">
        <f>'比较法-车位'!K18</f>
        <v>1</v>
      </c>
      <c r="L18" s="2718"/>
      <c r="M18" s="2712"/>
      <c r="N18" s="2712"/>
      <c r="O18" s="2770"/>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79"/>
      <c r="B19" s="1130"/>
      <c r="C19" s="1899" t="s">
        <v>3448</v>
      </c>
      <c r="D19" s="401"/>
      <c r="E19" s="1899" t="s">
        <v>3448</v>
      </c>
      <c r="F19" s="404"/>
      <c r="G19" s="1899" t="s">
        <v>3448</v>
      </c>
      <c r="H19" s="399"/>
      <c r="I19" s="1899" t="s">
        <v>3448</v>
      </c>
      <c r="J19" s="399"/>
      <c r="K19" s="1129"/>
      <c r="L19" s="2718"/>
      <c r="M19" s="2712"/>
      <c r="N19" s="2712"/>
      <c r="O19" s="2770"/>
      <c r="P19" s="3688"/>
      <c r="Q19" s="1351"/>
      <c r="R19" s="704"/>
      <c r="S19" s="705"/>
      <c r="T19" s="704"/>
      <c r="U19" s="705"/>
      <c r="V19" s="704"/>
      <c r="W19" s="705"/>
      <c r="X19" s="1354"/>
      <c r="Y19" s="3688"/>
      <c r="Z19" s="1355"/>
      <c r="AA19" s="1352">
        <v>1</v>
      </c>
      <c r="AB19" s="1352">
        <v>1</v>
      </c>
      <c r="AC19" s="1352">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103</v>
      </c>
      <c r="G20" s="408"/>
      <c r="H20" s="401">
        <f>SUMIF(67:67,G21,68:68)-SUMIF(67:67,C21,68:68)+100</f>
        <v>103</v>
      </c>
      <c r="I20" s="403"/>
      <c r="J20" s="401">
        <f>SUMIF(67:67,I21,68:68)-SUMIF(67:67,C21,68:68)+100</f>
        <v>100</v>
      </c>
      <c r="K20" s="562">
        <f>'比较法-车位'!K20</f>
        <v>3</v>
      </c>
      <c r="L20" s="2718"/>
      <c r="M20" s="2712"/>
      <c r="N20" s="2712"/>
      <c r="O20" s="2770"/>
      <c r="P20" s="3688"/>
      <c r="Q20" s="1351" t="str">
        <f>B20</f>
        <v>自然及人文环境</v>
      </c>
      <c r="R20" s="704" t="s">
        <v>14</v>
      </c>
      <c r="S20" s="705">
        <f>F20</f>
        <v>103</v>
      </c>
      <c r="T20" s="704" t="s">
        <v>14</v>
      </c>
      <c r="U20" s="705">
        <f>H20</f>
        <v>103</v>
      </c>
      <c r="V20" s="704" t="s">
        <v>14</v>
      </c>
      <c r="W20" s="705">
        <f>J20</f>
        <v>100</v>
      </c>
      <c r="X20" s="1354"/>
      <c r="Y20" s="3688"/>
      <c r="Z20" s="1355" t="str">
        <f>Q20</f>
        <v>自然及人文环境</v>
      </c>
      <c r="AA20" s="1352">
        <f t="shared" si="3"/>
        <v>0.970873786407767</v>
      </c>
      <c r="AB20" s="1352">
        <f t="shared" si="4"/>
        <v>0.970873786407767</v>
      </c>
      <c r="AC20" s="1352">
        <f t="shared" si="5"/>
        <v>1</v>
      </c>
    </row>
    <row r="21" spans="1:29" ht="15">
      <c r="A21" s="379"/>
      <c r="B21" s="407"/>
      <c r="C21" s="398" t="s">
        <v>3449</v>
      </c>
      <c r="D21" s="399"/>
      <c r="E21" s="398" t="s">
        <v>3447</v>
      </c>
      <c r="F21" s="400"/>
      <c r="G21" s="398" t="s">
        <v>3447</v>
      </c>
      <c r="H21" s="399"/>
      <c r="I21" s="398" t="s">
        <v>3449</v>
      </c>
      <c r="J21" s="399"/>
      <c r="K21" s="563"/>
      <c r="L21" s="2718"/>
      <c r="M21" s="2712"/>
      <c r="N21" s="2712"/>
      <c r="O21" s="2770"/>
      <c r="P21" s="3688"/>
      <c r="Q21" s="1351"/>
      <c r="R21" s="704"/>
      <c r="S21" s="705"/>
      <c r="T21" s="704"/>
      <c r="U21" s="705"/>
      <c r="V21" s="704"/>
      <c r="W21" s="705"/>
      <c r="X21" s="1354"/>
      <c r="Y21" s="3688"/>
      <c r="Z21" s="1355"/>
      <c r="AA21" s="1352">
        <v>1</v>
      </c>
      <c r="AB21" s="1352">
        <v>1</v>
      </c>
      <c r="AC21" s="1352">
        <v>1</v>
      </c>
    </row>
    <row r="22" spans="1:29" ht="15">
      <c r="A22" s="379"/>
      <c r="B22" s="402" t="s">
        <v>1834</v>
      </c>
      <c r="C22" s="564"/>
      <c r="D22" s="401">
        <v>100</v>
      </c>
      <c r="E22" s="564"/>
      <c r="F22" s="412">
        <f>SUMIF(69:69,E22,70:70)-SUMIF(69:69,C22,70:70)+100</f>
        <v>100</v>
      </c>
      <c r="G22" s="564"/>
      <c r="H22" s="386">
        <f>SUMIF(69:69,G22,70:70)-SUMIF(69:69,C22,70:70)+100</f>
        <v>100</v>
      </c>
      <c r="I22" s="564"/>
      <c r="J22" s="386">
        <f>SUMIF(69:69,I22,70:70)-SUMIF(69:69,C22,70:70)+100</f>
        <v>100</v>
      </c>
      <c r="K22" s="560"/>
      <c r="L22" s="2718"/>
      <c r="M22" s="2712"/>
      <c r="N22" s="2712"/>
      <c r="O22" s="2770"/>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1"/>
      <c r="L23" s="2718"/>
      <c r="M23" s="2712"/>
      <c r="N23" s="2712"/>
      <c r="O23" s="2770"/>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1"/>
      <c r="L24" s="2718"/>
      <c r="M24" s="2712"/>
      <c r="N24" s="2712"/>
      <c r="O24" s="2770"/>
      <c r="P24" s="3688"/>
      <c r="Q24" s="1351">
        <f t="shared" ref="Q24:Q34"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3"/>
      <c r="M25" s="2714"/>
      <c r="N25" s="2714"/>
      <c r="O25" s="2768"/>
      <c r="P25" s="3688"/>
      <c r="Q25" s="1342">
        <f t="shared" si="11"/>
        <v>111</v>
      </c>
      <c r="R25" s="700" t="s">
        <v>14</v>
      </c>
      <c r="S25" s="701">
        <f>F25</f>
        <v>100</v>
      </c>
      <c r="T25" s="700" t="s">
        <v>14</v>
      </c>
      <c r="U25" s="701">
        <f>H25</f>
        <v>100</v>
      </c>
      <c r="V25" s="700" t="s">
        <v>14</v>
      </c>
      <c r="W25" s="701">
        <f>J25</f>
        <v>100</v>
      </c>
      <c r="X25" s="702"/>
      <c r="Y25" s="3688"/>
      <c r="Z25" s="52">
        <f>Q25</f>
        <v>111</v>
      </c>
      <c r="AA25" s="1352">
        <f>D25/F25</f>
        <v>1</v>
      </c>
      <c r="AB25" s="1352">
        <f>D25/H25</f>
        <v>1</v>
      </c>
      <c r="AC25" s="1352">
        <f>D25/J25</f>
        <v>1</v>
      </c>
    </row>
    <row r="26" spans="1:29" ht="28.5">
      <c r="A26" s="417" t="s">
        <v>1693</v>
      </c>
      <c r="B26" s="63" t="s">
        <v>1837</v>
      </c>
      <c r="C26" s="3474" t="s">
        <v>3451</v>
      </c>
      <c r="D26" s="418">
        <v>100</v>
      </c>
      <c r="E26" s="3474" t="s">
        <v>3451</v>
      </c>
      <c r="F26" s="614">
        <f>SUMIF(77:77,E26,78:78)-SUMIF(77:77,C26,78:78)+100</f>
        <v>100</v>
      </c>
      <c r="G26" s="3474" t="s">
        <v>3451</v>
      </c>
      <c r="H26" s="418">
        <f>SUMIF(77:77,G26,78:78)-SUMIF(77:77,C26,78:78)+100</f>
        <v>100</v>
      </c>
      <c r="I26" s="3474" t="s">
        <v>3451</v>
      </c>
      <c r="J26" s="418">
        <f>SUMIF(77:77,I26,78:78)-SUMIF(77:77,C26,78:78)+100</f>
        <v>100</v>
      </c>
      <c r="K26" s="560"/>
      <c r="L26" s="2718"/>
      <c r="M26" s="2712"/>
      <c r="N26" s="2712"/>
      <c r="O26" s="2770"/>
      <c r="P26" s="3689"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0" t="s">
        <v>1695</v>
      </c>
      <c r="Z26" s="1355" t="str">
        <f t="shared" ref="Z26:Z34" si="15">Q26</f>
        <v>公共部分装修</v>
      </c>
      <c r="AA26" s="1352">
        <f t="shared" si="3"/>
        <v>1</v>
      </c>
      <c r="AB26" s="1352">
        <f t="shared" si="4"/>
        <v>1</v>
      </c>
      <c r="AC26" s="1352">
        <f t="shared" si="5"/>
        <v>1</v>
      </c>
    </row>
    <row r="27" spans="1:29" s="422" customFormat="1" ht="15">
      <c r="A27" s="419"/>
      <c r="B27" s="375" t="s">
        <v>1838</v>
      </c>
      <c r="C27" s="3475">
        <v>1</v>
      </c>
      <c r="D27" s="127">
        <v>100</v>
      </c>
      <c r="E27" s="3475">
        <v>1</v>
      </c>
      <c r="F27" s="412">
        <f>LOOKUP(E27,80:80,81:81)-LOOKUP(C27,80:80,81:81)+100</f>
        <v>100</v>
      </c>
      <c r="G27" s="3475">
        <v>1</v>
      </c>
      <c r="H27" s="386">
        <f>LOOKUP(G27,80:80,81:81)-LOOKUP(C27,80:80,81:81)+100</f>
        <v>100</v>
      </c>
      <c r="I27" s="3475">
        <v>1</v>
      </c>
      <c r="J27" s="386">
        <f>LOOKUP(I27,80:80,81:81)-LOOKUP(C27,80:80,81:81)+100</f>
        <v>100</v>
      </c>
      <c r="K27" s="560"/>
      <c r="L27" s="2717"/>
      <c r="M27" s="2719"/>
      <c r="N27" s="2719"/>
      <c r="O27" s="2771"/>
      <c r="P27" s="3690"/>
      <c r="Q27" s="706" t="str">
        <f t="shared" si="11"/>
        <v>成新率</v>
      </c>
      <c r="R27" s="707" t="s">
        <v>14</v>
      </c>
      <c r="S27" s="708">
        <f t="shared" si="12"/>
        <v>100</v>
      </c>
      <c r="T27" s="707" t="s">
        <v>14</v>
      </c>
      <c r="U27" s="708">
        <f t="shared" si="13"/>
        <v>100</v>
      </c>
      <c r="V27" s="707" t="s">
        <v>14</v>
      </c>
      <c r="W27" s="708">
        <f t="shared" si="14"/>
        <v>100</v>
      </c>
      <c r="X27" s="709"/>
      <c r="Y27" s="3690"/>
      <c r="Z27" s="710" t="str">
        <f t="shared" si="15"/>
        <v>成新率</v>
      </c>
      <c r="AA27" s="1352">
        <f t="shared" si="3"/>
        <v>1</v>
      </c>
      <c r="AB27" s="1352">
        <f t="shared" si="4"/>
        <v>1</v>
      </c>
      <c r="AC27" s="1352">
        <f t="shared" si="5"/>
        <v>1</v>
      </c>
    </row>
    <row r="28" spans="1:29" ht="15">
      <c r="A28" s="423"/>
      <c r="B28" s="375" t="s">
        <v>1839</v>
      </c>
      <c r="C28" s="3476" t="s">
        <v>3452</v>
      </c>
      <c r="D28" s="386">
        <v>100</v>
      </c>
      <c r="E28" s="3476" t="s">
        <v>3452</v>
      </c>
      <c r="F28" s="412">
        <f>SUMIF(82:82,E28,83:83)-SUMIF(82:82,C28,83:83)+100</f>
        <v>100</v>
      </c>
      <c r="G28" s="3476" t="s">
        <v>3452</v>
      </c>
      <c r="H28" s="386">
        <f>SUMIF(82:82,G28,83:83)-SUMIF(82:82,C28,83:83)+100</f>
        <v>100</v>
      </c>
      <c r="I28" s="3476" t="s">
        <v>3452</v>
      </c>
      <c r="J28" s="386">
        <f>SUMIF(82:82,I28,83:83)-SUMIF(82:82,C28,83:83)+100</f>
        <v>100</v>
      </c>
      <c r="K28" s="560"/>
      <c r="L28" s="2718"/>
      <c r="M28" s="2712"/>
      <c r="N28" s="2712"/>
      <c r="O28" s="2770"/>
      <c r="P28" s="3690"/>
      <c r="Q28" s="1351" t="str">
        <f t="shared" si="11"/>
        <v>物业等级</v>
      </c>
      <c r="R28" s="704" t="s">
        <v>14</v>
      </c>
      <c r="S28" s="705">
        <f t="shared" si="12"/>
        <v>100</v>
      </c>
      <c r="T28" s="704" t="s">
        <v>14</v>
      </c>
      <c r="U28" s="705">
        <f t="shared" si="13"/>
        <v>100</v>
      </c>
      <c r="V28" s="704" t="s">
        <v>14</v>
      </c>
      <c r="W28" s="705">
        <f t="shared" si="14"/>
        <v>100</v>
      </c>
      <c r="X28" s="1354"/>
      <c r="Y28" s="3690"/>
      <c r="Z28" s="1355" t="str">
        <f t="shared" si="15"/>
        <v>物业等级</v>
      </c>
      <c r="AA28" s="1352">
        <f t="shared" si="3"/>
        <v>1</v>
      </c>
      <c r="AB28" s="1352">
        <f t="shared" si="4"/>
        <v>1</v>
      </c>
      <c r="AC28" s="1352">
        <f t="shared" si="5"/>
        <v>1</v>
      </c>
    </row>
    <row r="29" spans="1:29" ht="15">
      <c r="A29" s="423"/>
      <c r="B29" s="375" t="s">
        <v>1859</v>
      </c>
      <c r="C29" s="3477"/>
      <c r="D29" s="386">
        <v>100</v>
      </c>
      <c r="E29" s="3477"/>
      <c r="F29" s="412">
        <f>SUMIF(84:84,E29,85:85)-SUMIF(84:84,C29,85:85)+100</f>
        <v>100</v>
      </c>
      <c r="G29" s="3477"/>
      <c r="H29" s="386">
        <f>SUMIF(84:84,G29,85:85)-SUMIF(84:84,C29,85:85)+100</f>
        <v>100</v>
      </c>
      <c r="I29" s="3477"/>
      <c r="J29" s="386">
        <f>SUMIF(84:84,I29,85:85)-SUMIF(84:84,C29,85:85)+100</f>
        <v>100</v>
      </c>
      <c r="K29" s="560"/>
      <c r="L29" s="2718"/>
      <c r="M29" s="2712"/>
      <c r="N29" s="2712"/>
      <c r="O29" s="2770"/>
      <c r="P29" s="3690"/>
      <c r="Q29" s="1351" t="str">
        <f t="shared" si="11"/>
        <v>有无电梯</v>
      </c>
      <c r="R29" s="704" t="s">
        <v>14</v>
      </c>
      <c r="S29" s="705">
        <f t="shared" si="12"/>
        <v>100</v>
      </c>
      <c r="T29" s="704" t="s">
        <v>14</v>
      </c>
      <c r="U29" s="705">
        <f t="shared" si="13"/>
        <v>100</v>
      </c>
      <c r="V29" s="704" t="s">
        <v>14</v>
      </c>
      <c r="W29" s="705">
        <f t="shared" si="14"/>
        <v>100</v>
      </c>
      <c r="X29" s="1354"/>
      <c r="Y29" s="3690"/>
      <c r="Z29" s="1355" t="str">
        <f t="shared" si="15"/>
        <v>有无电梯</v>
      </c>
      <c r="AA29" s="1352">
        <f t="shared" si="3"/>
        <v>1</v>
      </c>
      <c r="AB29" s="1352">
        <f t="shared" si="4"/>
        <v>1</v>
      </c>
      <c r="AC29" s="1352">
        <f t="shared" si="5"/>
        <v>1</v>
      </c>
    </row>
    <row r="30" spans="1:29" ht="15">
      <c r="A30" s="423"/>
      <c r="B30" s="375" t="s">
        <v>1860</v>
      </c>
      <c r="C30" s="3470">
        <v>30</v>
      </c>
      <c r="D30" s="386">
        <v>100</v>
      </c>
      <c r="E30" s="3470">
        <v>30</v>
      </c>
      <c r="F30" s="412">
        <f>LOOKUP(E30,87:87,88:88)-LOOKUP(C30,87:87,88:88)+100</f>
        <v>100</v>
      </c>
      <c r="G30" s="3470">
        <v>30</v>
      </c>
      <c r="H30" s="386">
        <f>LOOKUP(G30,87:87,88:88)-LOOKUP(C30,87:87,88:88)+100</f>
        <v>100</v>
      </c>
      <c r="I30" s="3470">
        <v>30</v>
      </c>
      <c r="J30" s="386">
        <f>LOOKUP(I30,87:87,88:88)-LOOKUP(C30,87:87,88:88)+100</f>
        <v>100</v>
      </c>
      <c r="K30" s="561"/>
      <c r="L30" s="2718"/>
      <c r="M30" s="2712"/>
      <c r="N30" s="2712"/>
      <c r="O30" s="2770"/>
      <c r="P30" s="3690"/>
      <c r="Q30" s="1351" t="str">
        <f t="shared" si="11"/>
        <v>建筑面积</v>
      </c>
      <c r="R30" s="704" t="s">
        <v>14</v>
      </c>
      <c r="S30" s="705">
        <f t="shared" si="12"/>
        <v>100</v>
      </c>
      <c r="T30" s="704" t="s">
        <v>14</v>
      </c>
      <c r="U30" s="705">
        <f t="shared" si="13"/>
        <v>100</v>
      </c>
      <c r="V30" s="704" t="s">
        <v>14</v>
      </c>
      <c r="W30" s="705">
        <f t="shared" si="14"/>
        <v>100</v>
      </c>
      <c r="X30" s="1354"/>
      <c r="Y30" s="3690"/>
      <c r="Z30" s="1355" t="str">
        <f t="shared" si="15"/>
        <v>建筑面积</v>
      </c>
      <c r="AA30" s="1352">
        <f t="shared" si="3"/>
        <v>1</v>
      </c>
      <c r="AB30" s="1352">
        <f t="shared" si="4"/>
        <v>1</v>
      </c>
      <c r="AC30" s="1352">
        <f t="shared" si="5"/>
        <v>1</v>
      </c>
    </row>
    <row r="31" spans="1:29" s="108" customFormat="1" ht="15">
      <c r="A31" s="424"/>
      <c r="B31" s="375" t="s">
        <v>1861</v>
      </c>
      <c r="C31" s="3477"/>
      <c r="D31" s="127">
        <v>100</v>
      </c>
      <c r="E31" s="3477"/>
      <c r="F31" s="412">
        <f>SUMIF(89:89,E31,90:90)-SUMIF(89:89,C31,90:90)+100</f>
        <v>100</v>
      </c>
      <c r="G31" s="3477"/>
      <c r="H31" s="386">
        <f>SUMIF(89:89,G31,90:90)-SUMIF(89:89,C31,90:90)+100</f>
        <v>100</v>
      </c>
      <c r="I31" s="3477"/>
      <c r="J31" s="386">
        <f>SUMIF(89:89,I31,90:90)-SUMIF(89:89,C31,90:90)+100</f>
        <v>100</v>
      </c>
      <c r="K31" s="560"/>
      <c r="L31" s="2713"/>
      <c r="M31" s="2714"/>
      <c r="N31" s="2714"/>
      <c r="O31" s="2768"/>
      <c r="P31" s="3690"/>
      <c r="Q31" s="1342" t="str">
        <f t="shared" si="11"/>
        <v>是否封闭</v>
      </c>
      <c r="R31" s="700" t="s">
        <v>14</v>
      </c>
      <c r="S31" s="701">
        <f t="shared" si="12"/>
        <v>100</v>
      </c>
      <c r="T31" s="700" t="s">
        <v>14</v>
      </c>
      <c r="U31" s="701">
        <f t="shared" si="13"/>
        <v>100</v>
      </c>
      <c r="V31" s="700" t="s">
        <v>14</v>
      </c>
      <c r="W31" s="701">
        <f t="shared" si="14"/>
        <v>100</v>
      </c>
      <c r="X31" s="702"/>
      <c r="Y31" s="3690"/>
      <c r="Z31" s="52" t="str">
        <f t="shared" si="15"/>
        <v>是否封闭</v>
      </c>
      <c r="AA31" s="703">
        <f t="shared" si="3"/>
        <v>1</v>
      </c>
      <c r="AB31" s="703">
        <f t="shared" si="4"/>
        <v>1</v>
      </c>
      <c r="AC31" s="703">
        <f t="shared" si="5"/>
        <v>1</v>
      </c>
    </row>
    <row r="32" spans="1:29" ht="15">
      <c r="A32" s="423"/>
      <c r="B32" s="3472" t="s">
        <v>3466</v>
      </c>
      <c r="C32" s="3473" t="s">
        <v>3467</v>
      </c>
      <c r="D32" s="386">
        <v>100</v>
      </c>
      <c r="E32" s="3473" t="s">
        <v>3467</v>
      </c>
      <c r="F32" s="412">
        <f>SUMIF(91:91,E32,92:92)-SUMIF(91:91,C32,92:92)+100</f>
        <v>100</v>
      </c>
      <c r="G32" s="3473" t="s">
        <v>3468</v>
      </c>
      <c r="H32" s="386">
        <f>SUMIF(91:91,G32,92:92)-SUMIF(91:91,C32,92:92)+100</f>
        <v>102</v>
      </c>
      <c r="I32" s="3473" t="s">
        <v>3467</v>
      </c>
      <c r="J32" s="386">
        <f>SUMIF(91:91,I32,92:92)-SUMIF(91:91,C32,92:92)+100</f>
        <v>100</v>
      </c>
      <c r="K32" s="561"/>
      <c r="L32" s="2718"/>
      <c r="M32" s="2712"/>
      <c r="N32" s="2712"/>
      <c r="O32" s="2770"/>
      <c r="P32" s="3690" t="s">
        <v>1695</v>
      </c>
      <c r="Q32" s="1351" t="str">
        <f t="shared" si="11"/>
        <v>现房</v>
      </c>
      <c r="R32" s="704" t="s">
        <v>14</v>
      </c>
      <c r="S32" s="705">
        <f t="shared" si="12"/>
        <v>100</v>
      </c>
      <c r="T32" s="704" t="s">
        <v>14</v>
      </c>
      <c r="U32" s="705">
        <f t="shared" si="13"/>
        <v>102</v>
      </c>
      <c r="V32" s="704" t="s">
        <v>14</v>
      </c>
      <c r="W32" s="705">
        <f t="shared" si="14"/>
        <v>100</v>
      </c>
      <c r="X32" s="1354"/>
      <c r="Y32" s="3690" t="s">
        <v>1695</v>
      </c>
      <c r="Z32" s="1355" t="str">
        <f t="shared" si="15"/>
        <v>现房</v>
      </c>
      <c r="AA32" s="1352">
        <f t="shared" si="3"/>
        <v>1</v>
      </c>
      <c r="AB32" s="1352">
        <f t="shared" si="4"/>
        <v>0.98039215686274506</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1"/>
      <c r="L33" s="2718"/>
      <c r="M33" s="2712"/>
      <c r="N33" s="2712"/>
      <c r="O33" s="2770"/>
      <c r="P33" s="3690"/>
      <c r="Q33" s="1351">
        <f t="shared" si="11"/>
        <v>111</v>
      </c>
      <c r="R33" s="704" t="s">
        <v>14</v>
      </c>
      <c r="S33" s="705">
        <f t="shared" si="12"/>
        <v>100</v>
      </c>
      <c r="T33" s="704" t="s">
        <v>14</v>
      </c>
      <c r="U33" s="705">
        <f t="shared" si="13"/>
        <v>100</v>
      </c>
      <c r="V33" s="704" t="s">
        <v>14</v>
      </c>
      <c r="W33" s="705">
        <f t="shared" si="14"/>
        <v>100</v>
      </c>
      <c r="X33" s="1354"/>
      <c r="Y33" s="3690"/>
      <c r="Z33" s="1355">
        <f t="shared" si="15"/>
        <v>111</v>
      </c>
      <c r="AA33" s="1352">
        <f t="shared" si="3"/>
        <v>1</v>
      </c>
      <c r="AB33" s="1352">
        <f t="shared" si="4"/>
        <v>1</v>
      </c>
      <c r="AC33" s="1352">
        <f t="shared" si="5"/>
        <v>1</v>
      </c>
    </row>
    <row r="34" spans="1:30" ht="15.75" thickBot="1">
      <c r="A34" s="428"/>
      <c r="B34" s="1893">
        <v>111</v>
      </c>
      <c r="C34" s="388"/>
      <c r="D34" s="389">
        <v>100</v>
      </c>
      <c r="E34" s="1973"/>
      <c r="F34" s="390">
        <f>SUMIF(95:95,E34,96:96)-SUMIF(95:95,C34,96:96)+100</f>
        <v>100</v>
      </c>
      <c r="G34" s="1973"/>
      <c r="H34" s="389">
        <f>SUMIF(95:95,G34,96:96)-SUMIF(95:95,C34,96:96)+100</f>
        <v>100</v>
      </c>
      <c r="I34" s="1973"/>
      <c r="J34" s="389">
        <f>SUMIF(95:95,I34,96:96)-SUMIF(95:95,C34,96:96)+100</f>
        <v>100</v>
      </c>
      <c r="K34" s="561"/>
      <c r="L34" s="2718"/>
      <c r="M34" s="2712"/>
      <c r="N34" s="2712"/>
      <c r="O34" s="2770"/>
      <c r="P34" s="3690"/>
      <c r="Q34" s="1351">
        <f t="shared" si="11"/>
        <v>111</v>
      </c>
      <c r="R34" s="704" t="s">
        <v>14</v>
      </c>
      <c r="S34" s="705">
        <f t="shared" si="12"/>
        <v>100</v>
      </c>
      <c r="T34" s="704" t="s">
        <v>14</v>
      </c>
      <c r="U34" s="705">
        <f t="shared" si="13"/>
        <v>100</v>
      </c>
      <c r="V34" s="704" t="s">
        <v>14</v>
      </c>
      <c r="W34" s="705">
        <f t="shared" si="14"/>
        <v>100</v>
      </c>
      <c r="X34" s="1354"/>
      <c r="Y34" s="3690"/>
      <c r="Z34" s="1355">
        <f t="shared" si="15"/>
        <v>111</v>
      </c>
      <c r="AA34" s="1352">
        <f t="shared" si="3"/>
        <v>1</v>
      </c>
      <c r="AB34" s="1352">
        <f t="shared" si="4"/>
        <v>1</v>
      </c>
      <c r="AC34" s="1352">
        <f t="shared" si="5"/>
        <v>1</v>
      </c>
    </row>
    <row r="35" spans="1:30" ht="15">
      <c r="A35" s="429" t="s">
        <v>1707</v>
      </c>
      <c r="B35" s="430"/>
      <c r="C35" s="1153" t="s">
        <v>0</v>
      </c>
      <c r="D35" s="1154"/>
      <c r="E35" s="1155">
        <v>11638</v>
      </c>
      <c r="F35" s="1156"/>
      <c r="G35" s="1157">
        <v>13272</v>
      </c>
      <c r="H35" s="1158"/>
      <c r="I35" s="1155">
        <v>12422</v>
      </c>
      <c r="J35" s="1158"/>
      <c r="K35" s="713"/>
      <c r="L35" s="2720"/>
      <c r="M35" s="2721"/>
      <c r="N35" s="2712"/>
      <c r="O35" s="2721"/>
      <c r="P35" s="3686" t="str">
        <f>A35</f>
        <v>成交单价（元/平方米）</v>
      </c>
      <c r="Q35" s="3686"/>
      <c r="R35" s="3751">
        <f>E35</f>
        <v>11638</v>
      </c>
      <c r="S35" s="3751"/>
      <c r="T35" s="3751">
        <f>G35</f>
        <v>13272</v>
      </c>
      <c r="U35" s="3751"/>
      <c r="V35" s="3751">
        <f>I35</f>
        <v>12422</v>
      </c>
      <c r="W35" s="3751"/>
      <c r="X35" s="689"/>
      <c r="Y35" s="711"/>
      <c r="Z35" s="689"/>
      <c r="AA35" s="689"/>
      <c r="AB35" s="689"/>
      <c r="AC35" s="689"/>
    </row>
    <row r="36" spans="1:30" ht="15.75" thickBot="1">
      <c r="A36" s="436" t="s">
        <v>1792</v>
      </c>
      <c r="B36" s="437"/>
      <c r="C36" s="1159">
        <f>R37</f>
        <v>12567</v>
      </c>
      <c r="D36" s="2315" t="s">
        <v>2137</v>
      </c>
      <c r="E36" s="1160">
        <f>R36</f>
        <v>11327</v>
      </c>
      <c r="F36" s="2316"/>
      <c r="G36" s="1159">
        <f>T36</f>
        <v>13298</v>
      </c>
      <c r="H36" s="2316"/>
      <c r="I36" s="1160">
        <f>V36</f>
        <v>13076</v>
      </c>
      <c r="J36" s="2316"/>
      <c r="K36" s="2318">
        <f>F36+H36+J36</f>
        <v>0</v>
      </c>
      <c r="L36" s="2720"/>
      <c r="M36" s="2721"/>
      <c r="N36" s="2712"/>
      <c r="O36" s="2721"/>
      <c r="P36" s="3686" t="str">
        <f>A36</f>
        <v>比较价值（元/平方米）</v>
      </c>
      <c r="Q36" s="3686"/>
      <c r="R36" s="3751">
        <f>IF(F1="售价",ROUND(PRODUCT(R35,AA7:AA34),0),ROUND(PRODUCT(R35,AA7:AA34),1))</f>
        <v>11327</v>
      </c>
      <c r="S36" s="3751"/>
      <c r="T36" s="3751">
        <f>IF(F1="售价",ROUND(PRODUCT(T35,AB7:AB34),0),ROUND(PRODUCT(T35,AB7:AB34),1))</f>
        <v>13298</v>
      </c>
      <c r="U36" s="3751"/>
      <c r="V36" s="3751">
        <f>IF(F1="售价",ROUND(PRODUCT(V35,AC7:AC34),0),ROUND(PRODUCT(V35,AC7:AC34),1))</f>
        <v>13076</v>
      </c>
      <c r="W36" s="3751"/>
      <c r="X36" s="689"/>
      <c r="Y36" s="689"/>
      <c r="Z36" s="689"/>
      <c r="AA36" s="689"/>
      <c r="AB36" s="689"/>
      <c r="AC36" s="689"/>
    </row>
    <row r="37" spans="1:30" ht="15.75" thickBot="1">
      <c r="A37" s="440" t="s">
        <v>1793</v>
      </c>
      <c r="B37" s="441"/>
      <c r="C37" s="1162">
        <f>R37</f>
        <v>12567</v>
      </c>
      <c r="D37" s="1162"/>
      <c r="E37" s="1162"/>
      <c r="F37" s="1162"/>
      <c r="G37" s="1162"/>
      <c r="H37" s="1162"/>
      <c r="I37" s="1162"/>
      <c r="J37" s="1162"/>
      <c r="K37" s="714"/>
      <c r="L37" s="2720"/>
      <c r="M37" s="2721"/>
      <c r="N37" s="2721"/>
      <c r="O37" s="2721"/>
      <c r="P37" s="3680" t="str">
        <f>A37</f>
        <v>估价对象XX用房的比较价值（楼面单价，元/平方米）</v>
      </c>
      <c r="Q37" s="3681"/>
      <c r="R37" s="3775">
        <f>IF(F1="售价",ROUND(IF(D36="简单平均",AVERAGE(R36:W36),R36*F36+T36*H36+V36*J36),0),ROUND(IF(D36="简单平均",AVERAGE(R36:V36),R36*F36+T36*H36+V36*J36),1))</f>
        <v>12567</v>
      </c>
      <c r="S37" s="3775"/>
      <c r="T37" s="3775"/>
      <c r="U37" s="3775"/>
      <c r="V37" s="3775"/>
      <c r="W37" s="3775"/>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f>IF(E35&lt;E36,E36/E35-1,E35/E36-1)</f>
        <v>2.7456519819899272E-2</v>
      </c>
      <c r="F40" s="448" t="str">
        <f>IF(OR(E40&gt;=0.3,E40&lt;=-0.3),"超过30%","")</f>
        <v/>
      </c>
      <c r="G40" s="447">
        <f>IF(G35&lt;G36,G36/G35-1,G35/G36-1)</f>
        <v>1.9590114526824021E-3</v>
      </c>
      <c r="H40" s="448" t="str">
        <f>IF(OR(G40&gt;=0.3,G40&lt;=-0.3),"超过30%","")</f>
        <v/>
      </c>
      <c r="I40" s="447">
        <f>IF(I35&lt;I36,I36/I35-1,I35/I36-1)</f>
        <v>5.2648526807277385E-2</v>
      </c>
      <c r="J40" s="448"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f>IF(E36&lt;G36,G36/E36-1,E36/G36-1)</f>
        <v>0.17400900503222383</v>
      </c>
      <c r="F41" s="448" t="str">
        <f>IF(OR(E41&gt;=0.2,E41&lt;=-0.2),"超过20%","")</f>
        <v/>
      </c>
      <c r="G41" s="447">
        <f>IF(G36&lt;I36,I36/G36-1,G36/I36-1)</f>
        <v>1.6977669011930319E-2</v>
      </c>
      <c r="H41" s="448" t="str">
        <f>IF(OR(G41&gt;=0.2,G41&lt;=-0.2),"超过20%","")</f>
        <v/>
      </c>
      <c r="I41" s="447">
        <f>IF(I36&lt;E36,E36/I36-1,I36/E36-1)</f>
        <v>0.15440981725081659</v>
      </c>
      <c r="J41" s="448"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f>IF(E35&lt;G35,G35/E35-1,E35/G35-1)</f>
        <v>0.14040213095033516</v>
      </c>
      <c r="F42" s="448" t="str">
        <f>IF(OR(E42&gt;=0.3,E42&lt;=-0.3),"超过30%","")</f>
        <v/>
      </c>
      <c r="G42" s="447">
        <f>IF(G35&lt;I35,I35/G35-1,G35/I35-1)</f>
        <v>6.8426984382547129E-2</v>
      </c>
      <c r="H42" s="448" t="str">
        <f>IF(OR(G42&gt;=0.3,G42&lt;=-0.3),"超过30%","")</f>
        <v/>
      </c>
      <c r="I42" s="447">
        <f>IF(I35&lt;E35,E35/I35-1,I35/E35-1)</f>
        <v>6.7365526722804603E-2</v>
      </c>
      <c r="J42" s="448"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1678</v>
      </c>
      <c r="B46" s="454"/>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2">
        <v>100</v>
      </c>
      <c r="D47" s="460">
        <v>100</v>
      </c>
      <c r="E47" s="460">
        <v>100</v>
      </c>
      <c r="F47" s="460">
        <v>100</v>
      </c>
      <c r="G47" s="460">
        <v>100</v>
      </c>
      <c r="H47" s="460">
        <v>100</v>
      </c>
      <c r="I47" s="460">
        <v>100</v>
      </c>
      <c r="J47" s="460">
        <v>100</v>
      </c>
      <c r="K47" s="460">
        <v>100</v>
      </c>
      <c r="L47" s="460">
        <v>100</v>
      </c>
      <c r="M47" s="460">
        <v>100</v>
      </c>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1718</v>
      </c>
      <c r="B51" s="476" t="s">
        <v>1684</v>
      </c>
      <c r="C51" s="477" t="str">
        <f>C9</f>
        <v>仓储</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95</v>
      </c>
      <c r="E62" s="492">
        <f>D62-$K14</f>
        <v>90</v>
      </c>
      <c r="F62" s="492">
        <f>E62-$K14</f>
        <v>85</v>
      </c>
      <c r="G62" s="492">
        <f>F62-$K14</f>
        <v>80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95</v>
      </c>
      <c r="E64" s="492">
        <f>D64-$K16</f>
        <v>90</v>
      </c>
      <c r="F64" s="492">
        <f>E64-$K16</f>
        <v>85</v>
      </c>
      <c r="G64" s="492">
        <f>F64-$K16</f>
        <v>80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99</v>
      </c>
      <c r="E66" s="492">
        <f>D66-$K18</f>
        <v>98</v>
      </c>
      <c r="F66" s="492">
        <f>E66-$K18</f>
        <v>97</v>
      </c>
      <c r="G66" s="492">
        <f>F66-$K18</f>
        <v>96</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97</v>
      </c>
      <c r="E68" s="492">
        <f>D68-$K20</f>
        <v>94</v>
      </c>
      <c r="F68" s="492">
        <f>E68-$K20</f>
        <v>91</v>
      </c>
      <c r="G68" s="492">
        <f>F68-$K20</f>
        <v>88</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0(含)-30</v>
      </c>
      <c r="D86" s="526" t="str">
        <f t="shared" si="21"/>
        <v>30(含)-60</v>
      </c>
      <c r="E86" s="526" t="str">
        <f t="shared" si="21"/>
        <v>60(含)-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v>0</v>
      </c>
      <c r="D87" s="543">
        <v>30</v>
      </c>
      <c r="E87" s="543">
        <v>60</v>
      </c>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t="str">
        <f>B32</f>
        <v>现房</v>
      </c>
      <c r="C91" s="3454" t="s">
        <v>3459</v>
      </c>
      <c r="D91" s="3454" t="s">
        <v>3458</v>
      </c>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v>100</v>
      </c>
      <c r="D92" s="484">
        <v>98</v>
      </c>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 sqref="D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3393</v>
      </c>
      <c r="D1" s="1361" t="s">
        <v>3984</v>
      </c>
      <c r="E1" s="1362" t="s">
        <v>678</v>
      </c>
      <c r="F1" s="1061">
        <f ca="1">J53</f>
        <v>36.932499999999997</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2169</v>
      </c>
      <c r="C2" s="1386" t="s">
        <v>805</v>
      </c>
      <c r="D2" s="1386"/>
      <c r="E2" s="1387"/>
      <c r="F2" s="1388"/>
      <c r="G2" s="2702"/>
      <c r="H2" s="2691"/>
      <c r="I2" s="2691"/>
      <c r="J2" s="2691"/>
      <c r="K2" s="2692"/>
      <c r="L2" s="2691"/>
      <c r="M2" s="2691"/>
    </row>
    <row r="3" spans="1:37" ht="18" customHeight="1" thickBot="1">
      <c r="A3" s="1389" t="s">
        <v>806</v>
      </c>
      <c r="B3" s="1390">
        <f ca="1">IF(ISERROR(B2*10000/F43),0,ROUND(B2*10000/F43,0))</f>
        <v>14679</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121</v>
      </c>
      <c r="D5" s="1363" t="s">
        <v>693</v>
      </c>
      <c r="E5" s="1070"/>
      <c r="F5" s="1071"/>
      <c r="G5" s="1383"/>
      <c r="H5" s="299">
        <v>1</v>
      </c>
      <c r="I5" s="300" t="s">
        <v>692</v>
      </c>
      <c r="J5" s="1069">
        <f ca="1">J6+J10+J12</f>
        <v>0</v>
      </c>
      <c r="K5" s="1363" t="s">
        <v>693</v>
      </c>
      <c r="L5" s="1070"/>
      <c r="M5" s="1071"/>
    </row>
    <row r="6" spans="1:37" ht="18" customHeight="1">
      <c r="A6" s="1068" t="s">
        <v>398</v>
      </c>
      <c r="B6" s="3724" t="s">
        <v>694</v>
      </c>
      <c r="C6" s="1073">
        <f ca="1">ROUND(F6*F8*F7*(1-F9)/10000,0)</f>
        <v>121</v>
      </c>
      <c r="D6" s="155" t="s">
        <v>2108</v>
      </c>
      <c r="E6" s="302" t="s">
        <v>696</v>
      </c>
      <c r="F6" s="303">
        <f ca="1">INDIRECT("'数据-取费表'!u"&amp;$G$1)</f>
        <v>2.5</v>
      </c>
      <c r="G6" s="1383"/>
      <c r="H6" s="1068" t="s">
        <v>398</v>
      </c>
      <c r="I6" s="3724" t="s">
        <v>694</v>
      </c>
      <c r="J6" s="301">
        <f ca="1">ROUND(M6*M8*M7*(1-M9)/10000,0)</f>
        <v>0</v>
      </c>
      <c r="K6" s="155" t="s">
        <v>2107</v>
      </c>
      <c r="L6" s="302" t="s">
        <v>696</v>
      </c>
      <c r="M6" s="303">
        <f ca="1">INDIRECT("'数据-取费表'!z"&amp;$G$1)</f>
        <v>0</v>
      </c>
    </row>
    <row r="7" spans="1:37" ht="18" customHeight="1">
      <c r="A7" s="1072"/>
      <c r="B7" s="3725"/>
      <c r="C7" s="1074"/>
      <c r="D7" s="307"/>
      <c r="E7" s="1075" t="s">
        <v>697</v>
      </c>
      <c r="F7" s="303">
        <f ca="1">IF(INDIRECT("'数据-取费表'!ah"&amp;$G$1)="",INDIRECT("'数据-取费表'!k"&amp;$G$1),INDIRECT("'数据-取费表'!ah"&amp;$G$1))</f>
        <v>1477.62</v>
      </c>
      <c r="G7" s="1383"/>
      <c r="H7" s="304"/>
      <c r="I7" s="3725"/>
      <c r="J7" s="306"/>
      <c r="K7" s="307"/>
      <c r="L7" s="302" t="s">
        <v>697</v>
      </c>
      <c r="M7" s="303">
        <f ca="1">F7</f>
        <v>1477.62</v>
      </c>
    </row>
    <row r="8" spans="1:37" ht="18" customHeight="1">
      <c r="A8" s="304"/>
      <c r="B8" s="3725"/>
      <c r="C8" s="306"/>
      <c r="D8" s="307"/>
      <c r="E8" s="302" t="s">
        <v>698</v>
      </c>
      <c r="F8" s="303">
        <f ca="1">INDIRECT("'数据-取费表'!ai"&amp;$G$1)</f>
        <v>365</v>
      </c>
      <c r="G8" s="1383"/>
      <c r="H8" s="304"/>
      <c r="I8" s="3725"/>
      <c r="J8" s="306"/>
      <c r="K8" s="307"/>
      <c r="L8" s="302" t="s">
        <v>698</v>
      </c>
      <c r="M8" s="303">
        <f ca="1">INDIRECT("'数据-取费表'!ai"&amp;$G$1)</f>
        <v>365</v>
      </c>
    </row>
    <row r="9" spans="1:37" ht="18" customHeight="1">
      <c r="A9" s="304"/>
      <c r="B9" s="3726"/>
      <c r="C9" s="306"/>
      <c r="D9" s="307"/>
      <c r="E9" s="302" t="s">
        <v>699</v>
      </c>
      <c r="F9" s="312">
        <f ca="1">INDIRECT("'数据-取费表'!w"&amp;$G$1)</f>
        <v>0.1</v>
      </c>
      <c r="G9" s="1383"/>
      <c r="H9" s="304"/>
      <c r="I9" s="372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t="s">
        <v>3473</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726</v>
      </c>
      <c r="D13" s="1080" t="s">
        <v>705</v>
      </c>
      <c r="E13" s="1080" t="s">
        <v>706</v>
      </c>
      <c r="F13" s="1081">
        <f ca="1">INDIRECT("'数据-取费表'!y"&amp;$G$1)</f>
        <v>1</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517</v>
      </c>
      <c r="D14" s="1344" t="s">
        <v>708</v>
      </c>
      <c r="E14" s="1341"/>
      <c r="F14" s="319"/>
      <c r="G14" s="1383"/>
      <c r="H14" s="981" t="s">
        <v>398</v>
      </c>
      <c r="I14" s="302" t="s">
        <v>709</v>
      </c>
      <c r="J14" s="21">
        <f ca="1">C29</f>
        <v>726</v>
      </c>
      <c r="K14" s="12"/>
      <c r="L14" s="806"/>
      <c r="M14" s="807"/>
    </row>
    <row r="15" spans="1:37" s="1396" customFormat="1" ht="18" customHeight="1" thickBot="1">
      <c r="A15" s="981" t="s">
        <v>399</v>
      </c>
      <c r="B15" s="302" t="s">
        <v>710</v>
      </c>
      <c r="C15" s="21">
        <f ca="1">ROUND(C14*F15,0)</f>
        <v>16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7</v>
      </c>
      <c r="K16" s="1086" t="s">
        <v>715</v>
      </c>
      <c r="L16" s="1087"/>
      <c r="M16" s="1071"/>
    </row>
    <row r="17" spans="1:37" s="1396" customFormat="1" ht="18" customHeight="1">
      <c r="A17" s="981" t="s">
        <v>681</v>
      </c>
      <c r="B17" s="302" t="s">
        <v>716</v>
      </c>
      <c r="C17" s="21">
        <f ca="1">ROUND(F17*(F43+INDIRECT("'数据-取费表'!S"&amp;$G$1))/10000,0)</f>
        <v>30</v>
      </c>
      <c r="D17" s="302" t="s">
        <v>717</v>
      </c>
      <c r="E17" s="302" t="s">
        <v>718</v>
      </c>
      <c r="F17" s="23">
        <f>'数据-取费表'!B35</f>
        <v>200</v>
      </c>
      <c r="G17" s="1395"/>
      <c r="H17" s="981" t="s">
        <v>398</v>
      </c>
      <c r="I17" s="302" t="s">
        <v>719</v>
      </c>
      <c r="J17" s="2314">
        <f ca="1">ROUND(IF(AND(项目基本情况!B11="自然人",项目基本情况!B10="北京市"),J6*M17/(1+'数据-取费表'!C42),J18+J19+J20),2)</f>
        <v>0.06</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571</v>
      </c>
      <c r="D19" s="131" t="s">
        <v>726</v>
      </c>
      <c r="E19" s="1359"/>
      <c r="F19" s="23"/>
      <c r="G19" s="1383"/>
      <c r="H19" s="981"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1" t="s">
        <v>402</v>
      </c>
      <c r="B20" s="302" t="s">
        <v>728</v>
      </c>
      <c r="C20" s="21">
        <f ca="1">ROUND(C19*F20,0)</f>
        <v>11</v>
      </c>
      <c r="D20" s="323" t="s">
        <v>729</v>
      </c>
      <c r="E20" s="302" t="s">
        <v>712</v>
      </c>
      <c r="F20" s="322">
        <f>'数据-取费表'!B37</f>
        <v>0.02</v>
      </c>
      <c r="G20" s="1395"/>
      <c r="H20" s="981" t="s">
        <v>680</v>
      </c>
      <c r="I20" s="155" t="s">
        <v>730</v>
      </c>
      <c r="J20" s="22">
        <f ca="1">ROUND(M20*M21/10000,2)</f>
        <v>0.06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379.09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7.26</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31</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-7</v>
      </c>
      <c r="K25" s="1094" t="s">
        <v>753</v>
      </c>
      <c r="L25" s="1095"/>
      <c r="M25" s="1096"/>
    </row>
    <row r="26" spans="1:37">
      <c r="A26" s="981" t="s">
        <v>397</v>
      </c>
      <c r="B26" s="302" t="s">
        <v>754</v>
      </c>
      <c r="C26" s="21">
        <f ca="1">ROUND((C19+C20)*F26,0)</f>
        <v>58</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726</v>
      </c>
      <c r="D29" s="1091"/>
      <c r="E29" s="1089"/>
      <c r="F29" s="1092"/>
      <c r="G29" s="1395"/>
      <c r="H29" s="334" t="s">
        <v>396</v>
      </c>
      <c r="I29" s="335" t="s">
        <v>768</v>
      </c>
      <c r="J29" s="336">
        <f ca="1">ROUND(J26/(1+F40)^F41,0)</f>
        <v>0</v>
      </c>
      <c r="K29" s="337" t="s">
        <v>769</v>
      </c>
      <c r="L29" s="338"/>
      <c r="M29" s="339">
        <f ca="1">INDIRECT("'数据-取费表'!k"&amp;$G$1)</f>
        <v>1477.62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29</v>
      </c>
      <c r="D30" s="1086" t="s">
        <v>715</v>
      </c>
      <c r="E30" s="1087"/>
      <c r="F30" s="1071"/>
      <c r="G30" s="1383"/>
      <c r="H30" s="2693"/>
      <c r="I30" s="1397"/>
      <c r="J30" s="1398"/>
      <c r="K30" s="2471"/>
      <c r="L30" s="2694"/>
      <c r="M30" s="2695"/>
    </row>
    <row r="31" spans="1:37" ht="18" customHeight="1">
      <c r="A31" s="981" t="s">
        <v>398</v>
      </c>
      <c r="B31" s="302" t="s">
        <v>719</v>
      </c>
      <c r="C31" s="2314">
        <f ca="1">ROUND(IF(AND(项目基本情况!B11="自然人",项目基本情况!B10="北京市"),C6*F31/(1+'数据-取费表'!C42),C32+C33+C34),2)</f>
        <v>20.23</v>
      </c>
      <c r="D31" s="1344" t="s">
        <v>720</v>
      </c>
      <c r="E31" s="1343" t="s">
        <v>770</v>
      </c>
      <c r="F31" s="2313"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2" t="s">
        <v>723</v>
      </c>
      <c r="C32" s="21">
        <f ca="1">IF(项目基本情况!B11="自然人","——",ROUND(C6*F32/(1+'数据-取费表'!C42),2))</f>
        <v>6.34</v>
      </c>
      <c r="D32" s="1343" t="s">
        <v>724</v>
      </c>
      <c r="E32" s="302" t="s">
        <v>712</v>
      </c>
      <c r="F32" s="331">
        <f>'数据-取费表'!B41</f>
        <v>5.5000000000000007E-2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13.83</v>
      </c>
      <c r="D33" s="1369" t="s">
        <v>3338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0.06</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379.09</v>
      </c>
      <c r="G35" s="1383"/>
      <c r="H35" s="2693"/>
      <c r="I35" s="1397"/>
      <c r="J35" s="1398"/>
      <c r="K35" s="2697"/>
      <c r="L35" s="2696"/>
      <c r="M35" s="2696"/>
    </row>
    <row r="36" spans="1:18" ht="18" customHeight="1">
      <c r="A36" s="1101" t="s">
        <v>402</v>
      </c>
      <c r="B36" s="302" t="s">
        <v>738</v>
      </c>
      <c r="C36" s="21">
        <f ca="1">ROUND(C29*F36,2)</f>
        <v>7.26</v>
      </c>
      <c r="D36" s="1343" t="s">
        <v>771</v>
      </c>
      <c r="E36" s="302" t="s">
        <v>712</v>
      </c>
      <c r="F36" s="328">
        <f ca="1">INDIRECT("'数据-取费表'!Ak"&amp;$G$1)</f>
        <v>0.01</v>
      </c>
      <c r="G36" s="1383"/>
      <c r="H36" s="2696"/>
      <c r="I36" s="1397"/>
      <c r="J36" s="1398"/>
      <c r="K36" s="2540"/>
      <c r="L36" s="2696"/>
      <c r="M36" s="2696"/>
    </row>
    <row r="37" spans="1:18" ht="18" customHeight="1">
      <c r="A37" s="981" t="s">
        <v>437</v>
      </c>
      <c r="B37" s="302" t="s">
        <v>742</v>
      </c>
      <c r="C37" s="21">
        <f ca="1">ROUND(C13*F37,2)</f>
        <v>0.73</v>
      </c>
      <c r="D37" s="1343"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1.21</v>
      </c>
      <c r="D38" s="1091" t="s">
        <v>748</v>
      </c>
      <c r="E38" s="1089" t="s">
        <v>744</v>
      </c>
      <c r="F38" s="1085">
        <f ca="1">INDIRECT("'数据-取费表'!Am"&amp;$G$1)</f>
        <v>0.01</v>
      </c>
      <c r="G38" s="1383"/>
      <c r="H38" s="2696"/>
      <c r="I38" s="1397"/>
      <c r="J38" s="1398"/>
      <c r="K38" s="2700"/>
      <c r="L38" s="2696"/>
      <c r="M38" s="2696"/>
    </row>
    <row r="39" spans="1:18" ht="24.6" customHeight="1" thickTop="1">
      <c r="A39" s="1078" t="s">
        <v>394</v>
      </c>
      <c r="B39" s="1093" t="s">
        <v>772</v>
      </c>
      <c r="C39" s="310">
        <f ca="1">C5-C30</f>
        <v>92</v>
      </c>
      <c r="D39" s="1094" t="s">
        <v>773</v>
      </c>
      <c r="E39" s="1095"/>
      <c r="F39" s="1096"/>
      <c r="G39" s="1383"/>
      <c r="H39" s="2696"/>
      <c r="I39" s="1397"/>
      <c r="J39" s="1398"/>
      <c r="K39" s="2700"/>
      <c r="L39" s="2696"/>
      <c r="M39" s="2696"/>
    </row>
    <row r="40" spans="1:18" ht="18" customHeight="1">
      <c r="A40" s="299" t="s">
        <v>395</v>
      </c>
      <c r="B40" s="300" t="s">
        <v>774</v>
      </c>
      <c r="C40" s="301">
        <f ca="1">ROUND(C39*(1-((1+F42)/(1+F40))^F41)/(F40-F42),0)</f>
        <v>2169</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36.932499999999997</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14679</v>
      </c>
      <c r="D43" s="337" t="s">
        <v>777</v>
      </c>
      <c r="E43" s="338" t="s">
        <v>778</v>
      </c>
      <c r="F43" s="339">
        <f ca="1">INDIRECT("'数据-取费表'!k"&amp;$G$1)</f>
        <v>1477.62</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-2303</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3450</v>
      </c>
      <c r="K47" s="1415" t="s">
        <v>816</v>
      </c>
      <c r="L47" s="1416">
        <f ca="1">INDIRECT("'数据-取费表'!d"&amp;$G$1)</f>
        <v>40</v>
      </c>
      <c r="M47" s="1379" t="str">
        <f>IF(ISNUMBER(FIND("住宅",C1)),"住宅","非住宅")</f>
        <v>非住宅</v>
      </c>
      <c r="O47" s="1417" t="s">
        <v>403</v>
      </c>
      <c r="P47" s="1418" t="s">
        <v>817</v>
      </c>
      <c r="Q47" s="1419">
        <f ca="1">C40+J29</f>
        <v>2169</v>
      </c>
      <c r="R47" s="1419" t="s">
        <v>818</v>
      </c>
    </row>
    <row r="48" spans="1:18" s="1383" customFormat="1" ht="28.5" thickBot="1">
      <c r="A48" s="1109" t="s">
        <v>438</v>
      </c>
      <c r="B48" s="300" t="s">
        <v>692</v>
      </c>
      <c r="C48" s="1358">
        <f ca="1">C49+C53+C55</f>
        <v>0</v>
      </c>
      <c r="D48" s="1111"/>
      <c r="E48" s="1112"/>
      <c r="F48" s="961"/>
      <c r="G48" s="721"/>
      <c r="H48" s="722"/>
      <c r="I48" s="1420" t="s">
        <v>819</v>
      </c>
      <c r="J48" s="1421" t="s">
        <v>3474</v>
      </c>
      <c r="K48" s="1422" t="s">
        <v>820</v>
      </c>
      <c r="L48" s="1423">
        <f ca="1">INDIRECT("'数据-取费表'!f"&amp;$G$1)</f>
        <v>38.19</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2024</v>
      </c>
      <c r="K49" s="1422" t="s">
        <v>824</v>
      </c>
      <c r="L49" s="1426"/>
      <c r="O49" s="1427" t="s">
        <v>405</v>
      </c>
      <c r="P49" s="1418" t="s">
        <v>825</v>
      </c>
      <c r="Q49" s="1419">
        <f ca="1">C29</f>
        <v>726</v>
      </c>
      <c r="R49" s="1419" t="s">
        <v>818</v>
      </c>
    </row>
    <row r="50" spans="1:18" s="1383" customFormat="1" ht="13.5" thickBot="1">
      <c r="A50" s="975"/>
      <c r="B50" s="978"/>
      <c r="C50" s="1117"/>
      <c r="D50" s="952"/>
      <c r="E50" s="1055" t="s">
        <v>697</v>
      </c>
      <c r="F50" s="1056">
        <f ca="1">F7</f>
        <v>1477.62</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61</v>
      </c>
      <c r="K51" s="1433" t="s">
        <v>830</v>
      </c>
      <c r="L51" s="1434">
        <f ca="1">ROUND(-PV(INDIRECT("'数据-取费表'!h"&amp;$G$1),J51,(C39-C13*C76),0),0)</f>
        <v>627</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36.932499999999997</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6">
        <f ca="1">IF(M47="住宅",IF(D1="——",MAX(J51,L48),MAX(J51,L48-'数据-取费表'!B24)),IF(D1="——",MIN(J51,L48),MIN(J51,L48-'数据-取费表'!B24)))</f>
        <v>36.932499999999997</v>
      </c>
      <c r="K53" s="3727" t="s">
        <v>837</v>
      </c>
      <c r="L53" s="3728"/>
      <c r="O53" s="1417" t="s">
        <v>409</v>
      </c>
      <c r="P53" s="1418" t="s">
        <v>838</v>
      </c>
      <c r="Q53" s="1419">
        <f ca="1">Q47+Q48</f>
        <v>2169</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2">
        <f ca="1">C13</f>
        <v>726</v>
      </c>
      <c r="D56" s="1446"/>
      <c r="E56" s="1447"/>
      <c r="F56" s="1439"/>
      <c r="I56" s="1448" t="s">
        <v>842</v>
      </c>
      <c r="J56" s="1449" t="s">
        <v>3381</v>
      </c>
      <c r="K56" s="1420" t="s">
        <v>843</v>
      </c>
      <c r="L56" s="1423" t="str">
        <f ca="1">IF(L48&lt;J51,"——",L48-J53)</f>
        <v>——</v>
      </c>
      <c r="O56" s="1417" t="s">
        <v>403</v>
      </c>
      <c r="P56" s="1418" t="s">
        <v>817</v>
      </c>
      <c r="Q56" s="1419">
        <f ca="1">C40+J29</f>
        <v>2169</v>
      </c>
      <c r="R56" s="1419" t="s">
        <v>818</v>
      </c>
    </row>
    <row r="57" spans="1:18" s="1383" customFormat="1" ht="24.75" thickBot="1">
      <c r="A57" s="1450"/>
      <c r="B57" s="949" t="s">
        <v>767</v>
      </c>
      <c r="C57" s="238">
        <f ca="1">C29</f>
        <v>726</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8</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1" t="s">
        <v>784</v>
      </c>
      <c r="B62" s="948" t="s">
        <v>785</v>
      </c>
      <c r="C62" s="22">
        <f ca="1">IF(项目基本情况!B11="自然人","——",ROUND(F62*F63/10000,2))</f>
        <v>0.06</v>
      </c>
      <c r="D62" s="964" t="s">
        <v>786</v>
      </c>
      <c r="E62" s="949" t="s">
        <v>787</v>
      </c>
      <c r="F62" s="325">
        <f t="shared" si="0"/>
        <v>1.5</v>
      </c>
      <c r="I62" s="1461" t="s">
        <v>858</v>
      </c>
      <c r="J62" s="1462" t="s">
        <v>859</v>
      </c>
      <c r="K62" s="1462" t="s">
        <v>860</v>
      </c>
      <c r="L62" s="1462" t="s">
        <v>861</v>
      </c>
      <c r="M62" s="1463" t="s">
        <v>862</v>
      </c>
      <c r="O62" s="1417" t="s">
        <v>409</v>
      </c>
      <c r="P62" s="1418" t="s">
        <v>863</v>
      </c>
      <c r="Q62" s="1419">
        <f ca="1">Q56+Q57</f>
        <v>2169</v>
      </c>
      <c r="R62" s="1419" t="s">
        <v>410</v>
      </c>
    </row>
    <row r="63" spans="1:18" s="1383" customFormat="1" ht="13.5" thickBot="1">
      <c r="A63" s="326"/>
      <c r="B63" s="955"/>
      <c r="C63" s="26"/>
      <c r="D63" s="965"/>
      <c r="E63" s="949" t="s">
        <v>788</v>
      </c>
      <c r="F63" s="303">
        <f t="shared" ca="1" si="0"/>
        <v>379.09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7.26</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0.73</v>
      </c>
      <c r="D65" s="963" t="s">
        <v>743</v>
      </c>
      <c r="E65" s="949" t="s">
        <v>744</v>
      </c>
      <c r="F65" s="330">
        <f t="shared" ca="1" si="0"/>
        <v>1E-3</v>
      </c>
      <c r="I65" s="1461" t="s">
        <v>867</v>
      </c>
      <c r="J65" s="1462">
        <v>40</v>
      </c>
      <c r="K65" s="1462">
        <v>30</v>
      </c>
      <c r="L65" s="1462">
        <v>50</v>
      </c>
      <c r="M65" s="1464">
        <v>0.02</v>
      </c>
      <c r="O65" s="1417" t="s">
        <v>403</v>
      </c>
      <c r="P65" s="1418" t="s">
        <v>868</v>
      </c>
      <c r="Q65" s="1419">
        <f ca="1">C40+J29</f>
        <v>2169</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-8</v>
      </c>
      <c r="D67" s="962" t="s">
        <v>753</v>
      </c>
      <c r="E67" s="967"/>
      <c r="F67" s="968"/>
      <c r="O67" s="1427" t="s">
        <v>405</v>
      </c>
      <c r="P67" s="1418" t="s">
        <v>850</v>
      </c>
      <c r="Q67" s="1465">
        <f ca="1">L51</f>
        <v>627</v>
      </c>
      <c r="R67" s="1419" t="s">
        <v>870</v>
      </c>
    </row>
    <row r="68" spans="1:18" s="1383" customFormat="1" ht="16.5" thickBot="1">
      <c r="A68" s="946" t="s">
        <v>395</v>
      </c>
      <c r="B68" s="947" t="s">
        <v>774</v>
      </c>
      <c r="C68" s="301">
        <f ca="1">ROUND(C67*(1-((1+F70)/(1+F68))^F69)/(F68-F70),0)</f>
        <v>-134</v>
      </c>
      <c r="D68" s="964" t="s">
        <v>758</v>
      </c>
      <c r="E68" s="949" t="s">
        <v>759</v>
      </c>
      <c r="F68" s="312">
        <f ca="1">F40</f>
        <v>0.05</v>
      </c>
      <c r="O68" s="1427" t="s">
        <v>406</v>
      </c>
      <c r="P68" s="1466" t="s">
        <v>871</v>
      </c>
      <c r="Q68" s="1419">
        <f ca="1">ROUND(Q69-Q70*Q71,0)</f>
        <v>30</v>
      </c>
      <c r="R68" s="1419" t="s">
        <v>414</v>
      </c>
    </row>
    <row r="69" spans="1:18" s="1383" customFormat="1" ht="13.5" thickBot="1">
      <c r="A69" s="950"/>
      <c r="B69" s="951"/>
      <c r="C69" s="306"/>
      <c r="D69" s="969" t="s">
        <v>762</v>
      </c>
      <c r="E69" s="949" t="s">
        <v>763</v>
      </c>
      <c r="F69" s="333">
        <f ca="1">F41</f>
        <v>36.932499999999997</v>
      </c>
      <c r="O69" s="1427" t="s">
        <v>411</v>
      </c>
      <c r="P69" s="1466" t="s">
        <v>872</v>
      </c>
      <c r="Q69" s="1419">
        <f ca="1">C39</f>
        <v>92</v>
      </c>
      <c r="R69" s="1419" t="s">
        <v>818</v>
      </c>
    </row>
    <row r="70" spans="1:18" s="1383" customFormat="1" ht="13.5" thickBot="1">
      <c r="A70" s="953"/>
      <c r="B70" s="954"/>
      <c r="C70" s="310"/>
      <c r="D70" s="965"/>
      <c r="E70" s="949" t="s">
        <v>766</v>
      </c>
      <c r="F70" s="1053"/>
      <c r="O70" s="1427" t="s">
        <v>412</v>
      </c>
      <c r="P70" s="1466" t="s">
        <v>873</v>
      </c>
      <c r="Q70" s="1419">
        <f ca="1">C13</f>
        <v>726</v>
      </c>
      <c r="R70" s="1419" t="s">
        <v>818</v>
      </c>
    </row>
    <row r="71" spans="1:18" s="1383" customFormat="1" ht="13.5" thickBot="1">
      <c r="A71" s="970" t="s">
        <v>396</v>
      </c>
      <c r="B71" s="971" t="s">
        <v>776</v>
      </c>
      <c r="C71" s="336">
        <f ca="1">ROUND(C68*10000/F71,0)</f>
        <v>-907</v>
      </c>
      <c r="D71" s="972" t="s">
        <v>777</v>
      </c>
      <c r="E71" s="973" t="s">
        <v>778</v>
      </c>
      <c r="F71" s="339">
        <f ca="1">F43</f>
        <v>1477.62</v>
      </c>
      <c r="O71" s="1427" t="s">
        <v>413</v>
      </c>
      <c r="P71" s="1466" t="s">
        <v>874</v>
      </c>
      <c r="Q71" s="1430">
        <f ca="1">C76</f>
        <v>8.5000000000000006E-2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62</v>
      </c>
      <c r="D75" s="1383"/>
      <c r="E75" s="1383"/>
      <c r="F75" s="1383"/>
      <c r="K75" s="1401"/>
      <c r="L75" s="1383"/>
      <c r="O75" s="1417" t="s">
        <v>409</v>
      </c>
      <c r="P75" s="1418" t="s">
        <v>838</v>
      </c>
      <c r="Q75" s="1419">
        <f ca="1">Q65+Q66</f>
        <v>2169</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0.32599999999999996</v>
      </c>
    </row>
    <row r="80" spans="1:18">
      <c r="B80" s="340" t="s">
        <v>800</v>
      </c>
      <c r="C80" s="274">
        <f ca="1">ROUND(C75/C39,3)</f>
        <v>0.67400000000000004</v>
      </c>
    </row>
    <row r="81" spans="2:3">
      <c r="B81" s="270" t="s">
        <v>801</v>
      </c>
      <c r="C81" s="238"/>
    </row>
    <row r="82" spans="2:3">
      <c r="B82" s="273" t="s">
        <v>802</v>
      </c>
      <c r="C82" s="275">
        <f ca="1">1-C83</f>
        <v>0.66500000000000004</v>
      </c>
    </row>
    <row r="83" spans="2:3">
      <c r="B83" s="273" t="s">
        <v>803</v>
      </c>
      <c r="C83" s="274">
        <f ca="1">ROUND(C13/C40,3)</f>
        <v>0.33500000000000002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683" t="s">
        <v>1769</v>
      </c>
      <c r="D4" s="3695"/>
      <c r="E4" s="3696" t="s">
        <v>1770</v>
      </c>
      <c r="F4" s="3697"/>
      <c r="G4" s="3683" t="s">
        <v>1771</v>
      </c>
      <c r="H4" s="3695"/>
      <c r="I4" s="3683" t="s">
        <v>1772</v>
      </c>
      <c r="J4" s="3695"/>
      <c r="K4" s="558" t="s">
        <v>1773</v>
      </c>
      <c r="L4" s="2711"/>
      <c r="M4" s="2712"/>
      <c r="N4" s="2712"/>
      <c r="O4" s="2712"/>
      <c r="P4" s="3698" t="s">
        <v>1774</v>
      </c>
      <c r="Q4" s="3699"/>
      <c r="R4" s="3704" t="s">
        <v>1770</v>
      </c>
      <c r="S4" s="3705"/>
      <c r="T4" s="3704" t="s">
        <v>1771</v>
      </c>
      <c r="U4" s="3705"/>
      <c r="V4" s="3691" t="s">
        <v>1772</v>
      </c>
      <c r="W4" s="3691"/>
      <c r="X4" s="1354"/>
      <c r="Y4" s="3704" t="s">
        <v>1774</v>
      </c>
      <c r="Z4" s="3705"/>
      <c r="AA4" s="3692" t="s">
        <v>1770</v>
      </c>
      <c r="AB4" s="3693" t="s">
        <v>1771</v>
      </c>
      <c r="AC4" s="3692" t="s">
        <v>1772</v>
      </c>
    </row>
    <row r="5" spans="1:29" ht="15">
      <c r="A5" s="358"/>
      <c r="B5" s="359"/>
      <c r="C5" s="3712" t="s">
        <v>1672</v>
      </c>
      <c r="D5" s="3713"/>
      <c r="E5" s="3759" t="s">
        <v>1673</v>
      </c>
      <c r="F5" s="3720"/>
      <c r="G5" s="3712" t="s">
        <v>1674</v>
      </c>
      <c r="H5" s="3713"/>
      <c r="I5" s="3712" t="s">
        <v>1675</v>
      </c>
      <c r="J5" s="3713"/>
      <c r="K5" s="558"/>
      <c r="L5" s="2711"/>
      <c r="M5" s="2712"/>
      <c r="N5" s="2712"/>
      <c r="O5" s="2712"/>
      <c r="P5" s="3700"/>
      <c r="Q5" s="3701"/>
      <c r="R5" s="3706"/>
      <c r="S5" s="3707"/>
      <c r="T5" s="3706"/>
      <c r="U5" s="3707"/>
      <c r="V5" s="3691"/>
      <c r="W5" s="3691"/>
      <c r="X5" s="1354"/>
      <c r="Y5" s="3706"/>
      <c r="Z5" s="3707"/>
      <c r="AA5" s="3693"/>
      <c r="AB5" s="3693"/>
      <c r="AC5" s="3693"/>
    </row>
    <row r="6" spans="1:29" ht="15.75" thickBot="1">
      <c r="A6" s="360"/>
      <c r="B6" s="361"/>
      <c r="C6" s="3776" t="s">
        <v>1918</v>
      </c>
      <c r="D6" s="3777"/>
      <c r="E6" s="3778" t="s">
        <v>1918</v>
      </c>
      <c r="F6" s="3779"/>
      <c r="G6" s="3776" t="s">
        <v>1918</v>
      </c>
      <c r="H6" s="3777"/>
      <c r="I6" s="3776" t="s">
        <v>1918</v>
      </c>
      <c r="J6" s="3777"/>
      <c r="K6" s="558" t="s">
        <v>1677</v>
      </c>
      <c r="L6" s="2711"/>
      <c r="M6" s="2712"/>
      <c r="N6" s="2712"/>
      <c r="O6" s="2712"/>
      <c r="P6" s="3702"/>
      <c r="Q6" s="3703"/>
      <c r="R6" s="3706"/>
      <c r="S6" s="3707"/>
      <c r="T6" s="3708"/>
      <c r="U6" s="3709"/>
      <c r="V6" s="3691"/>
      <c r="W6" s="3691"/>
      <c r="X6" s="1354"/>
      <c r="Y6" s="3708"/>
      <c r="Z6" s="3709"/>
      <c r="AA6" s="3694"/>
      <c r="AB6" s="3694"/>
      <c r="AC6" s="3694"/>
    </row>
    <row r="7" spans="1:29" s="108" customFormat="1" ht="15.75" thickBot="1">
      <c r="A7" s="362" t="s">
        <v>1678</v>
      </c>
      <c r="B7" s="363"/>
      <c r="C7" s="364">
        <f>'数据-取费表'!B2</f>
        <v>45009</v>
      </c>
      <c r="D7" s="365">
        <v>100</v>
      </c>
      <c r="E7" s="366"/>
      <c r="F7" s="367">
        <f>SUMIF(65:65,YEAR(E7)&amp;"-"&amp;INT((MONTH(E7)+2)/3),66:66)</f>
        <v>0</v>
      </c>
      <c r="G7" s="1972"/>
      <c r="H7" s="365">
        <f>SUMIF(65:65,YEAR(G7)&amp;"-"&amp;INT((MONTH(G7)+2)/3),66:66)</f>
        <v>0</v>
      </c>
      <c r="I7" s="1972"/>
      <c r="J7" s="365">
        <f>SUMIF(65:65,YEAR(I7)&amp;"-"&amp;INT((MONTH(I7)+2)/3),66:66)</f>
        <v>0</v>
      </c>
      <c r="K7" s="559"/>
      <c r="L7" s="2713"/>
      <c r="M7" s="2714"/>
      <c r="N7" s="2714"/>
      <c r="O7" s="2714"/>
      <c r="P7" s="3714" t="s">
        <v>1679</v>
      </c>
      <c r="Q7" s="3716"/>
      <c r="R7" s="700" t="s">
        <v>14</v>
      </c>
      <c r="S7" s="701">
        <f t="shared" ref="S7:S15" si="0">F7</f>
        <v>0</v>
      </c>
      <c r="T7" s="700" t="s">
        <v>14</v>
      </c>
      <c r="U7" s="701">
        <f t="shared" ref="U7:U15" si="1">H7</f>
        <v>0</v>
      </c>
      <c r="V7" s="700" t="s">
        <v>14</v>
      </c>
      <c r="W7" s="701">
        <f t="shared" ref="W7:W15" si="2">J7</f>
        <v>0</v>
      </c>
      <c r="X7" s="702"/>
      <c r="Y7" s="3714" t="s">
        <v>1679</v>
      </c>
      <c r="Z7" s="3715"/>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9"/>
      <c r="L8" s="2713"/>
      <c r="M8" s="2714"/>
      <c r="N8" s="2714"/>
      <c r="O8" s="2714"/>
      <c r="P8" s="3714" t="s">
        <v>1682</v>
      </c>
      <c r="Q8" s="3715"/>
      <c r="R8" s="700" t="s">
        <v>14</v>
      </c>
      <c r="S8" s="701">
        <f t="shared" si="0"/>
        <v>0</v>
      </c>
      <c r="T8" s="700" t="s">
        <v>14</v>
      </c>
      <c r="U8" s="701">
        <f t="shared" si="1"/>
        <v>0</v>
      </c>
      <c r="V8" s="700" t="s">
        <v>14</v>
      </c>
      <c r="W8" s="701">
        <f t="shared" si="2"/>
        <v>0</v>
      </c>
      <c r="X8" s="702"/>
      <c r="Y8" s="3714" t="s">
        <v>1682</v>
      </c>
      <c r="Z8" s="3715"/>
      <c r="AA8" s="703" t="e">
        <f t="shared" ref="AA8:AA40" si="3">D8/F8</f>
        <v>#DIV/0!</v>
      </c>
      <c r="AB8" s="703" t="e">
        <f t="shared" ref="AB8:AB40" si="4">D8/H8</f>
        <v>#DIV/0!</v>
      </c>
      <c r="AC8" s="703"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59"/>
      <c r="L9" s="2713"/>
      <c r="M9" s="2714"/>
      <c r="N9" s="2714"/>
      <c r="O9" s="2768"/>
      <c r="P9" s="3686"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101</v>
      </c>
      <c r="G10" s="383"/>
      <c r="H10" s="127">
        <f>ROUND(100/'数据-取费表'!G16,0)</f>
        <v>101</v>
      </c>
      <c r="I10" s="383"/>
      <c r="J10" s="127">
        <f>ROUND(100/'数据-取费表'!G16,0)</f>
        <v>101</v>
      </c>
      <c r="K10" s="619"/>
      <c r="L10" s="2715"/>
      <c r="M10" s="2716"/>
      <c r="N10" s="2716"/>
      <c r="O10" s="2769"/>
      <c r="P10" s="3686"/>
      <c r="Q10" s="1342" t="str">
        <f t="shared" si="6"/>
        <v>土地使用年限（年）</v>
      </c>
      <c r="R10" s="700" t="s">
        <v>14</v>
      </c>
      <c r="S10" s="701">
        <f t="shared" si="0"/>
        <v>101</v>
      </c>
      <c r="T10" s="700" t="s">
        <v>14</v>
      </c>
      <c r="U10" s="701">
        <f t="shared" si="1"/>
        <v>101</v>
      </c>
      <c r="V10" s="700" t="s">
        <v>14</v>
      </c>
      <c r="W10" s="701">
        <f t="shared" si="2"/>
        <v>101</v>
      </c>
      <c r="X10" s="702"/>
      <c r="Y10" s="3586"/>
      <c r="Z10" s="52" t="str">
        <f t="shared" si="7"/>
        <v>土地使用年限（年）</v>
      </c>
      <c r="AA10" s="703">
        <f t="shared" si="3"/>
        <v>0.99009900990099009</v>
      </c>
      <c r="AB10" s="703">
        <f t="shared" si="4"/>
        <v>0.99009900990099009</v>
      </c>
      <c r="AC10" s="703">
        <f t="shared" si="5"/>
        <v>0.99009900990099009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686"/>
      <c r="Q11" s="1342" t="str">
        <f t="shared" si="6"/>
        <v>容积率</v>
      </c>
      <c r="R11" s="700" t="s">
        <v>14</v>
      </c>
      <c r="S11" s="701" t="e">
        <f t="shared" si="0"/>
        <v>#N/A</v>
      </c>
      <c r="T11" s="700" t="s">
        <v>14</v>
      </c>
      <c r="U11" s="701" t="e">
        <f t="shared" si="1"/>
        <v>#N/A</v>
      </c>
      <c r="V11" s="700" t="s">
        <v>14</v>
      </c>
      <c r="W11" s="701" t="e">
        <f t="shared" si="2"/>
        <v>#N/A</v>
      </c>
      <c r="X11" s="702"/>
      <c r="Y11" s="3586"/>
      <c r="Z11" s="52" t="str">
        <f t="shared" si="7"/>
        <v>容积率</v>
      </c>
      <c r="AA11" s="703" t="e">
        <f t="shared" si="3"/>
        <v>#N/A</v>
      </c>
      <c r="AB11" s="703" t="e">
        <f t="shared" si="4"/>
        <v>#N/A</v>
      </c>
      <c r="AC11" s="703" t="e">
        <f t="shared" si="5"/>
        <v>#N/A</v>
      </c>
    </row>
    <row r="12" spans="1:29" s="108" customFormat="1" ht="15">
      <c r="A12" s="382"/>
      <c r="B12" s="1891">
        <v>111</v>
      </c>
      <c r="C12" s="383"/>
      <c r="D12" s="384">
        <v>100</v>
      </c>
      <c r="E12" s="497"/>
      <c r="F12" s="127">
        <f>SUMIF(77:77,E12,78:78)-SUMIF(77:77,C12,78:78)+100</f>
        <v>100</v>
      </c>
      <c r="G12" s="621"/>
      <c r="H12" s="127">
        <f>SUMIF(77:77,G12,78:78)-SUMIF(77:77,C12,78:78)+100</f>
        <v>100</v>
      </c>
      <c r="I12" s="497"/>
      <c r="J12" s="127">
        <f>SUMIF(77:77,I12,78:78)-SUMIF(77:77,C12,78:78)+100</f>
        <v>100</v>
      </c>
      <c r="K12" s="619"/>
      <c r="L12" s="2713"/>
      <c r="M12" s="2714"/>
      <c r="N12" s="2714"/>
      <c r="O12" s="2768"/>
      <c r="P12" s="3686"/>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1">
        <v>111</v>
      </c>
      <c r="C13" s="385"/>
      <c r="D13" s="386">
        <v>100</v>
      </c>
      <c r="E13" s="497"/>
      <c r="F13" s="127">
        <f>SUMIF(79:79,E13,80:80)-SUMIF(79:79,C13,80:80)+100</f>
        <v>100</v>
      </c>
      <c r="G13" s="621"/>
      <c r="H13" s="386">
        <f>SUMIF(79:79,G13,80:80)-SUMIF(79:79,C13,80:80)+100</f>
        <v>100</v>
      </c>
      <c r="I13" s="497"/>
      <c r="J13" s="386">
        <f>SUMIF(79:79,I13,80:80)-SUMIF(79:79,C13,80:80)+100</f>
        <v>100</v>
      </c>
      <c r="K13" s="619"/>
      <c r="L13" s="2718"/>
      <c r="M13" s="2712"/>
      <c r="N13" s="2712"/>
      <c r="O13" s="2770"/>
      <c r="P13" s="3686"/>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497"/>
      <c r="F14" s="389">
        <f>SUMIF(81:81,E14,82:82)-SUMIF(81:81,C14,82:82)+100</f>
        <v>100</v>
      </c>
      <c r="G14" s="621"/>
      <c r="H14" s="389">
        <f>SUMIF(81:81,G14,82:82)-SUMIF(81:81,C14,82:82)+100</f>
        <v>100</v>
      </c>
      <c r="I14" s="497"/>
      <c r="J14" s="389">
        <f>SUMIF(81:81,I14,82:82)-SUMIF(81:81,C14,82:82)+100</f>
        <v>100</v>
      </c>
      <c r="K14" s="619"/>
      <c r="L14" s="2718"/>
      <c r="M14" s="2712"/>
      <c r="N14" s="2712"/>
      <c r="O14" s="2770"/>
      <c r="P14" s="3686"/>
      <c r="Q14" s="1342">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57">
      <c r="A15" s="391" t="s">
        <v>1689</v>
      </c>
      <c r="B15" s="576"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687" t="s">
        <v>1690</v>
      </c>
      <c r="Q15" s="1351" t="str">
        <f t="shared" si="6"/>
        <v>产业集聚程度</v>
      </c>
      <c r="R15" s="704" t="s">
        <v>14</v>
      </c>
      <c r="S15" s="705">
        <f t="shared" si="0"/>
        <v>100</v>
      </c>
      <c r="T15" s="704" t="s">
        <v>14</v>
      </c>
      <c r="U15" s="705">
        <f t="shared" si="1"/>
        <v>100</v>
      </c>
      <c r="V15" s="704" t="s">
        <v>14</v>
      </c>
      <c r="W15" s="705">
        <f t="shared" si="2"/>
        <v>100</v>
      </c>
      <c r="X15" s="1354"/>
      <c r="Y15" s="3687" t="s">
        <v>1690</v>
      </c>
      <c r="Z15" s="1355" t="str">
        <f t="shared" si="7"/>
        <v>产业集聚程度</v>
      </c>
      <c r="AA15" s="1352">
        <f t="shared" si="3"/>
        <v>1</v>
      </c>
      <c r="AB15" s="1352">
        <f t="shared" si="4"/>
        <v>1</v>
      </c>
      <c r="AC15" s="1352">
        <f t="shared" si="5"/>
        <v>1</v>
      </c>
    </row>
    <row r="16" spans="1:29" ht="15">
      <c r="A16" s="379"/>
      <c r="B16" s="577"/>
      <c r="C16" s="398"/>
      <c r="D16" s="399"/>
      <c r="E16" s="1902"/>
      <c r="F16" s="399"/>
      <c r="G16" s="1902"/>
      <c r="H16" s="401"/>
      <c r="I16" s="1902"/>
      <c r="J16" s="399"/>
      <c r="K16" s="619"/>
      <c r="L16" s="2718"/>
      <c r="M16" s="2712"/>
      <c r="N16" s="2712"/>
      <c r="O16" s="2770"/>
      <c r="P16" s="3688"/>
      <c r="Q16" s="1351"/>
      <c r="R16" s="704"/>
      <c r="S16" s="705"/>
      <c r="T16" s="704"/>
      <c r="U16" s="705"/>
      <c r="V16" s="704"/>
      <c r="W16" s="705"/>
      <c r="X16" s="1354"/>
      <c r="Y16" s="3688"/>
      <c r="Z16" s="1355"/>
      <c r="AA16" s="1352">
        <v>1</v>
      </c>
      <c r="AB16" s="1352">
        <v>1</v>
      </c>
      <c r="AC16" s="1352">
        <v>1</v>
      </c>
    </row>
    <row r="17" spans="1:29" ht="85.5">
      <c r="A17" s="379"/>
      <c r="B17" s="578"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9"/>
      <c r="B18" s="579"/>
      <c r="C18" s="398"/>
      <c r="D18" s="399"/>
      <c r="E18" s="1896"/>
      <c r="F18" s="399"/>
      <c r="G18" s="1896"/>
      <c r="H18" s="399"/>
      <c r="I18" s="1895"/>
      <c r="J18" s="399"/>
      <c r="K18" s="619"/>
      <c r="L18" s="2718"/>
      <c r="M18" s="2712"/>
      <c r="N18" s="2712"/>
      <c r="O18" s="2770"/>
      <c r="P18" s="3688"/>
      <c r="Q18" s="1351"/>
      <c r="R18" s="704"/>
      <c r="S18" s="705"/>
      <c r="T18" s="704"/>
      <c r="U18" s="705"/>
      <c r="V18" s="704"/>
      <c r="W18" s="705"/>
      <c r="X18" s="1354"/>
      <c r="Y18" s="3688"/>
      <c r="Z18" s="1355"/>
      <c r="AA18" s="1352">
        <v>1</v>
      </c>
      <c r="AB18" s="1352">
        <v>1</v>
      </c>
      <c r="AC18" s="1352">
        <v>1</v>
      </c>
    </row>
    <row r="19" spans="1:29" ht="15">
      <c r="A19" s="379"/>
      <c r="B19" s="578"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688"/>
      <c r="Q19" s="1351" t="str">
        <f t="shared" ref="Q19:Q33" si="8">B19</f>
        <v>区域土地利用方向</v>
      </c>
      <c r="R19" s="704" t="s">
        <v>14</v>
      </c>
      <c r="S19" s="705">
        <f>F19</f>
        <v>100</v>
      </c>
      <c r="T19" s="704" t="s">
        <v>14</v>
      </c>
      <c r="U19" s="705">
        <f>H19</f>
        <v>100</v>
      </c>
      <c r="V19" s="704" t="s">
        <v>14</v>
      </c>
      <c r="W19" s="705">
        <f>J19</f>
        <v>100</v>
      </c>
      <c r="X19" s="1354"/>
      <c r="Y19" s="3688"/>
      <c r="Z19" s="1355" t="str">
        <f>Q19</f>
        <v>区域土地利用方向</v>
      </c>
      <c r="AA19" s="1352">
        <f t="shared" si="3"/>
        <v>1</v>
      </c>
      <c r="AB19" s="1352">
        <f t="shared" si="4"/>
        <v>1</v>
      </c>
      <c r="AC19" s="1352">
        <f t="shared" si="5"/>
        <v>1</v>
      </c>
    </row>
    <row r="20" spans="1:29" ht="15">
      <c r="A20" s="358"/>
      <c r="B20" s="579"/>
      <c r="C20" s="398"/>
      <c r="D20" s="399"/>
      <c r="E20" s="1896"/>
      <c r="F20" s="399"/>
      <c r="G20" s="1896"/>
      <c r="H20" s="399"/>
      <c r="I20" s="1896"/>
      <c r="J20" s="399"/>
      <c r="K20" s="739"/>
      <c r="L20" s="2718"/>
      <c r="M20" s="2712"/>
      <c r="N20" s="2712"/>
      <c r="O20" s="2770"/>
      <c r="P20" s="3688"/>
      <c r="Q20" s="1351"/>
      <c r="R20" s="704"/>
      <c r="S20" s="705"/>
      <c r="T20" s="704"/>
      <c r="U20" s="705"/>
      <c r="V20" s="704"/>
      <c r="W20" s="705"/>
      <c r="X20" s="1354"/>
      <c r="Y20" s="3688"/>
      <c r="Z20" s="1355"/>
      <c r="AA20" s="1352"/>
      <c r="AB20" s="1352"/>
      <c r="AC20" s="1352"/>
    </row>
    <row r="21" spans="1:29" ht="71.25">
      <c r="A21" s="358"/>
      <c r="B21" s="578"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688"/>
      <c r="Q21" s="1351" t="str">
        <f t="shared" si="8"/>
        <v>环境状况</v>
      </c>
      <c r="R21" s="704" t="s">
        <v>14</v>
      </c>
      <c r="S21" s="705">
        <f>F21</f>
        <v>100</v>
      </c>
      <c r="T21" s="704" t="s">
        <v>14</v>
      </c>
      <c r="U21" s="705">
        <f>H21</f>
        <v>100</v>
      </c>
      <c r="V21" s="704" t="s">
        <v>14</v>
      </c>
      <c r="W21" s="705">
        <f>J21</f>
        <v>100</v>
      </c>
      <c r="X21" s="1354"/>
      <c r="Y21" s="3688"/>
      <c r="Z21" s="1355" t="str">
        <f>Q21</f>
        <v>环境状况</v>
      </c>
      <c r="AA21" s="1352">
        <f t="shared" si="3"/>
        <v>1</v>
      </c>
      <c r="AB21" s="1352">
        <f t="shared" si="4"/>
        <v>1</v>
      </c>
      <c r="AC21" s="1352">
        <f t="shared" si="5"/>
        <v>1</v>
      </c>
    </row>
    <row r="22" spans="1:29" ht="15">
      <c r="A22" s="358"/>
      <c r="B22" s="579"/>
      <c r="C22" s="398"/>
      <c r="D22" s="399"/>
      <c r="E22" s="1902"/>
      <c r="F22" s="399"/>
      <c r="G22" s="1902"/>
      <c r="H22" s="399"/>
      <c r="I22" s="398"/>
      <c r="J22" s="399"/>
      <c r="K22" s="619"/>
      <c r="L22" s="2718"/>
      <c r="M22" s="2712"/>
      <c r="N22" s="2712"/>
      <c r="O22" s="2770"/>
      <c r="P22" s="3688"/>
      <c r="Q22" s="1351"/>
      <c r="R22" s="704"/>
      <c r="S22" s="705"/>
      <c r="T22" s="704"/>
      <c r="U22" s="705"/>
      <c r="V22" s="704"/>
      <c r="W22" s="705"/>
      <c r="X22" s="1354"/>
      <c r="Y22" s="3688"/>
      <c r="Z22" s="1355"/>
      <c r="AA22" s="1352">
        <v>1</v>
      </c>
      <c r="AB22" s="1352">
        <v>1</v>
      </c>
      <c r="AC22" s="1352">
        <v>1</v>
      </c>
    </row>
    <row r="23" spans="1:29" s="108" customFormat="1" ht="42.75">
      <c r="A23" s="596"/>
      <c r="B23" s="580"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688"/>
      <c r="Q23" s="1342" t="str">
        <f t="shared" si="8"/>
        <v>公共配套设施</v>
      </c>
      <c r="R23" s="700" t="s">
        <v>14</v>
      </c>
      <c r="S23" s="701">
        <f>F23</f>
        <v>100</v>
      </c>
      <c r="T23" s="700" t="s">
        <v>14</v>
      </c>
      <c r="U23" s="701">
        <f>H23</f>
        <v>100</v>
      </c>
      <c r="V23" s="700" t="s">
        <v>14</v>
      </c>
      <c r="W23" s="701">
        <f>J23</f>
        <v>100</v>
      </c>
      <c r="X23" s="702"/>
      <c r="Y23" s="3688"/>
      <c r="Z23" s="52" t="str">
        <f>Q23</f>
        <v>公共配套设施</v>
      </c>
      <c r="AA23" s="1352">
        <f>D23/F23</f>
        <v>1</v>
      </c>
      <c r="AB23" s="1352">
        <f>D23/H23</f>
        <v>1</v>
      </c>
      <c r="AC23" s="1352">
        <f>D23/J23</f>
        <v>1</v>
      </c>
    </row>
    <row r="24" spans="1:29" s="108" customFormat="1" ht="15">
      <c r="A24" s="596"/>
      <c r="B24" s="579"/>
      <c r="C24" s="1976"/>
      <c r="D24" s="399"/>
      <c r="E24" s="1902"/>
      <c r="F24" s="399"/>
      <c r="G24" s="1902"/>
      <c r="H24" s="399"/>
      <c r="I24" s="398"/>
      <c r="J24" s="399"/>
      <c r="K24" s="619"/>
      <c r="L24" s="2713"/>
      <c r="M24" s="2714"/>
      <c r="N24" s="2714"/>
      <c r="O24" s="2768"/>
      <c r="P24" s="3688"/>
      <c r="Q24" s="1342"/>
      <c r="R24" s="700"/>
      <c r="S24" s="701"/>
      <c r="T24" s="700"/>
      <c r="U24" s="701"/>
      <c r="V24" s="700"/>
      <c r="W24" s="701"/>
      <c r="X24" s="702"/>
      <c r="Y24" s="3688"/>
      <c r="Z24" s="52"/>
      <c r="AA24" s="703">
        <v>1</v>
      </c>
      <c r="AB24" s="703">
        <v>1</v>
      </c>
      <c r="AC24" s="703">
        <v>1</v>
      </c>
    </row>
    <row r="25" spans="1:29" s="108" customFormat="1" ht="28.5">
      <c r="A25" s="596"/>
      <c r="B25" s="580"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688"/>
      <c r="Q25" s="1342" t="str">
        <f t="shared" ref="Q25" si="9">B25</f>
        <v>基础设施水平</v>
      </c>
      <c r="R25" s="700" t="s">
        <v>14</v>
      </c>
      <c r="S25" s="701">
        <f>F25</f>
        <v>100</v>
      </c>
      <c r="T25" s="700" t="s">
        <v>14</v>
      </c>
      <c r="U25" s="701">
        <f>H25</f>
        <v>100</v>
      </c>
      <c r="V25" s="700" t="s">
        <v>14</v>
      </c>
      <c r="W25" s="701">
        <f>J25</f>
        <v>100</v>
      </c>
      <c r="X25" s="702"/>
      <c r="Y25" s="3688"/>
      <c r="Z25" s="52" t="str">
        <f>Q25</f>
        <v>基础设施水平</v>
      </c>
      <c r="AA25" s="1352">
        <f>D25/F25</f>
        <v>1</v>
      </c>
      <c r="AB25" s="1352">
        <f>D25/H25</f>
        <v>1</v>
      </c>
      <c r="AC25" s="1352">
        <f>D25/J25</f>
        <v>1</v>
      </c>
    </row>
    <row r="26" spans="1:29" s="108" customFormat="1" ht="15">
      <c r="A26" s="596"/>
      <c r="B26" s="579"/>
      <c r="C26" s="1976"/>
      <c r="D26" s="399"/>
      <c r="E26" s="1977"/>
      <c r="F26" s="399"/>
      <c r="G26" s="1977"/>
      <c r="H26" s="399"/>
      <c r="I26" s="1977"/>
      <c r="J26" s="399"/>
      <c r="K26" s="619"/>
      <c r="L26" s="2713"/>
      <c r="M26" s="2714"/>
      <c r="N26" s="2714"/>
      <c r="O26" s="2768"/>
      <c r="P26" s="3688"/>
      <c r="Q26" s="1342"/>
      <c r="R26" s="700"/>
      <c r="S26" s="701"/>
      <c r="T26" s="700"/>
      <c r="U26" s="701"/>
      <c r="V26" s="700"/>
      <c r="W26" s="701"/>
      <c r="X26" s="702"/>
      <c r="Y26" s="3688"/>
      <c r="Z26" s="52"/>
      <c r="AA26" s="703">
        <v>1</v>
      </c>
      <c r="AB26" s="703">
        <v>1</v>
      </c>
      <c r="AC26" s="703">
        <v>1</v>
      </c>
    </row>
    <row r="27" spans="1:29" ht="15">
      <c r="A27" s="379"/>
      <c r="B27" s="579" t="s">
        <v>1779</v>
      </c>
      <c r="C27" s="564"/>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68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8"/>
      <c r="Z27" s="1355" t="str">
        <f t="shared" ref="Z27:Z40" si="13">Q27</f>
        <v>临街状况</v>
      </c>
      <c r="AA27" s="1352">
        <f t="shared" si="3"/>
        <v>1</v>
      </c>
      <c r="AB27" s="1352">
        <f t="shared" si="4"/>
        <v>1</v>
      </c>
      <c r="AC27" s="1352">
        <f t="shared" si="5"/>
        <v>1</v>
      </c>
    </row>
    <row r="28" spans="1:29" ht="27">
      <c r="A28" s="379"/>
      <c r="B28" s="580"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688"/>
      <c r="Q28" s="1351" t="str">
        <f t="shared" si="8"/>
        <v>毗邻道路的类型与等级</v>
      </c>
      <c r="R28" s="704" t="s">
        <v>14</v>
      </c>
      <c r="S28" s="705">
        <f t="shared" si="10"/>
        <v>100</v>
      </c>
      <c r="T28" s="704" t="s">
        <v>14</v>
      </c>
      <c r="U28" s="705">
        <f t="shared" si="11"/>
        <v>100</v>
      </c>
      <c r="V28" s="704" t="s">
        <v>14</v>
      </c>
      <c r="W28" s="705">
        <f t="shared" si="12"/>
        <v>100</v>
      </c>
      <c r="X28" s="1354"/>
      <c r="Y28" s="3688"/>
      <c r="Z28" s="1355" t="str">
        <f t="shared" si="13"/>
        <v>毗邻道路的类型与等级</v>
      </c>
      <c r="AA28" s="1352">
        <f t="shared" si="3"/>
        <v>1</v>
      </c>
      <c r="AB28" s="1352">
        <f t="shared" si="4"/>
        <v>1</v>
      </c>
      <c r="AC28" s="1352">
        <f t="shared" si="5"/>
        <v>1</v>
      </c>
    </row>
    <row r="29" spans="1:29" ht="15">
      <c r="A29" s="379"/>
      <c r="B29" s="579"/>
      <c r="C29" s="398"/>
      <c r="D29" s="399"/>
      <c r="E29" s="1902"/>
      <c r="F29" s="399"/>
      <c r="G29" s="1902"/>
      <c r="H29" s="399"/>
      <c r="I29" s="1902"/>
      <c r="J29" s="399"/>
      <c r="K29" s="561"/>
      <c r="L29" s="2718"/>
      <c r="M29" s="2712"/>
      <c r="N29" s="2712"/>
      <c r="O29" s="2770"/>
      <c r="P29" s="3688"/>
      <c r="Q29" s="1351"/>
      <c r="R29" s="704"/>
      <c r="S29" s="705"/>
      <c r="T29" s="704"/>
      <c r="U29" s="705"/>
      <c r="V29" s="704"/>
      <c r="W29" s="705"/>
      <c r="X29" s="1354"/>
      <c r="Y29" s="3688"/>
      <c r="Z29" s="1355"/>
      <c r="AA29" s="1352">
        <v>1</v>
      </c>
      <c r="AB29" s="1352">
        <v>1</v>
      </c>
      <c r="AC29" s="1352">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0"/>
      <c r="L30" s="2718"/>
      <c r="M30" s="2712"/>
      <c r="N30" s="2712"/>
      <c r="O30" s="2770"/>
      <c r="P30" s="3688"/>
      <c r="Q30" s="1351" t="str">
        <f t="shared" si="8"/>
        <v>土地级别</v>
      </c>
      <c r="R30" s="704" t="s">
        <v>14</v>
      </c>
      <c r="S30" s="705">
        <f t="shared" si="10"/>
        <v>100</v>
      </c>
      <c r="T30" s="704" t="s">
        <v>14</v>
      </c>
      <c r="U30" s="705">
        <f t="shared" si="11"/>
        <v>100</v>
      </c>
      <c r="V30" s="704" t="s">
        <v>14</v>
      </c>
      <c r="W30" s="705">
        <f t="shared" si="12"/>
        <v>100</v>
      </c>
      <c r="X30" s="1354"/>
      <c r="Y30" s="3688"/>
      <c r="Z30" s="1355" t="str">
        <f t="shared" si="13"/>
        <v>土地级别</v>
      </c>
      <c r="AA30" s="1352">
        <f t="shared" si="3"/>
        <v>1</v>
      </c>
      <c r="AB30" s="1352">
        <f t="shared" si="4"/>
        <v>1</v>
      </c>
      <c r="AC30" s="1352">
        <f t="shared" si="5"/>
        <v>1</v>
      </c>
    </row>
    <row r="31" spans="1:29" ht="15">
      <c r="A31" s="358"/>
      <c r="B31" s="1964">
        <v>111</v>
      </c>
      <c r="C31" s="621"/>
      <c r="D31" s="386">
        <v>100</v>
      </c>
      <c r="E31" s="427"/>
      <c r="F31" s="386">
        <f>SUMIF(101:101,E31,102:102)-SUMIF(101:101,C31,102:102)+100</f>
        <v>100</v>
      </c>
      <c r="G31" s="427"/>
      <c r="H31" s="386">
        <f>SUMIF(101:101,G31,102:102)-SUMIF(101:101,C31,102:102)+100</f>
        <v>100</v>
      </c>
      <c r="I31" s="497"/>
      <c r="J31" s="386">
        <f>SUMIF(101:101,I31,102:102)-SUMIF(101:101,C31,102:102)+100</f>
        <v>100</v>
      </c>
      <c r="K31" s="561"/>
      <c r="L31" s="2718"/>
      <c r="M31" s="2712"/>
      <c r="N31" s="2712"/>
      <c r="O31" s="2770"/>
      <c r="P31" s="3688"/>
      <c r="Q31" s="1351">
        <f t="shared" si="8"/>
        <v>111</v>
      </c>
      <c r="R31" s="704" t="s">
        <v>14</v>
      </c>
      <c r="S31" s="705">
        <f t="shared" si="10"/>
        <v>100</v>
      </c>
      <c r="T31" s="704" t="s">
        <v>14</v>
      </c>
      <c r="U31" s="705">
        <f t="shared" si="11"/>
        <v>100</v>
      </c>
      <c r="V31" s="704" t="s">
        <v>14</v>
      </c>
      <c r="W31" s="705">
        <f t="shared" si="12"/>
        <v>100</v>
      </c>
      <c r="X31" s="1354"/>
      <c r="Y31" s="3688"/>
      <c r="Z31" s="1355">
        <f t="shared" si="13"/>
        <v>111</v>
      </c>
      <c r="AA31" s="1352">
        <f t="shared" si="3"/>
        <v>1</v>
      </c>
      <c r="AB31" s="1352">
        <f t="shared" si="4"/>
        <v>1</v>
      </c>
      <c r="AC31" s="1352">
        <f t="shared" si="5"/>
        <v>1</v>
      </c>
    </row>
    <row r="32" spans="1:29" ht="15">
      <c r="A32" s="622"/>
      <c r="B32" s="1990">
        <v>111</v>
      </c>
      <c r="C32" s="621"/>
      <c r="D32" s="386">
        <v>100</v>
      </c>
      <c r="E32" s="427"/>
      <c r="F32" s="386">
        <f>SUMIF(103:103,E33,104:104)-SUMIF(103:103,C33,104:104)+100</f>
        <v>100</v>
      </c>
      <c r="G32" s="427"/>
      <c r="H32" s="386">
        <f>SUMIF(103:103,G32,104:104)-SUMIF(103:103,C32,104:104)+100</f>
        <v>100</v>
      </c>
      <c r="I32" s="621"/>
      <c r="J32" s="386">
        <f>SUMIF(103:103,I32,104:104)-SUMIF(103:103,C32,104:104)+100</f>
        <v>100</v>
      </c>
      <c r="K32" s="561"/>
      <c r="L32" s="2718"/>
      <c r="M32" s="2712"/>
      <c r="N32" s="2712"/>
      <c r="O32" s="2770"/>
      <c r="P32" s="3689" t="s">
        <v>1695</v>
      </c>
      <c r="Q32" s="1351">
        <f t="shared" si="8"/>
        <v>111</v>
      </c>
      <c r="R32" s="704" t="s">
        <v>14</v>
      </c>
      <c r="S32" s="705">
        <f t="shared" si="10"/>
        <v>100</v>
      </c>
      <c r="T32" s="704" t="s">
        <v>14</v>
      </c>
      <c r="U32" s="705">
        <f t="shared" si="11"/>
        <v>100</v>
      </c>
      <c r="V32" s="704" t="s">
        <v>14</v>
      </c>
      <c r="W32" s="705">
        <f t="shared" si="12"/>
        <v>100</v>
      </c>
      <c r="X32" s="1354"/>
      <c r="Y32" s="3690" t="s">
        <v>1695</v>
      </c>
      <c r="Z32" s="1355">
        <f t="shared" si="13"/>
        <v>111</v>
      </c>
      <c r="AA32" s="1352">
        <f t="shared" si="3"/>
        <v>1</v>
      </c>
      <c r="AB32" s="1352">
        <f t="shared" si="4"/>
        <v>1</v>
      </c>
      <c r="AC32" s="1352">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1"/>
      <c r="L33" s="2717"/>
      <c r="M33" s="2719"/>
      <c r="N33" s="2719"/>
      <c r="O33" s="2771"/>
      <c r="P33" s="3690"/>
      <c r="Q33" s="1351">
        <f t="shared" si="8"/>
        <v>111</v>
      </c>
      <c r="R33" s="707" t="s">
        <v>14</v>
      </c>
      <c r="S33" s="708">
        <f t="shared" si="10"/>
        <v>100</v>
      </c>
      <c r="T33" s="707" t="s">
        <v>14</v>
      </c>
      <c r="U33" s="708">
        <f t="shared" si="11"/>
        <v>100</v>
      </c>
      <c r="V33" s="707" t="s">
        <v>14</v>
      </c>
      <c r="W33" s="708">
        <f t="shared" si="12"/>
        <v>100</v>
      </c>
      <c r="X33" s="709"/>
      <c r="Y33" s="3690"/>
      <c r="Z33" s="710">
        <f t="shared" si="13"/>
        <v>111</v>
      </c>
      <c r="AA33" s="1352">
        <f t="shared" si="3"/>
        <v>1</v>
      </c>
      <c r="AB33" s="1352">
        <f t="shared" si="4"/>
        <v>1</v>
      </c>
      <c r="AC33" s="1352">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8"/>
      <c r="J34" s="418" t="e">
        <f>LOOKUP(I34,108:108,109:109)-LOOKUP(C34,108:108,109:109)+100</f>
        <v>#N/A</v>
      </c>
      <c r="K34" s="561"/>
      <c r="L34" s="2718"/>
      <c r="M34" s="2712"/>
      <c r="N34" s="2712"/>
      <c r="O34" s="2770"/>
      <c r="P34" s="3690"/>
      <c r="Q34" s="1351" t="str">
        <f>B34</f>
        <v>宗地面积</v>
      </c>
      <c r="R34" s="704" t="s">
        <v>14</v>
      </c>
      <c r="S34" s="705" t="e">
        <f t="shared" si="10"/>
        <v>#N/A</v>
      </c>
      <c r="T34" s="704" t="s">
        <v>14</v>
      </c>
      <c r="U34" s="705" t="e">
        <f t="shared" si="11"/>
        <v>#N/A</v>
      </c>
      <c r="V34" s="704" t="s">
        <v>14</v>
      </c>
      <c r="W34" s="705" t="e">
        <f t="shared" si="12"/>
        <v>#N/A</v>
      </c>
      <c r="X34" s="1354"/>
      <c r="Y34" s="3690"/>
      <c r="Z34" s="1355" t="str">
        <f t="shared" si="13"/>
        <v>宗地面积</v>
      </c>
      <c r="AA34" s="1352" t="e">
        <f t="shared" si="3"/>
        <v>#N/A</v>
      </c>
      <c r="AB34" s="1352" t="e">
        <f t="shared" si="4"/>
        <v>#N/A</v>
      </c>
      <c r="AC34" s="1352"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0"/>
      <c r="L35" s="2718"/>
      <c r="M35" s="2712"/>
      <c r="N35" s="2712"/>
      <c r="O35" s="2770"/>
      <c r="P35" s="3690"/>
      <c r="Q35" s="1351" t="str">
        <f t="shared" ref="Q35:Q40" si="14">B35</f>
        <v>宗地形状</v>
      </c>
      <c r="R35" s="704" t="s">
        <v>14</v>
      </c>
      <c r="S35" s="705">
        <f t="shared" si="10"/>
        <v>100</v>
      </c>
      <c r="T35" s="704" t="s">
        <v>14</v>
      </c>
      <c r="U35" s="705">
        <f t="shared" si="11"/>
        <v>100</v>
      </c>
      <c r="V35" s="704" t="s">
        <v>14</v>
      </c>
      <c r="W35" s="705">
        <f t="shared" si="12"/>
        <v>100</v>
      </c>
      <c r="X35" s="1354"/>
      <c r="Y35" s="3690"/>
      <c r="Z35" s="1355" t="str">
        <f t="shared" si="13"/>
        <v>宗地形状</v>
      </c>
      <c r="AA35" s="1352">
        <f t="shared" si="3"/>
        <v>1</v>
      </c>
      <c r="AB35" s="1352">
        <f t="shared" si="4"/>
        <v>1</v>
      </c>
      <c r="AC35" s="1352">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0"/>
      <c r="L36" s="2713"/>
      <c r="M36" s="2714"/>
      <c r="N36" s="2714"/>
      <c r="O36" s="2768"/>
      <c r="P36" s="3690"/>
      <c r="Q36" s="1351" t="str">
        <f t="shared" si="14"/>
        <v>宗地开发程度</v>
      </c>
      <c r="R36" s="700" t="s">
        <v>14</v>
      </c>
      <c r="S36" s="701">
        <f t="shared" si="10"/>
        <v>100</v>
      </c>
      <c r="T36" s="700" t="s">
        <v>14</v>
      </c>
      <c r="U36" s="701">
        <f t="shared" si="11"/>
        <v>100</v>
      </c>
      <c r="V36" s="700" t="s">
        <v>14</v>
      </c>
      <c r="W36" s="701">
        <f t="shared" si="12"/>
        <v>100</v>
      </c>
      <c r="X36" s="702"/>
      <c r="Y36" s="3690"/>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0"/>
      <c r="L37" s="2718"/>
      <c r="M37" s="2712"/>
      <c r="N37" s="2712"/>
      <c r="O37" s="2770"/>
      <c r="P37" s="3690" t="s">
        <v>1695</v>
      </c>
      <c r="Q37" s="1351" t="str">
        <f t="shared" si="14"/>
        <v>工程地质条件</v>
      </c>
      <c r="R37" s="704" t="s">
        <v>14</v>
      </c>
      <c r="S37" s="705">
        <f t="shared" si="10"/>
        <v>100</v>
      </c>
      <c r="T37" s="704" t="s">
        <v>14</v>
      </c>
      <c r="U37" s="705">
        <f t="shared" si="11"/>
        <v>100</v>
      </c>
      <c r="V37" s="704" t="s">
        <v>14</v>
      </c>
      <c r="W37" s="705">
        <f t="shared" si="12"/>
        <v>100</v>
      </c>
      <c r="X37" s="1354"/>
      <c r="Y37" s="3690" t="s">
        <v>1695</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7"/>
      <c r="J38" s="386">
        <f>SUMIF(116:116,I38,117:117)-SUMIF(116:116,C38,117:117)+100</f>
        <v>100</v>
      </c>
      <c r="K38" s="561"/>
      <c r="L38" s="2718"/>
      <c r="M38" s="2712"/>
      <c r="N38" s="2712"/>
      <c r="O38" s="2770"/>
      <c r="P38" s="3690"/>
      <c r="Q38" s="1351">
        <f t="shared" si="14"/>
        <v>111</v>
      </c>
      <c r="R38" s="704" t="s">
        <v>14</v>
      </c>
      <c r="S38" s="705">
        <f t="shared" si="10"/>
        <v>100</v>
      </c>
      <c r="T38" s="704" t="s">
        <v>14</v>
      </c>
      <c r="U38" s="705">
        <f t="shared" si="11"/>
        <v>100</v>
      </c>
      <c r="V38" s="704" t="s">
        <v>14</v>
      </c>
      <c r="W38" s="705">
        <f t="shared" si="12"/>
        <v>100</v>
      </c>
      <c r="X38" s="1354"/>
      <c r="Y38" s="3690"/>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7"/>
      <c r="J39" s="386">
        <f>SUMIF(118:118,I39,119:119)-SUMIF(118:118,C39,119:119)+100</f>
        <v>100</v>
      </c>
      <c r="K39" s="561"/>
      <c r="L39" s="2718"/>
      <c r="M39" s="2712"/>
      <c r="N39" s="2712"/>
      <c r="O39" s="2770"/>
      <c r="P39" s="3690"/>
      <c r="Q39" s="1351">
        <f t="shared" si="14"/>
        <v>111</v>
      </c>
      <c r="R39" s="704" t="s">
        <v>14</v>
      </c>
      <c r="S39" s="705">
        <f t="shared" si="10"/>
        <v>100</v>
      </c>
      <c r="T39" s="704" t="s">
        <v>14</v>
      </c>
      <c r="U39" s="705">
        <f t="shared" si="11"/>
        <v>100</v>
      </c>
      <c r="V39" s="704" t="s">
        <v>14</v>
      </c>
      <c r="W39" s="705">
        <f t="shared" si="12"/>
        <v>100</v>
      </c>
      <c r="X39" s="1354"/>
      <c r="Y39" s="3690"/>
      <c r="Z39" s="1355">
        <f t="shared" si="13"/>
        <v>111</v>
      </c>
      <c r="AA39" s="1352">
        <f t="shared" si="3"/>
        <v>1</v>
      </c>
      <c r="AB39" s="1352">
        <f t="shared" si="4"/>
        <v>1</v>
      </c>
      <c r="AC39" s="1352">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7"/>
      <c r="J40" s="389">
        <f>SUMIF(120:120,I40,121:121)-SUMIF(120:120,C40,121:121)+100</f>
        <v>100</v>
      </c>
      <c r="K40" s="628"/>
      <c r="L40" s="2717"/>
      <c r="M40" s="2719"/>
      <c r="N40" s="2719"/>
      <c r="O40" s="2771"/>
      <c r="P40" s="3690"/>
      <c r="Q40" s="1351">
        <f t="shared" si="14"/>
        <v>111</v>
      </c>
      <c r="R40" s="707" t="s">
        <v>14</v>
      </c>
      <c r="S40" s="708">
        <f t="shared" si="10"/>
        <v>100</v>
      </c>
      <c r="T40" s="707" t="s">
        <v>14</v>
      </c>
      <c r="U40" s="708">
        <f t="shared" si="11"/>
        <v>100</v>
      </c>
      <c r="V40" s="707" t="s">
        <v>14</v>
      </c>
      <c r="W40" s="708">
        <f t="shared" si="12"/>
        <v>100</v>
      </c>
      <c r="X40" s="709"/>
      <c r="Y40" s="3690"/>
      <c r="Z40" s="710">
        <f t="shared" si="13"/>
        <v>111</v>
      </c>
      <c r="AA40" s="1352">
        <f t="shared" si="3"/>
        <v>1</v>
      </c>
      <c r="AB40" s="1352">
        <f t="shared" si="4"/>
        <v>1</v>
      </c>
      <c r="AC40" s="1352">
        <f t="shared" si="5"/>
        <v>1</v>
      </c>
    </row>
    <row r="41" spans="1:31" ht="15">
      <c r="A41" s="429" t="s">
        <v>1843</v>
      </c>
      <c r="B41" s="1980" t="s">
        <v>1921</v>
      </c>
      <c r="C41" s="629" t="s">
        <v>0</v>
      </c>
      <c r="D41" s="431"/>
      <c r="E41" s="432"/>
      <c r="F41" s="433"/>
      <c r="G41" s="434"/>
      <c r="H41" s="435"/>
      <c r="I41" s="432"/>
      <c r="J41" s="435"/>
      <c r="K41" s="713"/>
      <c r="L41" s="2720"/>
      <c r="M41" s="2712"/>
      <c r="N41" s="2712"/>
      <c r="O41" s="2721"/>
      <c r="P41" s="3686" t="str">
        <f>A41</f>
        <v>成交单价</v>
      </c>
      <c r="Q41" s="3686"/>
      <c r="R41" s="3691">
        <f>E41</f>
        <v>0</v>
      </c>
      <c r="S41" s="3691"/>
      <c r="T41" s="3691">
        <f>G41</f>
        <v>0</v>
      </c>
      <c r="U41" s="3691"/>
      <c r="V41" s="3691">
        <f>I41</f>
        <v>0</v>
      </c>
      <c r="W41" s="3691"/>
      <c r="X41" s="689"/>
      <c r="Y41" s="711"/>
      <c r="Z41" s="689"/>
      <c r="AA41" s="689"/>
      <c r="AB41" s="689"/>
      <c r="AC41" s="689"/>
    </row>
    <row r="42" spans="1:31" ht="15.75" thickBot="1">
      <c r="A42" s="436" t="s">
        <v>1792</v>
      </c>
      <c r="B42" s="630"/>
      <c r="C42" s="439" t="e">
        <f>R43</f>
        <v>#DIV/0!</v>
      </c>
      <c r="D42" s="2315" t="s">
        <v>2137</v>
      </c>
      <c r="E42" s="439" t="e">
        <f>R42</f>
        <v>#DIV/0!</v>
      </c>
      <c r="F42" s="2316"/>
      <c r="G42" s="438" t="e">
        <f>T42</f>
        <v>#DIV/0!</v>
      </c>
      <c r="H42" s="2316"/>
      <c r="I42" s="439" t="e">
        <f>V42</f>
        <v>#DIV/0!</v>
      </c>
      <c r="J42" s="2316"/>
      <c r="K42" s="2318">
        <f>F42+H42+J42</f>
        <v>0</v>
      </c>
      <c r="L42" s="2720"/>
      <c r="M42" s="2712"/>
      <c r="N42" s="2712"/>
      <c r="O42" s="2721"/>
      <c r="P42" s="3686" t="str">
        <f>A42</f>
        <v>比较价值（元/平方米）</v>
      </c>
      <c r="Q42" s="3686"/>
      <c r="R42" s="3679" t="e">
        <f>ROUND(PRODUCT(R41,AA7:AA40),0)</f>
        <v>#DIV/0!</v>
      </c>
      <c r="S42" s="3679"/>
      <c r="T42" s="3679" t="e">
        <f>ROUND(PRODUCT(T41,AB7:AB40),0)</f>
        <v>#DIV/0!</v>
      </c>
      <c r="U42" s="3679"/>
      <c r="V42" s="3679" t="e">
        <f>ROUND(PRODUCT(V41,AC7:AC40),0)</f>
        <v>#DIV/0!</v>
      </c>
      <c r="W42" s="3679"/>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0"/>
      <c r="M43" s="2712"/>
      <c r="N43" s="2712"/>
      <c r="O43" s="2721"/>
      <c r="P43" s="3680" t="str">
        <f>A43</f>
        <v>估价对象XX用房的比较价值（楼面单价，元/平方米）</v>
      </c>
      <c r="Q43" s="3681"/>
      <c r="R43" s="3682" t="e">
        <f>ROUND(IF(D42="简单平均",AVERAGE(R42:W42),R42*F42+T42*H42+V42*J42),0)</f>
        <v>#DIV/0!</v>
      </c>
      <c r="S43" s="3682"/>
      <c r="T43" s="3682"/>
      <c r="U43" s="3682"/>
      <c r="V43" s="3682"/>
      <c r="W43" s="3682"/>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1" t="s">
        <v>1882</v>
      </c>
      <c r="D50" s="1982" t="s">
        <v>1883</v>
      </c>
      <c r="E50" s="633" t="s">
        <v>1884</v>
      </c>
      <c r="F50" s="634" t="s">
        <v>1885</v>
      </c>
      <c r="G50" s="3683" t="s">
        <v>1886</v>
      </c>
      <c r="H50" s="3684"/>
      <c r="I50" s="1355" t="s">
        <v>1922</v>
      </c>
      <c r="J50" s="1355">
        <f>项目基本情况!F35</f>
        <v>0</v>
      </c>
      <c r="K50" s="1984"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23853.78</v>
      </c>
      <c r="F51" s="638" t="e">
        <f t="shared" ref="F51:F60" si="15">ROUND(B51*E51/10000,0)</f>
        <v>#DIV/0!</v>
      </c>
      <c r="G51" s="3685"/>
      <c r="H51" s="3686"/>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8" t="e">
        <f>ROUND($C$43*C52*D52,0)</f>
        <v>#DIV/0!</v>
      </c>
      <c r="C52" s="171">
        <f t="shared" ref="C52:C60" si="16">IF($C$50="北京市系数",I52,J52)</f>
        <v>0.6</v>
      </c>
      <c r="D52" s="944">
        <v>0.25</v>
      </c>
      <c r="E52" s="641"/>
      <c r="F52" s="638" t="e">
        <f t="shared" si="15"/>
        <v>#DIV/0!</v>
      </c>
      <c r="G52" s="3002" t="s">
        <v>1891</v>
      </c>
      <c r="H52" s="886" t="str">
        <f>项目基本情况!B37</f>
        <v>六级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8" t="e">
        <f t="shared" ref="B53:B60" si="17">ROUND($C$43*C53*D53,0)</f>
        <v>#DIV/0!</v>
      </c>
      <c r="C53" s="171">
        <f t="shared" si="16"/>
        <v>0.3</v>
      </c>
      <c r="D53" s="944">
        <v>0.25</v>
      </c>
      <c r="E53" s="641"/>
      <c r="F53" s="638" t="e">
        <f t="shared" si="15"/>
        <v>#DIV/0!</v>
      </c>
      <c r="G53" s="3003"/>
      <c r="H53" s="886" t="str">
        <f>项目基本情况!B37</f>
        <v>六级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8" t="e">
        <f t="shared" si="17"/>
        <v>#DIV/0!</v>
      </c>
      <c r="C54" s="171">
        <f t="shared" si="16"/>
        <v>0.25</v>
      </c>
      <c r="D54" s="944">
        <v>0.25</v>
      </c>
      <c r="E54" s="641"/>
      <c r="F54" s="638" t="e">
        <f t="shared" si="15"/>
        <v>#DIV/0!</v>
      </c>
      <c r="G54" s="3003"/>
      <c r="H54" s="886" t="str">
        <f>项目基本情况!B37</f>
        <v>六级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8" t="e">
        <f t="shared" si="17"/>
        <v>#DIV/0!</v>
      </c>
      <c r="C56" s="171">
        <f t="shared" si="16"/>
        <v>0.25</v>
      </c>
      <c r="D56" s="944">
        <v>0.25</v>
      </c>
      <c r="E56" s="217">
        <f>'数据-汇总表'!E11</f>
        <v>0</v>
      </c>
      <c r="F56" s="638" t="e">
        <f t="shared" si="15"/>
        <v>#DIV/0!</v>
      </c>
      <c r="G56" s="1985" t="s">
        <v>1895</v>
      </c>
      <c r="H56" s="886" t="str">
        <f>项目基本情况!C37</f>
        <v>六级</v>
      </c>
      <c r="I56" s="772">
        <f>SUMIF(修正!A57:A68,H56,修正!E57:E68)</f>
        <v>0.25</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8" t="e">
        <f t="shared" si="17"/>
        <v>#DIV/0!</v>
      </c>
      <c r="C57" s="171">
        <f t="shared" si="16"/>
        <v>0.25</v>
      </c>
      <c r="D57" s="944">
        <v>0.25</v>
      </c>
      <c r="E57" s="217">
        <f>'数据-汇总表'!E12</f>
        <v>6350.3499999999931</v>
      </c>
      <c r="F57" s="638" t="e">
        <f t="shared" si="15"/>
        <v>#DIV/0!</v>
      </c>
      <c r="G57" s="891" t="s">
        <v>1897</v>
      </c>
      <c r="H57" s="886" t="str">
        <f>IF(G57="商业",项目基本情况!B37,IF(G57="办公",项目基本情况!C37,IF(G57="住宅",项目基本情况!D37,项目基本情况!E37)))</f>
        <v>六级</v>
      </c>
      <c r="I57" s="772">
        <f>SUMIF(修正!A57:A68,H57,修正!F57:F68)</f>
        <v>0.25</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8" t="e">
        <f t="shared" si="17"/>
        <v>#DIV/0!</v>
      </c>
      <c r="C58" s="171">
        <f t="shared" si="16"/>
        <v>0.15</v>
      </c>
      <c r="D58" s="944">
        <v>0.25</v>
      </c>
      <c r="E58" s="217">
        <f>'数据-汇总表'!E13</f>
        <v>22548.009999999973</v>
      </c>
      <c r="F58" s="638" t="e">
        <f t="shared" si="15"/>
        <v>#DIV/0!</v>
      </c>
      <c r="G58" s="891" t="s">
        <v>1899</v>
      </c>
      <c r="H58" s="886" t="str">
        <f>IF(G58="商业",项目基本情况!B37,IF(G58="办公",项目基本情况!C37,IF(G58="住宅",项目基本情况!D37,项目基本情况!E37)))</f>
        <v>六级</v>
      </c>
      <c r="I58" s="772">
        <f>SUMIF(修正!A57:A68,H58,修正!G57:G68)</f>
        <v>0.15</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8" t="e">
        <f t="shared" si="17"/>
        <v>#DIV/0!</v>
      </c>
      <c r="C59" s="171">
        <f t="shared" si="16"/>
        <v>0.15</v>
      </c>
      <c r="D59" s="944">
        <v>0.25</v>
      </c>
      <c r="E59" s="217">
        <f>'数据-汇总表'!E14</f>
        <v>0</v>
      </c>
      <c r="F59" s="638" t="e">
        <f t="shared" si="15"/>
        <v>#DIV/0!</v>
      </c>
      <c r="G59" s="1985" t="s">
        <v>1891</v>
      </c>
      <c r="H59" s="886" t="str">
        <f>项目基本情况!B37</f>
        <v>六级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8" t="e">
        <f t="shared" si="17"/>
        <v>#DIV/0!</v>
      </c>
      <c r="C60" s="171">
        <f t="shared" si="16"/>
        <v>0.15</v>
      </c>
      <c r="D60" s="944">
        <v>0.25</v>
      </c>
      <c r="E60" s="217">
        <f>'数据-汇总表'!E15</f>
        <v>0</v>
      </c>
      <c r="F60" s="638" t="e">
        <f t="shared" si="15"/>
        <v>#DIV/0!</v>
      </c>
      <c r="G60" s="1986" t="s">
        <v>1895</v>
      </c>
      <c r="H60" s="896" t="str">
        <f>项目基本情况!C37</f>
        <v>六级</v>
      </c>
      <c r="I60" s="772">
        <f>SUMIF(修正!A57:A68,H60,修正!G57:G68)</f>
        <v>0.15</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13913.02</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5">
      <c r="A65" s="1987" t="s">
        <v>1903</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1923</v>
      </c>
      <c r="B66" s="288"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83" t="s">
        <v>2083</v>
      </c>
      <c r="D1" s="3784"/>
      <c r="E1" s="3784"/>
      <c r="F1" s="3784"/>
      <c r="G1" s="3784"/>
      <c r="H1" s="3784"/>
      <c r="I1" s="3784"/>
      <c r="J1" s="3784"/>
      <c r="K1" s="3784"/>
      <c r="L1" s="3784"/>
      <c r="M1" s="3784"/>
      <c r="N1" s="3784"/>
      <c r="O1" s="3784"/>
      <c r="P1" s="3784"/>
      <c r="Q1" s="3784"/>
      <c r="R1" s="3784"/>
      <c r="S1" s="3785"/>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49"/>
      <c r="E20" s="1340"/>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80" t="s">
        <v>27</v>
      </c>
      <c r="D22" s="3781"/>
      <c r="E22" s="3781"/>
      <c r="F22" s="3781"/>
      <c r="G22" s="3781"/>
      <c r="H22" s="3781"/>
      <c r="I22" s="3781"/>
      <c r="J22" s="3781"/>
      <c r="K22" s="3781"/>
      <c r="L22" s="3781"/>
      <c r="M22" s="3781"/>
      <c r="N22" s="3781"/>
      <c r="O22" s="3781"/>
      <c r="P22" s="3781"/>
      <c r="Q22" s="3782"/>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5"/>
      <c r="C1" s="2145"/>
      <c r="D1" s="2145"/>
      <c r="E1" s="2145"/>
      <c r="F1" s="2789"/>
      <c r="G1" s="2789"/>
      <c r="H1" s="2789"/>
      <c r="I1" s="2789"/>
      <c r="J1" s="2789"/>
      <c r="K1" s="2789"/>
      <c r="L1" s="2789"/>
      <c r="M1" s="2789"/>
      <c r="N1" s="2789"/>
      <c r="O1" s="2789"/>
      <c r="P1" s="2789"/>
    </row>
    <row r="2" spans="1:16" ht="15.75">
      <c r="A2" s="2143" t="s">
        <v>2072</v>
      </c>
      <c r="B2" s="2598" t="e">
        <f ca="1">SUMIF(B6:B13,"&lt;&gt;#ref!",B6:B13)</f>
        <v>#DIV/0!</v>
      </c>
      <c r="C2" s="2143" t="s">
        <v>2073</v>
      </c>
      <c r="D2" s="2143" t="s">
        <v>2074</v>
      </c>
      <c r="E2" s="2608">
        <f ca="1">SUMIF(E6:E13,"&lt;&gt;#ref!",E6:E13)</f>
        <v>0</v>
      </c>
      <c r="F2" s="2789"/>
      <c r="G2" s="2789"/>
      <c r="H2" s="2789"/>
      <c r="I2" s="2789"/>
      <c r="J2" s="2789"/>
      <c r="K2" s="2789"/>
      <c r="L2" s="2789"/>
      <c r="M2" s="2789"/>
      <c r="N2" s="2789"/>
      <c r="O2" s="2789"/>
      <c r="P2" s="2789"/>
    </row>
    <row r="3" spans="1:16" ht="15.75">
      <c r="A3" s="2143" t="s">
        <v>2075</v>
      </c>
      <c r="B3" s="2598" t="e">
        <f ca="1">ROUND(B2*10000/E2,0)</f>
        <v>#DIV/0!</v>
      </c>
      <c r="C3" s="2143"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4"/>
      <c r="D5" s="2789"/>
      <c r="E5" s="2607" t="s">
        <v>2078</v>
      </c>
      <c r="F5" s="2789"/>
      <c r="G5" s="2789"/>
      <c r="H5" s="2789"/>
      <c r="I5" s="2789"/>
      <c r="J5" s="2789"/>
      <c r="K5" s="2789"/>
      <c r="L5" s="2789"/>
      <c r="M5" s="2789"/>
      <c r="N5" s="2789"/>
      <c r="O5" s="2789"/>
      <c r="P5" s="2789"/>
    </row>
    <row r="6" spans="1:16" ht="15.75">
      <c r="A6" s="2605" t="s">
        <v>2079</v>
      </c>
      <c r="B6" s="2598" t="e">
        <f ca="1">SUMIF(INDIRECT("'"&amp;A6&amp;"'"&amp;"!A:A"),"总价",INDIRECT("'"&amp;A6&amp;"'"&amp;"!B:B"))</f>
        <v>#DIV/0!</v>
      </c>
      <c r="C6" s="2143" t="s">
        <v>2073</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3"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0</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7" t="s">
        <v>1934</v>
      </c>
      <c r="D2" s="1998" t="s">
        <v>1935</v>
      </c>
      <c r="E2" s="3418"/>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7" t="s">
        <v>1940</v>
      </c>
      <c r="D3" s="1998" t="s">
        <v>1941</v>
      </c>
      <c r="E3" s="3416"/>
      <c r="F3" s="2002"/>
      <c r="G3" s="751">
        <f>IF(F3="宗地容积率",'数据-汇总表'!I4,IF(F3="估价对象容积率",'数据-汇总表'!I6,'数据-汇总表'!I7))</f>
        <v>2.8</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793"/>
      <c r="B4" s="3794"/>
      <c r="C4" s="3794"/>
      <c r="D4" s="3795"/>
      <c r="E4" s="3795"/>
      <c r="F4" s="3795"/>
      <c r="G4" s="3795"/>
      <c r="H4" s="3795"/>
      <c r="I4" s="3795"/>
      <c r="J4" s="3796"/>
      <c r="K4" s="1118"/>
      <c r="L4" s="2001"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1946</v>
      </c>
      <c r="C5" s="752" t="e">
        <f>ROUND(IF(E2="商业",C6*C7*C17+C20,(IF(E2="住宅",C6*C13*C17+C20,IF(E2="办公",C6*C12*C17+C20,C6+C20)))),0)</f>
        <v>#DIV/0!</v>
      </c>
      <c r="D5" s="1338" t="e">
        <f>ROUND(C6*C17+C20,0)</f>
        <v>#DIV/0!</v>
      </c>
      <c r="E5" s="1338"/>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v>
      </c>
      <c r="T5" s="3357" t="e">
        <f t="shared" si="0"/>
        <v>#DIV/0!</v>
      </c>
      <c r="U5" s="1212"/>
      <c r="V5" s="3357" t="e">
        <f t="shared" si="1"/>
        <v>#DIV/0!</v>
      </c>
      <c r="W5" s="1215"/>
      <c r="X5" s="1215"/>
      <c r="Y5" s="1215"/>
      <c r="Z5" s="1215"/>
      <c r="AA5" s="1215"/>
      <c r="AB5" s="1215"/>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3"/>
      <c r="L6" s="2001"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v>
      </c>
      <c r="T6" s="3357" t="e">
        <f t="shared" si="0"/>
        <v>#DIV/0!</v>
      </c>
      <c r="U6" s="1212"/>
      <c r="V6" s="3357" t="e">
        <f t="shared" si="1"/>
        <v>#DIV/0!</v>
      </c>
      <c r="W6" s="1215"/>
      <c r="X6" s="1215"/>
      <c r="Y6" s="1215"/>
      <c r="Z6" s="1215"/>
      <c r="AA6" s="1215"/>
      <c r="AB6" s="1215"/>
      <c r="AC6" s="2009"/>
      <c r="AD6" s="2010"/>
      <c r="AE6" s="2010"/>
      <c r="AF6" s="2010"/>
      <c r="AG6" s="2010"/>
      <c r="AH6" s="2010"/>
      <c r="AI6" s="2010"/>
      <c r="AJ6" s="2011"/>
    </row>
    <row r="7" spans="1:36" ht="24.75" thickBot="1">
      <c r="A7" s="3300" t="s">
        <v>3239</v>
      </c>
      <c r="B7" s="2019" t="s">
        <v>1951</v>
      </c>
      <c r="C7" s="754" t="e">
        <f>IF(C8="不临65条商业街",1,ROUND(1+(1.6*E8+1.2*E9+0.8*E10+0.4*E11)*C9,4))</f>
        <v>#DIV/0!</v>
      </c>
      <c r="D7" s="2020" t="s">
        <v>1952</v>
      </c>
      <c r="E7" s="775"/>
      <c r="F7" s="2021"/>
      <c r="G7" s="2022"/>
      <c r="H7" s="2022"/>
      <c r="I7" s="2022"/>
      <c r="J7" s="2023"/>
      <c r="K7" s="1383"/>
      <c r="L7" s="2001"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t="e">
        <f t="shared" si="0"/>
        <v>#DIV/0!</v>
      </c>
      <c r="U7" s="1212"/>
      <c r="V7" s="3357" t="e">
        <f t="shared" si="1"/>
        <v>#DIV/0!</v>
      </c>
      <c r="W7" s="1357" t="s">
        <v>1954</v>
      </c>
      <c r="X7" s="1213">
        <f>G2</f>
        <v>0</v>
      </c>
      <c r="Y7" s="1213" t="s">
        <v>1955</v>
      </c>
      <c r="Z7" s="1214">
        <f>G3</f>
        <v>2.8</v>
      </c>
      <c r="AA7" s="1215"/>
      <c r="AB7" s="1215"/>
      <c r="AC7" s="1216"/>
      <c r="AD7" s="1217"/>
      <c r="AE7" s="1217"/>
      <c r="AF7" s="1217"/>
      <c r="AG7" s="1217"/>
      <c r="AH7" s="1217"/>
      <c r="AI7" s="1217"/>
      <c r="AJ7" s="1218"/>
    </row>
    <row r="8" spans="1:36" ht="15">
      <c r="A8" s="3295"/>
      <c r="B8" s="170" t="s">
        <v>1956</v>
      </c>
      <c r="C8" s="2024"/>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t="e">
        <f t="shared" si="0"/>
        <v>#DIV/0!</v>
      </c>
      <c r="U8" s="1212"/>
      <c r="V8" s="3357" t="e">
        <f t="shared" si="1"/>
        <v>#DIV/0!</v>
      </c>
      <c r="W8" s="3790" t="s">
        <v>1959</v>
      </c>
      <c r="X8" s="379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t="e">
        <f t="shared" si="0"/>
        <v>#DIV/0!</v>
      </c>
      <c r="U9" s="1212"/>
      <c r="V9" s="3357" t="e">
        <f t="shared" si="1"/>
        <v>#DIV/0!</v>
      </c>
      <c r="W9" s="3792"/>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t="e">
        <f t="shared" si="0"/>
        <v>#DIV/0!</v>
      </c>
      <c r="U10" s="1212"/>
      <c r="V10" s="3357" t="e">
        <f t="shared" si="1"/>
        <v>#DIV/0!</v>
      </c>
      <c r="W10" s="379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3244</v>
      </c>
      <c r="B13" s="2032" t="s">
        <v>1981</v>
      </c>
      <c r="C13" s="754">
        <f>ROUND(C16*D16*E16*F16*G16*H16*I16*J16,4)</f>
        <v>0</v>
      </c>
      <c r="D13" s="2033" t="s">
        <v>1982</v>
      </c>
      <c r="E13" s="2034"/>
      <c r="F13" s="2034"/>
      <c r="G13" s="2035"/>
      <c r="H13" s="2035"/>
      <c r="I13" s="2035"/>
      <c r="J13" s="2036"/>
      <c r="K13" s="1118"/>
      <c r="L13" s="3296"/>
      <c r="M13" s="3297"/>
      <c r="N13" s="3298"/>
      <c r="O13" s="1118"/>
      <c r="P13" s="1118"/>
      <c r="Q13" s="1118"/>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8" t="s">
        <v>1984</v>
      </c>
      <c r="C14" s="2039" t="s">
        <v>1985</v>
      </c>
      <c r="D14" s="1349" t="s">
        <v>1986</v>
      </c>
      <c r="E14" s="27" t="s">
        <v>1987</v>
      </c>
      <c r="F14" s="3308" t="s">
        <v>3245</v>
      </c>
      <c r="G14" s="3308" t="s">
        <v>3245</v>
      </c>
      <c r="H14" s="3308" t="s">
        <v>3245</v>
      </c>
      <c r="I14" s="3308" t="s">
        <v>3245</v>
      </c>
      <c r="J14" s="3308" t="s">
        <v>3245</v>
      </c>
      <c r="K14" s="1118"/>
      <c r="L14" s="1118"/>
      <c r="M14" s="1118"/>
      <c r="N14" s="1118"/>
      <c r="O14" s="1118"/>
      <c r="P14" s="1118"/>
      <c r="Q14" s="1118"/>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40"/>
      <c r="C15" s="2041"/>
      <c r="D15" s="2042"/>
      <c r="E15" s="2043"/>
      <c r="F15" s="3309" t="s">
        <v>3246</v>
      </c>
      <c r="G15" s="3310"/>
      <c r="H15" s="3311"/>
      <c r="I15" s="3312"/>
      <c r="J15" s="3313"/>
      <c r="K15" s="1118"/>
      <c r="L15" s="1118"/>
      <c r="M15" s="1118"/>
      <c r="N15" s="1118"/>
      <c r="O15" s="1118"/>
      <c r="P15" s="1118"/>
      <c r="Q15" s="1118"/>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5"/>
      <c r="M16" s="1995"/>
      <c r="N16" s="1995"/>
      <c r="O16" s="1995"/>
      <c r="P16" s="1995"/>
      <c r="Q16" s="1118"/>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t="e">
        <f>ROUND(G18/I18,2)</f>
        <v>#DIV/0!</v>
      </c>
      <c r="F17" s="3318" t="s">
        <v>3252</v>
      </c>
      <c r="G17" s="3327" t="e">
        <f>ROUND(E19/G19,2)</f>
        <v>#DIV/0!</v>
      </c>
      <c r="H17" s="3327"/>
      <c r="I17" s="3327"/>
      <c r="J17" s="3328"/>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9"/>
      <c r="B18" s="3006"/>
      <c r="C18" s="3324"/>
      <c r="D18" s="3319" t="s">
        <v>3250</v>
      </c>
      <c r="E18" s="3325"/>
      <c r="F18" s="3320" t="s">
        <v>3253</v>
      </c>
      <c r="G18" s="3324">
        <f>ROUND(1-(1/(POWER(1+G24,E18))),4)</f>
        <v>0</v>
      </c>
      <c r="H18" s="3320" t="s">
        <v>3255</v>
      </c>
      <c r="I18" s="3324">
        <f>ROUND(1-(1/(POWER(1+G24,J24))),4)</f>
        <v>0</v>
      </c>
      <c r="J18" s="3330"/>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4"/>
    </row>
    <row r="19" spans="1:37" s="2012" customFormat="1" ht="15" thickBot="1">
      <c r="A19" s="3331"/>
      <c r="B19" s="3332"/>
      <c r="C19" s="3333"/>
      <c r="D19" s="3333" t="s">
        <v>3251</v>
      </c>
      <c r="E19" s="3334"/>
      <c r="F19" s="3335" t="s">
        <v>3254</v>
      </c>
      <c r="G19" s="3334"/>
      <c r="H19" s="3333"/>
      <c r="I19" s="3333"/>
      <c r="J19" s="3336"/>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7"/>
      <c r="AH19" s="2139"/>
      <c r="AI19" s="2788"/>
      <c r="AJ19" s="2788"/>
      <c r="AK19" s="2055"/>
    </row>
    <row r="20" spans="1:37" s="2012" customFormat="1" ht="14.25">
      <c r="A20" s="3797" t="s">
        <v>3256</v>
      </c>
      <c r="B20" s="167" t="s">
        <v>1993</v>
      </c>
      <c r="C20" s="3321" t="e">
        <f>ROUND(IF(F21="与级别开发程度一致",0,(G21-E21)/C21),0)</f>
        <v>#DIV/0!</v>
      </c>
      <c r="D20" s="3337" t="s">
        <v>1997</v>
      </c>
      <c r="E20" s="3338"/>
      <c r="F20" s="3803" t="s">
        <v>1994</v>
      </c>
      <c r="G20" s="3804"/>
      <c r="H20" s="3322"/>
      <c r="I20" s="3322"/>
      <c r="J20" s="3323"/>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2" customFormat="1" ht="15" thickBot="1">
      <c r="A21" s="3798"/>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2" customFormat="1" ht="15.75" thickBot="1">
      <c r="A22" s="2156" t="s">
        <v>363</v>
      </c>
      <c r="B22" s="2157" t="s">
        <v>1999</v>
      </c>
      <c r="C22" s="2158">
        <f>SUMIF(修正!C20:C51,E3,修正!E20:E51)</f>
        <v>0</v>
      </c>
      <c r="D22" s="2159"/>
      <c r="E22" s="2160"/>
      <c r="F22" s="2160"/>
      <c r="G22" s="2160"/>
      <c r="H22" s="2160"/>
      <c r="I22" s="2160"/>
      <c r="J22" s="2161"/>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8" t="s">
        <v>364</v>
      </c>
      <c r="B23" s="2049"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2001</v>
      </c>
      <c r="E23" s="760">
        <v>44197</v>
      </c>
      <c r="F23" s="2052" t="s">
        <v>2002</v>
      </c>
      <c r="G23" s="761">
        <f>'数据-取费表'!B2</f>
        <v>45009</v>
      </c>
      <c r="H23" s="3339" t="s">
        <v>3258</v>
      </c>
      <c r="I23" s="3340" t="str">
        <f>IF(H23="季度增幅（自定义）",SUMIF(N25:N28,E2,O25:O28),"")</f>
        <v/>
      </c>
      <c r="J23" s="3442" t="s">
        <v>3257</v>
      </c>
      <c r="K23" s="1124"/>
      <c r="L23" s="2053" t="s">
        <v>2003</v>
      </c>
      <c r="M23" s="1327">
        <f>ROUND(SUMIF(地价!B2:G2,E2,地价!B16:G16),0)</f>
        <v>0</v>
      </c>
      <c r="N23" s="2054" t="s">
        <v>2004</v>
      </c>
      <c r="O23" s="762">
        <f>ROUNDDOWN(DATEDIF(E23,G23,"M")/3,0)</f>
        <v>8</v>
      </c>
      <c r="P23" s="1121"/>
      <c r="Q23" s="2784"/>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t="e">
        <f>ROUND(POWER(1+G24,J24-I24)*(POWER(1+G24,I24)-1)/(POWER(1+G24,J24)-1),4)</f>
        <v>#DIV/0!</v>
      </c>
      <c r="D24" s="2058" t="s">
        <v>2006</v>
      </c>
      <c r="E24" s="1334">
        <f>存贷款利率!E22/100</f>
        <v>4.3499999999999997E-2</v>
      </c>
      <c r="F24" s="2058" t="s">
        <v>1998</v>
      </c>
      <c r="G24" s="767">
        <f>SUMIF(M30:Q30,E2,M33:Q33)</f>
        <v>0</v>
      </c>
      <c r="H24" s="2058" t="s">
        <v>2007</v>
      </c>
      <c r="I24" s="768" t="e">
        <f>SUMIF('数据-取费表'!C6:C15,E2,'数据-取费表'!F6:F15)/COUNTIF('数据-取费表'!C6:C15,E2)</f>
        <v>#DIV/0!</v>
      </c>
      <c r="J24" s="769">
        <f>IF(E2="住宅",70,IF(E2="商业",40,50))</f>
        <v>50</v>
      </c>
      <c r="K24" s="1124"/>
      <c r="L24" s="2059" t="s">
        <v>2008</v>
      </c>
      <c r="M24" s="1328">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3" t="s">
        <v>366</v>
      </c>
      <c r="B25" s="2064" t="s">
        <v>3337</v>
      </c>
      <c r="C25" s="770">
        <f>IF(B25="容积率修正",IF(G3&lt;10,D26,J26),C27)</f>
        <v>0</v>
      </c>
      <c r="D25" s="2065"/>
      <c r="E25" s="2065"/>
      <c r="F25" s="2065"/>
      <c r="G25" s="2065"/>
      <c r="H25" s="2065"/>
      <c r="I25" s="2065"/>
      <c r="J25" s="2066"/>
      <c r="K25" s="1124"/>
      <c r="L25" s="2784"/>
      <c r="M25" s="2784"/>
      <c r="N25" s="2067"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1" t="s">
        <v>3259</v>
      </c>
      <c r="D26" s="1351">
        <f>IF(E26=G26,F26,IF(G3&lt;10,ROUND(F26+(H26-F26)*(G3-E26)/(G26-E26),4),"——"))</f>
        <v>0</v>
      </c>
      <c r="E26" s="751">
        <f>ROUNDDOWN(G3,1)</f>
        <v>2.8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3260</v>
      </c>
      <c r="J26" s="771" t="str">
        <f>IF(G3&gt;=10,D115,"——")</f>
        <v>——</v>
      </c>
      <c r="K26" s="1124"/>
      <c r="L26" s="2784"/>
      <c r="M26" s="2784"/>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v>
      </c>
      <c r="D28" s="2050"/>
      <c r="E28" s="2075"/>
      <c r="F28" s="2075"/>
      <c r="G28" s="2075"/>
      <c r="H28" s="2075"/>
      <c r="I28" s="2075"/>
      <c r="J28" s="2076"/>
      <c r="K28" s="1124"/>
      <c r="L28" s="2784"/>
      <c r="M28" s="2784"/>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t="e">
        <f>IF(B25="容积率修正",E33+SUM(E37:E42),SUM(V2:V16)+SUM(E37:E42))</f>
        <v>#DIV/0!</v>
      </c>
      <c r="D30" s="2081"/>
      <c r="E30" s="2044"/>
      <c r="F30" s="2082"/>
      <c r="G30" s="2044"/>
      <c r="H30" s="2044"/>
      <c r="I30" s="2044"/>
      <c r="J30" s="2083"/>
      <c r="K30" s="1118"/>
      <c r="L30" s="3347" t="s">
        <v>1935</v>
      </c>
      <c r="M30" s="3348" t="s">
        <v>1989</v>
      </c>
      <c r="N30" s="3348" t="s">
        <v>1990</v>
      </c>
      <c r="O30" s="3348" t="s">
        <v>1991</v>
      </c>
      <c r="P30" s="3348" t="s">
        <v>1992</v>
      </c>
      <c r="Q30" s="3351" t="s">
        <v>3264</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t="e">
        <f>E34+SUM(I37:I42)</f>
        <v>#DIV/0!</v>
      </c>
      <c r="D31" s="2085"/>
      <c r="E31" s="2086"/>
      <c r="F31" s="2087"/>
      <c r="G31" s="2086"/>
      <c r="H31" s="2086"/>
      <c r="I31" s="2086"/>
      <c r="J31" s="2088"/>
      <c r="K31" s="1118"/>
      <c r="L31" s="3349" t="s">
        <v>1995</v>
      </c>
      <c r="M31" s="1998">
        <v>0.25</v>
      </c>
      <c r="N31" s="1998">
        <v>0.2</v>
      </c>
      <c r="O31" s="1998">
        <v>0.15</v>
      </c>
      <c r="P31" s="1998">
        <v>0.1</v>
      </c>
      <c r="Q31" s="3344">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t="e">
        <f>ROUND(C5*C22*C23*C24*C25*C28,0)</f>
        <v>#DIV/0!</v>
      </c>
      <c r="D33" s="2096"/>
      <c r="E33" s="772" t="e">
        <f>ROUND(C33*D33/10000,0)</f>
        <v>#DIV/0!</v>
      </c>
      <c r="F33" s="3342" t="s">
        <v>3262</v>
      </c>
      <c r="G33" s="2097"/>
      <c r="H33" s="2097"/>
      <c r="I33" s="2097"/>
      <c r="J33" s="2098"/>
      <c r="K33" s="1118"/>
      <c r="L33" s="3345" t="s">
        <v>3265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t="e">
        <f>ROUND(IF(E2="工业",C33*M42,IF(B25="楼层修正",SUM(V2:V16)*M41*10000/D34,C33*M41)),0)</f>
        <v>#DIV/0!</v>
      </c>
      <c r="D34" s="2101"/>
      <c r="E34" s="772" t="e">
        <f>ROUND(IF(B25="楼层修正",SUM(V2:V16)*M40,C34*D34/10000),0)</f>
        <v>#DIV/0!</v>
      </c>
      <c r="F34" s="2102" t="s">
        <v>2031</v>
      </c>
      <c r="G34" s="2103"/>
      <c r="H34" s="2103"/>
      <c r="I34" s="2103"/>
      <c r="J34" s="2104"/>
      <c r="K34" s="1118"/>
      <c r="L34" s="3345" t="s">
        <v>3266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3" t="s">
        <v>3263</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2026</v>
      </c>
      <c r="D36" s="446" t="s">
        <v>2027</v>
      </c>
      <c r="E36" s="446" t="s">
        <v>2028</v>
      </c>
      <c r="F36" s="342" t="s">
        <v>2034</v>
      </c>
      <c r="G36" s="2110" t="s">
        <v>2026</v>
      </c>
      <c r="H36" s="2110" t="s">
        <v>2027</v>
      </c>
      <c r="I36" s="2110" t="s">
        <v>2028</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01"/>
      <c r="B37" s="2111" t="s">
        <v>2035</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02"/>
      <c r="B38" s="2039" t="s">
        <v>2036</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802"/>
      <c r="B39" s="2039" t="s">
        <v>3261</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3269</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t="e">
        <f>ROUND(POWER(1+E44,H44-G44)*(POWER(1+E44,G44)-1)/(POWER(1+E44,H44)-1),4)</f>
        <v>#DIV/0!</v>
      </c>
      <c r="D44" s="171" t="s">
        <v>1998</v>
      </c>
      <c r="E44" s="2151">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2043</v>
      </c>
      <c r="B49" s="1350" t="s">
        <v>2044</v>
      </c>
      <c r="C49" s="1350" t="s">
        <v>2045</v>
      </c>
      <c r="D49" s="1350" t="s">
        <v>2046</v>
      </c>
      <c r="E49" s="742" t="s">
        <v>2047</v>
      </c>
      <c r="F49" s="2129" t="s">
        <v>2048</v>
      </c>
      <c r="G49" s="1350" t="s">
        <v>310</v>
      </c>
      <c r="H49" s="2130"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估价对象位于XX商圈，周边商业氛围成熟，人流量大，商业繁华度好</v>
      </c>
      <c r="C50" s="2042"/>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估价对象周边道路状况、公共交通通达情况、停车便捷程度，综合评价交通便捷度较好</v>
      </c>
      <c r="C51" s="2042"/>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5" t="s">
        <v>3271</v>
      </c>
      <c r="B52" s="2132">
        <f>估价对象房地状况!C19</f>
        <v>0</v>
      </c>
      <c r="C52" s="2042"/>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2053</v>
      </c>
      <c r="B53" s="2133" t="s">
        <v>2054</v>
      </c>
      <c r="C53" s="2042"/>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2056</v>
      </c>
      <c r="B55" s="2134" t="s">
        <v>2057</v>
      </c>
      <c r="C55" s="2042"/>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2058</v>
      </c>
      <c r="B56" s="1325" t="str">
        <f>估价对象房地状况!C21</f>
        <v>估价对象所在区域公共配套设施齐备情况</v>
      </c>
      <c r="C56" s="2042"/>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v>
      </c>
      <c r="C57" s="2042"/>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区域自然环境：；人文环境；综合评价环境状况一般</v>
      </c>
      <c r="C58" s="2042"/>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50"/>
      <c r="C60" s="1350" t="s">
        <v>2045</v>
      </c>
      <c r="D60" s="1350" t="s">
        <v>2046</v>
      </c>
      <c r="E60" s="742" t="s">
        <v>2047</v>
      </c>
      <c r="F60" s="2129" t="s">
        <v>2062</v>
      </c>
      <c r="G60" s="1350" t="s">
        <v>310</v>
      </c>
      <c r="H60" s="2130"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估价对象位于XX商圈，周边办公楼项目较多，入驻率高，办公集聚程度较好</v>
      </c>
      <c r="C61" s="2042"/>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估价对象周边道路状况、公共交通通达情况、停车便捷程度，综合评价交通便捷度较好</v>
      </c>
      <c r="C62" s="2042"/>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5" t="s">
        <v>3271</v>
      </c>
      <c r="B63" s="2132">
        <f>估价对象房地状况!C19</f>
        <v>0</v>
      </c>
      <c r="C63" s="2042"/>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2058</v>
      </c>
      <c r="B67" s="1325" t="str">
        <f>估价对象房地状况!C21</f>
        <v>估价对象所在区域公共配套设施齐备情况</v>
      </c>
      <c r="C67" s="2042"/>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2059</v>
      </c>
      <c r="B68" s="1325" t="str">
        <f>估价对象房地状况!C22</f>
        <v>估价对象所在区域基础设施水平</v>
      </c>
      <c r="C68" s="2042"/>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区域自然环境：；人文环境；综合评价环境状况一般</v>
      </c>
      <c r="C69" s="2042"/>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50"/>
      <c r="C71" s="1350" t="s">
        <v>2045</v>
      </c>
      <c r="D71" s="1350" t="s">
        <v>2046</v>
      </c>
      <c r="E71" s="742" t="s">
        <v>2047</v>
      </c>
      <c r="F71" s="2129" t="s">
        <v>2062</v>
      </c>
      <c r="G71" s="1350" t="s">
        <v>310</v>
      </c>
      <c r="H71" s="2130"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1">
      <c r="A72" s="2128" t="s">
        <v>2065</v>
      </c>
      <c r="B72" s="2131" t="str">
        <f>估价对象房地状况!C15</f>
        <v>估价对象周边居住用地比例、居住小区规模和社区发展完善程度，综合评价居住社区成熟度较好</v>
      </c>
      <c r="C72" s="2042"/>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估价对象周边道路状况、公共交通通达情况、停车便捷程度，综合评价交通便捷度较好</v>
      </c>
      <c r="C73" s="2042"/>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5" t="s">
        <v>3271</v>
      </c>
      <c r="B74" s="2132">
        <f>估价对象房地状况!C19</f>
        <v>0</v>
      </c>
      <c r="C74" s="2042"/>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2066</v>
      </c>
      <c r="B75" s="2132">
        <f>估价对象房地状况!C24</f>
        <v>0</v>
      </c>
      <c r="C75" s="2042"/>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2058</v>
      </c>
      <c r="B76" s="1325" t="str">
        <f>估价对象房地状况!C21</f>
        <v>估价对象所在区域公共配套设施齐备情况</v>
      </c>
      <c r="C76" s="2042"/>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2059</v>
      </c>
      <c r="B77" s="1325" t="str">
        <f>估价对象房地状况!C22</f>
        <v>估价对象所在区域基础设施水平</v>
      </c>
      <c r="C77" s="2042"/>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2056</v>
      </c>
      <c r="B78" s="2134" t="s">
        <v>2057</v>
      </c>
      <c r="C78" s="2042"/>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2060</v>
      </c>
      <c r="B79" s="2131" t="str">
        <f>估价对象房地状况!C20</f>
        <v>区域自然环境：；人文环境；综合评价环境状况一般</v>
      </c>
      <c r="C79" s="2042"/>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6"/>
      <c r="AA79" s="2051"/>
      <c r="AG79" s="1120"/>
      <c r="AK79" s="2051"/>
    </row>
    <row r="80" spans="1:37" ht="24.75" thickBot="1">
      <c r="A80" s="2136" t="s">
        <v>2067</v>
      </c>
      <c r="B80" s="2140"/>
      <c r="C80" s="2042"/>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50"/>
      <c r="C82" s="1350" t="s">
        <v>2045</v>
      </c>
      <c r="D82" s="1350" t="s">
        <v>2046</v>
      </c>
      <c r="E82" s="742" t="s">
        <v>2047</v>
      </c>
      <c r="F82" s="2129" t="s">
        <v>2062</v>
      </c>
      <c r="G82" s="1350" t="s">
        <v>310</v>
      </c>
      <c r="H82" s="2130" t="s">
        <v>2049</v>
      </c>
      <c r="I82" s="1350" t="s">
        <v>2050</v>
      </c>
      <c r="J82" s="551" t="s">
        <v>1720</v>
      </c>
      <c r="K82" s="551" t="s">
        <v>1721</v>
      </c>
      <c r="L82" s="551" t="s">
        <v>1722</v>
      </c>
      <c r="M82" s="551" t="s">
        <v>1723</v>
      </c>
      <c r="N82" s="551" t="s">
        <v>1724</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2">SUMIF($J$82:$N$82,C83,J83:N83)</f>
        <v>0</v>
      </c>
      <c r="E83" s="743">
        <f>ROUND(SUM(D83:D90),4)</f>
        <v>0</v>
      </c>
      <c r="F83" s="1813"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2"/>
        <v>0</v>
      </c>
      <c r="E84" s="746"/>
      <c r="F84" s="1813"/>
      <c r="G84" s="1062"/>
      <c r="H84" s="1065" t="str">
        <f t="shared" si="23"/>
        <v>——</v>
      </c>
      <c r="I84" s="3363">
        <v>0.3</v>
      </c>
      <c r="J84" s="1063">
        <f t="shared" si="24"/>
        <v>0</v>
      </c>
      <c r="K84" s="1063">
        <f t="shared" si="25"/>
        <v>0</v>
      </c>
      <c r="L84" s="1063">
        <v>0</v>
      </c>
      <c r="M84" s="1063">
        <f t="shared" si="26"/>
        <v>0</v>
      </c>
      <c r="N84" s="1063">
        <f t="shared" si="26"/>
        <v>0</v>
      </c>
      <c r="Z84" s="1996"/>
      <c r="AA84" s="2051"/>
      <c r="AG84" s="1120"/>
      <c r="AK84" s="2051"/>
    </row>
    <row r="85" spans="1:37" ht="36">
      <c r="A85" s="3365" t="s">
        <v>3272</v>
      </c>
      <c r="B85" s="2132">
        <f>估价对象房地状况!G17</f>
        <v>0</v>
      </c>
      <c r="C85" s="2042"/>
      <c r="D85" s="1064">
        <f t="shared" si="22"/>
        <v>0</v>
      </c>
      <c r="E85" s="746"/>
      <c r="F85" s="1813"/>
      <c r="G85" s="1062"/>
      <c r="H85" s="1065" t="str">
        <f t="shared" si="23"/>
        <v>——</v>
      </c>
      <c r="I85" s="3363">
        <v>0.1</v>
      </c>
      <c r="J85" s="1063">
        <f t="shared" si="24"/>
        <v>0</v>
      </c>
      <c r="K85" s="1063">
        <f t="shared" si="25"/>
        <v>0</v>
      </c>
      <c r="L85" s="1063">
        <v>0</v>
      </c>
      <c r="M85" s="1063">
        <f t="shared" si="26"/>
        <v>0</v>
      </c>
      <c r="N85" s="1063">
        <f t="shared" si="26"/>
        <v>0</v>
      </c>
      <c r="Z85" s="1996"/>
      <c r="AA85" s="2051"/>
      <c r="AG85" s="1120"/>
      <c r="AK85" s="2051"/>
    </row>
    <row r="86" spans="1:37" ht="14.25">
      <c r="A86" s="2128" t="s">
        <v>2066</v>
      </c>
      <c r="B86" s="2132">
        <f>估价对象房地状况!G22</f>
        <v>0</v>
      </c>
      <c r="C86" s="2042"/>
      <c r="D86" s="1064">
        <f t="shared" si="22"/>
        <v>0</v>
      </c>
      <c r="E86" s="746"/>
      <c r="F86" s="1813"/>
      <c r="G86" s="1062"/>
      <c r="H86" s="1065" t="str">
        <f t="shared" si="23"/>
        <v>——</v>
      </c>
      <c r="I86" s="3363">
        <v>0.05</v>
      </c>
      <c r="J86" s="1063">
        <f t="shared" si="24"/>
        <v>0</v>
      </c>
      <c r="K86" s="1063">
        <f t="shared" si="25"/>
        <v>0</v>
      </c>
      <c r="L86" s="1063">
        <v>0</v>
      </c>
      <c r="M86" s="1063">
        <f t="shared" si="26"/>
        <v>0</v>
      </c>
      <c r="N86" s="1063">
        <f t="shared" si="26"/>
        <v>0</v>
      </c>
      <c r="Z86" s="1996"/>
      <c r="AA86" s="2051"/>
      <c r="AG86" s="1120"/>
      <c r="AK86" s="2051"/>
    </row>
    <row r="87" spans="1:37" ht="25.5">
      <c r="A87" s="2128" t="s">
        <v>2058</v>
      </c>
      <c r="B87" s="1325" t="str">
        <f>估价对象房地状况!G19</f>
        <v>估价对象所在区域公共配套设施齐备情况</v>
      </c>
      <c r="C87" s="2042"/>
      <c r="D87" s="1064">
        <f t="shared" si="22"/>
        <v>0</v>
      </c>
      <c r="E87" s="746"/>
      <c r="F87" s="1813"/>
      <c r="G87" s="1062"/>
      <c r="H87" s="1065" t="str">
        <f t="shared" si="23"/>
        <v>——</v>
      </c>
      <c r="I87" s="3363">
        <v>0.06</v>
      </c>
      <c r="J87" s="1063">
        <f t="shared" si="24"/>
        <v>0</v>
      </c>
      <c r="K87" s="1063">
        <f t="shared" si="25"/>
        <v>0</v>
      </c>
      <c r="L87" s="1063">
        <v>0</v>
      </c>
      <c r="M87" s="1063">
        <f t="shared" si="26"/>
        <v>0</v>
      </c>
      <c r="N87" s="1063">
        <f t="shared" si="26"/>
        <v>0</v>
      </c>
    </row>
    <row r="88" spans="1:37" ht="25.5">
      <c r="A88" s="2128" t="s">
        <v>2059</v>
      </c>
      <c r="B88" s="1325" t="str">
        <f>估价对象房地状况!G20</f>
        <v>估价对象所在区域基础设施水平</v>
      </c>
      <c r="C88" s="2042"/>
      <c r="D88" s="1064">
        <f t="shared" si="22"/>
        <v>0</v>
      </c>
      <c r="E88" s="746"/>
      <c r="F88" s="1813"/>
      <c r="G88" s="1062"/>
      <c r="H88" s="1065" t="str">
        <f t="shared" si="23"/>
        <v>——</v>
      </c>
      <c r="I88" s="3363">
        <v>0.12</v>
      </c>
      <c r="J88" s="1063">
        <f t="shared" si="24"/>
        <v>0</v>
      </c>
      <c r="K88" s="1063">
        <f t="shared" si="25"/>
        <v>0</v>
      </c>
      <c r="L88" s="1063">
        <v>0</v>
      </c>
      <c r="M88" s="1063">
        <f t="shared" si="26"/>
        <v>0</v>
      </c>
      <c r="N88" s="1063">
        <f t="shared" si="26"/>
        <v>0</v>
      </c>
    </row>
    <row r="89" spans="1:37" ht="24">
      <c r="A89" s="2128" t="s">
        <v>2056</v>
      </c>
      <c r="B89" s="2134" t="s">
        <v>2070</v>
      </c>
      <c r="C89" s="2042"/>
      <c r="D89" s="1064">
        <f t="shared" si="22"/>
        <v>0</v>
      </c>
      <c r="E89" s="746"/>
      <c r="F89" s="1813"/>
      <c r="G89" s="1062"/>
      <c r="H89" s="1065" t="str">
        <f t="shared" si="23"/>
        <v>——</v>
      </c>
      <c r="I89" s="3363">
        <v>0.06</v>
      </c>
      <c r="J89" s="1063">
        <f t="shared" si="24"/>
        <v>0</v>
      </c>
      <c r="K89" s="1063">
        <f t="shared" si="25"/>
        <v>0</v>
      </c>
      <c r="L89" s="1063">
        <v>0</v>
      </c>
      <c r="M89" s="1063">
        <f t="shared" si="26"/>
        <v>0</v>
      </c>
      <c r="N89" s="1063">
        <f t="shared" si="26"/>
        <v>0</v>
      </c>
    </row>
    <row r="90" spans="1:37" ht="39" thickBot="1">
      <c r="A90" s="2136" t="s">
        <v>2071</v>
      </c>
      <c r="B90" s="2141" t="str">
        <f>估价对象房地状况!G18</f>
        <v>该园区内是否有污染型企业，绿化情况，卫生条件，整体环境状况判断</v>
      </c>
      <c r="C90" s="2042"/>
      <c r="D90" s="1064">
        <f t="shared" si="22"/>
        <v>0</v>
      </c>
      <c r="E90" s="747"/>
      <c r="F90" s="1813"/>
      <c r="G90" s="1062"/>
      <c r="H90" s="1065" t="str">
        <f t="shared" si="23"/>
        <v>——</v>
      </c>
      <c r="I90" s="3364">
        <v>0.05</v>
      </c>
      <c r="J90" s="1063">
        <f t="shared" si="24"/>
        <v>0</v>
      </c>
      <c r="K90" s="1063">
        <f t="shared" si="25"/>
        <v>0</v>
      </c>
      <c r="L90" s="1063">
        <v>0</v>
      </c>
      <c r="M90" s="1063">
        <f t="shared" si="26"/>
        <v>0</v>
      </c>
      <c r="N90" s="1063">
        <f t="shared" si="26"/>
        <v>0</v>
      </c>
    </row>
    <row r="91" spans="1:37" ht="15">
      <c r="A91" s="3373" t="s">
        <v>2610</v>
      </c>
      <c r="B91" s="3374">
        <f>1+E93</f>
        <v>1</v>
      </c>
      <c r="C91" s="3367"/>
      <c r="D91" s="3368"/>
      <c r="E91" s="1813"/>
      <c r="F91" s="1813"/>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5"/>
      <c r="C93" s="2042"/>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3275</v>
      </c>
      <c r="B94" s="3366" t="str">
        <f>估价对象房地状况!C18</f>
        <v>估价对象周边道路状况、公共交通通达情况、停车便捷程度，综合评价交通便捷度较好</v>
      </c>
      <c r="C94" s="2042"/>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3271</v>
      </c>
      <c r="B95" s="3366">
        <f>估价对象房地状况!C19</f>
        <v>0</v>
      </c>
      <c r="C95" s="2042"/>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3276</v>
      </c>
      <c r="B96" s="3381" t="s">
        <v>3287</v>
      </c>
      <c r="C96" s="2042"/>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2"/>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3278</v>
      </c>
      <c r="B98" s="3382" t="s">
        <v>3288</v>
      </c>
      <c r="C98" s="2042"/>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3279</v>
      </c>
      <c r="B99" s="3366" t="str">
        <f>估价对象房地状况!C21</f>
        <v>估价对象所在区域公共配套设施齐备情况</v>
      </c>
      <c r="C99" s="2042"/>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3280</v>
      </c>
      <c r="B100" s="3366" t="str">
        <f>估价对象房地状况!C22</f>
        <v>估价对象所在区域基础设施水平</v>
      </c>
      <c r="C100" s="2042"/>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3281</v>
      </c>
      <c r="B101" s="3383" t="str">
        <f>估价对象房地状况!C20</f>
        <v>区域自然环境：；人文环境；综合评价环境状况一般</v>
      </c>
      <c r="C101" s="2042"/>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9" t="s">
        <v>3296</v>
      </c>
      <c r="B103" s="3799"/>
      <c r="C103" s="3799"/>
      <c r="D103" s="3799"/>
      <c r="E103" s="3799"/>
      <c r="F103" s="3799"/>
      <c r="G103" s="3799"/>
      <c r="H103" s="3799"/>
      <c r="I103" s="3799"/>
      <c r="J103" s="3799"/>
      <c r="K103" s="3386"/>
      <c r="L103" s="3386"/>
      <c r="M103" s="3386"/>
      <c r="N103" s="3386"/>
    </row>
    <row r="104" spans="1:14">
      <c r="A104" s="3800" t="s">
        <v>3297</v>
      </c>
      <c r="B104" s="3800" t="s">
        <v>3298</v>
      </c>
      <c r="C104" s="3387" t="s">
        <v>3299</v>
      </c>
      <c r="D104" s="3388"/>
      <c r="E104" s="3388"/>
      <c r="F104" s="3388"/>
      <c r="G104" s="3388"/>
      <c r="H104" s="3388"/>
      <c r="I104" s="3388"/>
      <c r="J104" s="3389"/>
      <c r="K104" s="3390"/>
      <c r="L104" s="3390"/>
      <c r="M104" s="3390"/>
      <c r="N104" s="3390"/>
    </row>
    <row r="105" spans="1:14">
      <c r="A105" s="3800"/>
      <c r="B105" s="3800"/>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86"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7"/>
      <c r="B111" s="3391" t="s">
        <v>3270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89" t="s">
        <v>3313</v>
      </c>
      <c r="B113" s="3789"/>
      <c r="C113" s="3789"/>
      <c r="D113" s="3789"/>
      <c r="E113" s="3789"/>
      <c r="F113" s="3789"/>
      <c r="G113" s="3789"/>
      <c r="H113" s="3789"/>
      <c r="I113" s="3789"/>
      <c r="J113" s="378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2.8</v>
      </c>
      <c r="C116" s="3396" t="s">
        <v>3315</v>
      </c>
      <c r="D116" s="3397">
        <f>SUMPRODUCT((A118:A122=F116)*(B117:M117=H116)*B118:M122)</f>
        <v>0</v>
      </c>
      <c r="E116" s="1998" t="s">
        <v>3316</v>
      </c>
      <c r="F116" s="3398">
        <f>E2</f>
        <v>0</v>
      </c>
      <c r="G116" s="1998" t="s">
        <v>3317</v>
      </c>
      <c r="H116" s="3398">
        <f>G2</f>
        <v>0</v>
      </c>
      <c r="I116" s="1998"/>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0.96599999999999997</v>
      </c>
      <c r="C118" s="3384">
        <f>B118</f>
        <v>0.96599999999999997</v>
      </c>
      <c r="D118" s="3384">
        <f>ROUND(0.949-0.014*B116,4)</f>
        <v>0.90980000000000005</v>
      </c>
      <c r="E118" s="3384">
        <f>D118</f>
        <v>0.90980000000000005</v>
      </c>
      <c r="F118" s="3384">
        <f>E118</f>
        <v>0.90980000000000005</v>
      </c>
      <c r="G118" s="3384">
        <f>F118</f>
        <v>0.90980000000000005</v>
      </c>
      <c r="H118" s="3384">
        <f>G118</f>
        <v>0.90980000000000005</v>
      </c>
      <c r="I118" s="3384">
        <f>ROUND(0.8486-0.018*B116,4)</f>
        <v>0.79820000000000002</v>
      </c>
      <c r="J118" s="3384">
        <f t="shared" ref="J118:M122" si="35">I118</f>
        <v>0.79820000000000002</v>
      </c>
      <c r="K118" s="3384">
        <f t="shared" si="35"/>
        <v>0.79820000000000002</v>
      </c>
      <c r="L118" s="3384">
        <f t="shared" si="35"/>
        <v>0.79820000000000002</v>
      </c>
      <c r="M118" s="3407">
        <f t="shared" si="35"/>
        <v>0.79820000000000002</v>
      </c>
      <c r="N118" s="3394"/>
    </row>
    <row r="119" spans="1:14">
      <c r="A119" s="3406" t="s">
        <v>3331</v>
      </c>
      <c r="B119" s="3384">
        <f>ROUND(0.993-0.0112*B116,4)</f>
        <v>0.96160000000000001</v>
      </c>
      <c r="C119" s="3384">
        <f>B119</f>
        <v>0.96160000000000001</v>
      </c>
      <c r="D119" s="3384">
        <f>ROUND(0.9415-0.0142*B116,4)</f>
        <v>0.90169999999999995</v>
      </c>
      <c r="E119" s="3384">
        <f t="shared" ref="E119:H120" si="36">D119</f>
        <v>0.90169999999999995</v>
      </c>
      <c r="F119" s="3384">
        <f t="shared" si="36"/>
        <v>0.90169999999999995</v>
      </c>
      <c r="G119" s="3384">
        <f t="shared" si="36"/>
        <v>0.90169999999999995</v>
      </c>
      <c r="H119" s="3384">
        <f t="shared" si="36"/>
        <v>0.90169999999999995</v>
      </c>
      <c r="I119" s="3384">
        <f>ROUND(0.838-0.0182*B116,4)</f>
        <v>0.78700000000000003</v>
      </c>
      <c r="J119" s="3384">
        <f t="shared" si="35"/>
        <v>0.78700000000000003</v>
      </c>
      <c r="K119" s="3384">
        <f t="shared" si="35"/>
        <v>0.78700000000000003</v>
      </c>
      <c r="L119" s="3384">
        <f t="shared" si="35"/>
        <v>0.78700000000000003</v>
      </c>
      <c r="M119" s="3407">
        <f t="shared" si="35"/>
        <v>0.78700000000000003</v>
      </c>
      <c r="N119" s="3394"/>
    </row>
    <row r="120" spans="1:14">
      <c r="A120" s="3406" t="s">
        <v>3332</v>
      </c>
      <c r="B120" s="3384">
        <f>ROUND(0.9448-0.0115*B116,4)</f>
        <v>0.91259999999999997</v>
      </c>
      <c r="C120" s="3384">
        <f>B120</f>
        <v>0.91259999999999997</v>
      </c>
      <c r="D120" s="3384">
        <f>ROUND(0.937-0.0145*B116,4)</f>
        <v>0.89639999999999997</v>
      </c>
      <c r="E120" s="3384">
        <f t="shared" si="36"/>
        <v>0.89639999999999997</v>
      </c>
      <c r="F120" s="3384">
        <f t="shared" si="36"/>
        <v>0.89639999999999997</v>
      </c>
      <c r="G120" s="3384">
        <f t="shared" si="36"/>
        <v>0.89639999999999997</v>
      </c>
      <c r="H120" s="3384">
        <f t="shared" si="36"/>
        <v>0.89639999999999997</v>
      </c>
      <c r="I120" s="3384">
        <f>ROUND(0.7965-0.0185*B116,4)</f>
        <v>0.74470000000000003</v>
      </c>
      <c r="J120" s="3384">
        <f t="shared" si="35"/>
        <v>0.74470000000000003</v>
      </c>
      <c r="K120" s="3384">
        <f t="shared" si="35"/>
        <v>0.74470000000000003</v>
      </c>
      <c r="L120" s="3384">
        <f t="shared" si="35"/>
        <v>0.74470000000000003</v>
      </c>
      <c r="M120" s="3407">
        <f t="shared" si="35"/>
        <v>0.74470000000000003</v>
      </c>
      <c r="N120" s="3394"/>
    </row>
    <row r="121" spans="1:14" ht="13.5" thickBot="1">
      <c r="A121" s="3408" t="s">
        <v>3333</v>
      </c>
      <c r="B121" s="3409">
        <f>ROUND(0.7836-0.012*B116,4)</f>
        <v>0.75</v>
      </c>
      <c r="C121" s="3409">
        <f>B121</f>
        <v>0.75</v>
      </c>
      <c r="D121" s="3409">
        <f>ROUND(0.753-0.015*B116,4)</f>
        <v>0.71099999999999997</v>
      </c>
      <c r="E121" s="3409">
        <f>D121</f>
        <v>0.71099999999999997</v>
      </c>
      <c r="F121" s="3409">
        <f>E121</f>
        <v>0.71099999999999997</v>
      </c>
      <c r="G121" s="3409">
        <f>ROUND(0.6612-0.018*B116,4)</f>
        <v>0.61080000000000001</v>
      </c>
      <c r="H121" s="3409">
        <f>G121</f>
        <v>0.61080000000000001</v>
      </c>
      <c r="I121" s="3409">
        <f>ROUND(0.5905-0.019*B116,4)</f>
        <v>0.5373</v>
      </c>
      <c r="J121" s="3409">
        <f t="shared" si="35"/>
        <v>0.5373</v>
      </c>
      <c r="K121" s="3409">
        <f t="shared" si="35"/>
        <v>0.5373</v>
      </c>
      <c r="L121" s="3409">
        <f t="shared" si="35"/>
        <v>0.5373</v>
      </c>
      <c r="M121" s="3410">
        <f t="shared" si="35"/>
        <v>0.5373</v>
      </c>
      <c r="N121" s="3394"/>
    </row>
    <row r="122" spans="1:14">
      <c r="A122" s="3411" t="s">
        <v>2610</v>
      </c>
      <c r="B122" s="3384">
        <f>ROUND(0.9404-0.0106*B116,4)</f>
        <v>0.91069999999999995</v>
      </c>
      <c r="C122" s="3384">
        <f>B122</f>
        <v>0.91069999999999995</v>
      </c>
      <c r="D122" s="3384">
        <f>ROUND(0.8955-0.0135*B116,4)</f>
        <v>0.85770000000000002</v>
      </c>
      <c r="E122" s="3384">
        <f t="shared" ref="E122:H122" si="37">D122</f>
        <v>0.85770000000000002</v>
      </c>
      <c r="F122" s="3384">
        <f t="shared" si="37"/>
        <v>0.85770000000000002</v>
      </c>
      <c r="G122" s="3384">
        <f t="shared" si="37"/>
        <v>0.85770000000000002</v>
      </c>
      <c r="H122" s="3384">
        <f t="shared" si="37"/>
        <v>0.85770000000000002</v>
      </c>
      <c r="I122" s="3384">
        <f>ROUND(0.7632-0.0166*B116,4)</f>
        <v>0.7167</v>
      </c>
      <c r="J122" s="3384">
        <f t="shared" si="35"/>
        <v>0.7167</v>
      </c>
      <c r="K122" s="3384">
        <f t="shared" si="35"/>
        <v>0.7167</v>
      </c>
      <c r="L122" s="3384">
        <f t="shared" si="35"/>
        <v>0.7167</v>
      </c>
      <c r="M122" s="3407">
        <f t="shared" si="35"/>
        <v>0.7167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814" t="s">
        <v>2605</v>
      </c>
      <c r="B20" s="3809" t="s">
        <v>2626</v>
      </c>
      <c r="C20" s="3099" t="s">
        <v>2437</v>
      </c>
      <c r="D20" s="3100"/>
      <c r="E20" s="3101">
        <v>1</v>
      </c>
      <c r="F20" s="3102" t="s">
        <v>2438</v>
      </c>
      <c r="G20" s="3102"/>
    </row>
    <row r="21" spans="1:13" ht="19.5" customHeight="1">
      <c r="A21" s="3815"/>
      <c r="B21" s="3808"/>
      <c r="C21" s="3103" t="s">
        <v>2439</v>
      </c>
      <c r="D21" s="3104"/>
      <c r="E21" s="3105">
        <v>1</v>
      </c>
      <c r="F21" s="3102" t="s">
        <v>2440</v>
      </c>
      <c r="G21" s="3102"/>
    </row>
    <row r="22" spans="1:13" ht="19.5" customHeight="1">
      <c r="A22" s="3815"/>
      <c r="B22" s="3808"/>
      <c r="C22" s="3103" t="s">
        <v>2441</v>
      </c>
      <c r="D22" s="3104"/>
      <c r="E22" s="3105">
        <v>0.9</v>
      </c>
      <c r="F22" s="3102" t="s">
        <v>2442</v>
      </c>
      <c r="G22" s="3102"/>
    </row>
    <row r="23" spans="1:13" ht="19.5" customHeight="1">
      <c r="A23" s="3815"/>
      <c r="B23" s="3808"/>
      <c r="C23" s="3103" t="s">
        <v>2443</v>
      </c>
      <c r="D23" s="3104"/>
      <c r="E23" s="3105">
        <v>0.9</v>
      </c>
      <c r="F23" s="3102" t="s">
        <v>2444</v>
      </c>
      <c r="G23" s="3102"/>
    </row>
    <row r="24" spans="1:13" ht="19.5" customHeight="1">
      <c r="A24" s="3815"/>
      <c r="B24" s="3808"/>
      <c r="C24" s="3103" t="s">
        <v>2445</v>
      </c>
      <c r="D24" s="3104"/>
      <c r="E24" s="3105">
        <v>0.8</v>
      </c>
      <c r="F24" s="3102" t="s">
        <v>2446</v>
      </c>
      <c r="G24" s="3102"/>
    </row>
    <row r="25" spans="1:13" ht="19.5" customHeight="1" thickBot="1">
      <c r="A25" s="3816"/>
      <c r="B25" s="3810"/>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811" t="s">
        <v>2629</v>
      </c>
      <c r="B27" s="3809" t="s">
        <v>2610</v>
      </c>
      <c r="C27" s="3099" t="s">
        <v>2450</v>
      </c>
      <c r="D27" s="3100"/>
      <c r="E27" s="3101">
        <v>1</v>
      </c>
      <c r="F27" s="3102" t="s">
        <v>2451</v>
      </c>
      <c r="G27" s="3102"/>
    </row>
    <row r="28" spans="1:13" ht="19.5" customHeight="1">
      <c r="A28" s="3812"/>
      <c r="B28" s="3808"/>
      <c r="C28" s="3103" t="s">
        <v>2452</v>
      </c>
      <c r="D28" s="3104"/>
      <c r="E28" s="3105">
        <v>1</v>
      </c>
      <c r="F28" s="3102" t="s">
        <v>2453</v>
      </c>
      <c r="G28" s="3102"/>
    </row>
    <row r="29" spans="1:13" ht="19.5" customHeight="1">
      <c r="A29" s="3812"/>
      <c r="B29" s="3808"/>
      <c r="C29" s="3103" t="s">
        <v>2454</v>
      </c>
      <c r="D29" s="3104"/>
      <c r="E29" s="3105">
        <v>0.8</v>
      </c>
      <c r="F29" s="3102" t="s">
        <v>2455</v>
      </c>
      <c r="G29" s="3102"/>
    </row>
    <row r="30" spans="1:13" ht="19.5" customHeight="1">
      <c r="A30" s="3812"/>
      <c r="B30" s="3808"/>
      <c r="C30" s="3103" t="s">
        <v>2456</v>
      </c>
      <c r="D30" s="3104"/>
      <c r="E30" s="3105">
        <v>0.8</v>
      </c>
      <c r="F30" s="3102" t="s">
        <v>2457</v>
      </c>
      <c r="G30" s="3102"/>
    </row>
    <row r="31" spans="1:13" ht="19.5" customHeight="1">
      <c r="A31" s="3812"/>
      <c r="B31" s="3808"/>
      <c r="C31" s="3103" t="s">
        <v>2458</v>
      </c>
      <c r="D31" s="3104"/>
      <c r="E31" s="3105">
        <v>0.8</v>
      </c>
      <c r="F31" s="3102" t="s">
        <v>2459</v>
      </c>
      <c r="G31" s="3102"/>
    </row>
    <row r="32" spans="1:13" ht="19.5" customHeight="1">
      <c r="A32" s="3812"/>
      <c r="B32" s="3808"/>
      <c r="C32" s="3103" t="s">
        <v>2460</v>
      </c>
      <c r="D32" s="3104"/>
      <c r="E32" s="3105">
        <v>0.7</v>
      </c>
      <c r="F32" s="3102" t="s">
        <v>2461</v>
      </c>
      <c r="G32" s="3102"/>
    </row>
    <row r="33" spans="1:7" ht="19.5" customHeight="1">
      <c r="A33" s="3812"/>
      <c r="B33" s="3808"/>
      <c r="C33" s="3103" t="s">
        <v>2462</v>
      </c>
      <c r="D33" s="3104"/>
      <c r="E33" s="3105">
        <v>0.8</v>
      </c>
      <c r="F33" s="3102" t="s">
        <v>2463</v>
      </c>
      <c r="G33" s="3102"/>
    </row>
    <row r="34" spans="1:7" ht="19.5" customHeight="1">
      <c r="A34" s="3812"/>
      <c r="B34" s="3808"/>
      <c r="C34" s="3103" t="s">
        <v>2464</v>
      </c>
      <c r="D34" s="3104"/>
      <c r="E34" s="3105">
        <v>0.6</v>
      </c>
      <c r="F34" s="3102" t="s">
        <v>2465</v>
      </c>
      <c r="G34" s="3102"/>
    </row>
    <row r="35" spans="1:7" ht="19.5" customHeight="1">
      <c r="A35" s="3812"/>
      <c r="B35" s="3808"/>
      <c r="C35" s="3103" t="s">
        <v>2466</v>
      </c>
      <c r="D35" s="3104"/>
      <c r="E35" s="3105">
        <v>0.2</v>
      </c>
      <c r="F35" s="3102" t="s">
        <v>2467</v>
      </c>
      <c r="G35" s="3102"/>
    </row>
    <row r="36" spans="1:7" ht="19.5" customHeight="1">
      <c r="A36" s="3812"/>
      <c r="B36" s="3808"/>
      <c r="C36" s="3103" t="s">
        <v>2468</v>
      </c>
      <c r="D36" s="3104"/>
      <c r="E36" s="3105">
        <v>0.2</v>
      </c>
      <c r="F36" s="3102" t="s">
        <v>2469</v>
      </c>
      <c r="G36" s="3102"/>
    </row>
    <row r="37" spans="1:7" ht="19.5" customHeight="1">
      <c r="A37" s="3812"/>
      <c r="B37" s="3806" t="s">
        <v>2630</v>
      </c>
      <c r="C37" s="3103" t="s">
        <v>2470</v>
      </c>
      <c r="D37" s="3104"/>
      <c r="E37" s="3105">
        <v>0.6</v>
      </c>
      <c r="F37" s="3102" t="s">
        <v>2471</v>
      </c>
      <c r="G37" s="3102"/>
    </row>
    <row r="38" spans="1:7" ht="19.5" customHeight="1">
      <c r="A38" s="3812"/>
      <c r="B38" s="3808"/>
      <c r="C38" s="3103" t="s">
        <v>2472</v>
      </c>
      <c r="D38" s="3104"/>
      <c r="E38" s="3105">
        <v>0.6</v>
      </c>
      <c r="F38" s="3102" t="s">
        <v>2473</v>
      </c>
      <c r="G38" s="3102"/>
    </row>
    <row r="39" spans="1:7" ht="19.5" customHeight="1" thickBot="1">
      <c r="A39" s="3813"/>
      <c r="B39" s="3810"/>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814" t="s">
        <v>2608</v>
      </c>
      <c r="B41" s="3809" t="s">
        <v>2632</v>
      </c>
      <c r="C41" s="3099" t="s">
        <v>2477</v>
      </c>
      <c r="D41" s="3100"/>
      <c r="E41" s="3101">
        <v>1</v>
      </c>
      <c r="F41" s="3102" t="s">
        <v>2478</v>
      </c>
      <c r="G41" s="3102"/>
    </row>
    <row r="42" spans="1:7" ht="19.5" customHeight="1">
      <c r="A42" s="3815"/>
      <c r="B42" s="3808"/>
      <c r="C42" s="3103" t="s">
        <v>2479</v>
      </c>
      <c r="D42" s="3104"/>
      <c r="E42" s="3105">
        <v>1</v>
      </c>
      <c r="F42" s="3102" t="s">
        <v>2480</v>
      </c>
      <c r="G42" s="3102"/>
    </row>
    <row r="43" spans="1:7" ht="19.5" customHeight="1">
      <c r="A43" s="3815"/>
      <c r="B43" s="3807"/>
      <c r="C43" s="3103" t="s">
        <v>2481</v>
      </c>
      <c r="D43" s="3104"/>
      <c r="E43" s="3105">
        <v>1.5</v>
      </c>
      <c r="F43" s="3102" t="s">
        <v>2482</v>
      </c>
      <c r="G43" s="3102"/>
    </row>
    <row r="44" spans="1:7" ht="19.5" customHeight="1">
      <c r="A44" s="3815"/>
      <c r="B44" s="3114" t="s">
        <v>2633</v>
      </c>
      <c r="C44" s="3103" t="s">
        <v>2634</v>
      </c>
      <c r="D44" s="3104"/>
      <c r="E44" s="3105">
        <v>2</v>
      </c>
      <c r="F44" s="3102" t="s">
        <v>2483</v>
      </c>
      <c r="G44" s="3102"/>
    </row>
    <row r="45" spans="1:7" ht="19.5" customHeight="1">
      <c r="A45" s="3815"/>
      <c r="B45" s="3806" t="s">
        <v>2635</v>
      </c>
      <c r="C45" s="3103" t="s">
        <v>2484</v>
      </c>
      <c r="D45" s="3104"/>
      <c r="E45" s="3105">
        <v>1</v>
      </c>
      <c r="F45" s="3102" t="s">
        <v>2485</v>
      </c>
      <c r="G45" s="3102"/>
    </row>
    <row r="46" spans="1:7" ht="19.5" customHeight="1">
      <c r="A46" s="3815"/>
      <c r="B46" s="3808"/>
      <c r="C46" s="3103" t="s">
        <v>2486</v>
      </c>
      <c r="D46" s="3104"/>
      <c r="E46" s="3105">
        <v>1</v>
      </c>
      <c r="F46" s="3102" t="s">
        <v>2487</v>
      </c>
      <c r="G46" s="3102"/>
    </row>
    <row r="47" spans="1:7" ht="19.5" customHeight="1">
      <c r="A47" s="3815"/>
      <c r="B47" s="3808"/>
      <c r="C47" s="3103" t="s">
        <v>2488</v>
      </c>
      <c r="D47" s="3104"/>
      <c r="E47" s="3105">
        <v>1</v>
      </c>
      <c r="F47" s="3102" t="s">
        <v>2489</v>
      </c>
      <c r="G47" s="3102"/>
    </row>
    <row r="48" spans="1:7" ht="19.5" customHeight="1">
      <c r="A48" s="3815"/>
      <c r="B48" s="3808"/>
      <c r="C48" s="3103" t="s">
        <v>2490</v>
      </c>
      <c r="D48" s="3104"/>
      <c r="E48" s="3105">
        <v>1</v>
      </c>
      <c r="F48" s="3102" t="s">
        <v>2491</v>
      </c>
      <c r="G48" s="3102"/>
    </row>
    <row r="49" spans="1:7" ht="19.5" customHeight="1">
      <c r="A49" s="3815"/>
      <c r="B49" s="3808"/>
      <c r="C49" s="3103" t="s">
        <v>2492</v>
      </c>
      <c r="D49" s="3104"/>
      <c r="E49" s="3105">
        <v>1</v>
      </c>
      <c r="F49" s="3102" t="s">
        <v>2493</v>
      </c>
      <c r="G49" s="3102"/>
    </row>
    <row r="50" spans="1:7" ht="19.5" customHeight="1">
      <c r="A50" s="3815"/>
      <c r="B50" s="3808"/>
      <c r="C50" s="3103" t="s">
        <v>2494</v>
      </c>
      <c r="D50" s="3104"/>
      <c r="E50" s="3105">
        <v>1</v>
      </c>
      <c r="F50" s="3102" t="s">
        <v>2495</v>
      </c>
      <c r="G50" s="3102"/>
    </row>
    <row r="51" spans="1:7" ht="19.5" customHeight="1" thickBot="1">
      <c r="A51" s="3816"/>
      <c r="B51" s="3810"/>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806" t="s">
        <v>2649</v>
      </c>
      <c r="C73" s="3088" t="s">
        <v>2650</v>
      </c>
      <c r="D73" s="3088" t="s">
        <v>2651</v>
      </c>
      <c r="E73" s="3114">
        <v>0.2</v>
      </c>
      <c r="F73" s="3114">
        <v>25</v>
      </c>
    </row>
    <row r="74" spans="1:7" ht="24">
      <c r="A74" s="3114">
        <v>2</v>
      </c>
      <c r="B74" s="3808"/>
      <c r="C74" s="3088" t="s">
        <v>2652</v>
      </c>
      <c r="D74" s="3088" t="s">
        <v>2653</v>
      </c>
      <c r="E74" s="3114">
        <v>0.2</v>
      </c>
      <c r="F74" s="3114">
        <v>25</v>
      </c>
    </row>
    <row r="75" spans="1:7" ht="24">
      <c r="A75" s="3114">
        <v>3</v>
      </c>
      <c r="B75" s="3808"/>
      <c r="C75" s="3088" t="s">
        <v>2654</v>
      </c>
      <c r="D75" s="3088" t="s">
        <v>2655</v>
      </c>
      <c r="E75" s="3114">
        <v>0.2</v>
      </c>
      <c r="F75" s="3114">
        <v>25</v>
      </c>
    </row>
    <row r="76" spans="1:7" ht="13.5">
      <c r="A76" s="3114">
        <v>4</v>
      </c>
      <c r="B76" s="3808"/>
      <c r="C76" s="3088" t="s">
        <v>2656</v>
      </c>
      <c r="D76" s="3088" t="s">
        <v>2657</v>
      </c>
      <c r="E76" s="3114">
        <v>0.15</v>
      </c>
      <c r="F76" s="3114">
        <v>20</v>
      </c>
    </row>
    <row r="77" spans="1:7" ht="24">
      <c r="A77" s="3114">
        <v>5</v>
      </c>
      <c r="B77" s="3808"/>
      <c r="C77" s="3088" t="s">
        <v>2658</v>
      </c>
      <c r="D77" s="3088" t="s">
        <v>2659</v>
      </c>
      <c r="E77" s="3114">
        <v>0.15</v>
      </c>
      <c r="F77" s="3114">
        <v>20</v>
      </c>
    </row>
    <row r="78" spans="1:7" ht="24">
      <c r="A78" s="3114">
        <v>6</v>
      </c>
      <c r="B78" s="3808"/>
      <c r="C78" s="3088" t="s">
        <v>2660</v>
      </c>
      <c r="D78" s="3088" t="s">
        <v>2661</v>
      </c>
      <c r="E78" s="3114">
        <v>0.15</v>
      </c>
      <c r="F78" s="3114">
        <v>20</v>
      </c>
    </row>
    <row r="79" spans="1:7" ht="24">
      <c r="A79" s="3114">
        <v>7</v>
      </c>
      <c r="B79" s="3808"/>
      <c r="C79" s="3088" t="s">
        <v>2662</v>
      </c>
      <c r="D79" s="3088" t="s">
        <v>2663</v>
      </c>
      <c r="E79" s="3114">
        <v>0.15</v>
      </c>
      <c r="F79" s="3114">
        <v>20</v>
      </c>
    </row>
    <row r="80" spans="1:7" ht="24">
      <c r="A80" s="3114">
        <v>8</v>
      </c>
      <c r="B80" s="3808"/>
      <c r="C80" s="3088" t="s">
        <v>2664</v>
      </c>
      <c r="D80" s="3088" t="s">
        <v>2665</v>
      </c>
      <c r="E80" s="3114">
        <v>0.1</v>
      </c>
      <c r="F80" s="3114">
        <v>15</v>
      </c>
    </row>
    <row r="81" spans="1:6" ht="24">
      <c r="A81" s="3114">
        <v>9</v>
      </c>
      <c r="B81" s="3808"/>
      <c r="C81" s="3088" t="s">
        <v>2666</v>
      </c>
      <c r="D81" s="3088" t="s">
        <v>2667</v>
      </c>
      <c r="E81" s="3114">
        <v>0.1</v>
      </c>
      <c r="F81" s="3114">
        <v>15</v>
      </c>
    </row>
    <row r="82" spans="1:6" ht="24">
      <c r="A82" s="3114">
        <v>10</v>
      </c>
      <c r="B82" s="3808"/>
      <c r="C82" s="3088" t="s">
        <v>2668</v>
      </c>
      <c r="D82" s="3088" t="s">
        <v>2669</v>
      </c>
      <c r="E82" s="3114">
        <v>0.1</v>
      </c>
      <c r="F82" s="3114">
        <v>15</v>
      </c>
    </row>
    <row r="83" spans="1:6" ht="24">
      <c r="A83" s="3114">
        <v>11</v>
      </c>
      <c r="B83" s="3808"/>
      <c r="C83" s="3088" t="s">
        <v>2670</v>
      </c>
      <c r="D83" s="3088" t="s">
        <v>2671</v>
      </c>
      <c r="E83" s="3114">
        <v>0.1</v>
      </c>
      <c r="F83" s="3114">
        <v>15</v>
      </c>
    </row>
    <row r="84" spans="1:6" ht="24">
      <c r="A84" s="3114">
        <v>12</v>
      </c>
      <c r="B84" s="3808"/>
      <c r="C84" s="3088" t="s">
        <v>2672</v>
      </c>
      <c r="D84" s="3088" t="s">
        <v>2673</v>
      </c>
      <c r="E84" s="3114">
        <v>0.1</v>
      </c>
      <c r="F84" s="3114">
        <v>15</v>
      </c>
    </row>
    <row r="85" spans="1:6" ht="13.5">
      <c r="A85" s="3114">
        <v>13</v>
      </c>
      <c r="B85" s="3808"/>
      <c r="C85" s="3088" t="s">
        <v>2674</v>
      </c>
      <c r="D85" s="3088" t="s">
        <v>2675</v>
      </c>
      <c r="E85" s="3114">
        <v>0.1</v>
      </c>
      <c r="F85" s="3114">
        <v>15</v>
      </c>
    </row>
    <row r="86" spans="1:6" ht="13.5">
      <c r="A86" s="3114">
        <v>14</v>
      </c>
      <c r="B86" s="3808"/>
      <c r="C86" s="3088" t="s">
        <v>2676</v>
      </c>
      <c r="D86" s="3088" t="s">
        <v>2677</v>
      </c>
      <c r="E86" s="3114">
        <v>0.1</v>
      </c>
      <c r="F86" s="3114">
        <v>15</v>
      </c>
    </row>
    <row r="87" spans="1:6" ht="13.5">
      <c r="A87" s="3114">
        <v>15</v>
      </c>
      <c r="B87" s="3808"/>
      <c r="C87" s="3088" t="s">
        <v>2678</v>
      </c>
      <c r="D87" s="3088" t="s">
        <v>2679</v>
      </c>
      <c r="E87" s="3114">
        <v>0.1</v>
      </c>
      <c r="F87" s="3114">
        <v>15</v>
      </c>
    </row>
    <row r="88" spans="1:6" ht="24">
      <c r="A88" s="3114">
        <v>16</v>
      </c>
      <c r="B88" s="3808"/>
      <c r="C88" s="3088" t="s">
        <v>2680</v>
      </c>
      <c r="D88" s="3088" t="s">
        <v>2681</v>
      </c>
      <c r="E88" s="3114">
        <v>0.1</v>
      </c>
      <c r="F88" s="3114">
        <v>15</v>
      </c>
    </row>
    <row r="89" spans="1:6" ht="24">
      <c r="A89" s="3114">
        <v>17</v>
      </c>
      <c r="B89" s="3807"/>
      <c r="C89" s="3088" t="s">
        <v>2682</v>
      </c>
      <c r="D89" s="3088" t="s">
        <v>2683</v>
      </c>
      <c r="E89" s="3114">
        <v>0.1</v>
      </c>
      <c r="F89" s="3114">
        <v>15</v>
      </c>
    </row>
    <row r="90" spans="1:6" ht="13.5">
      <c r="A90" s="3114">
        <v>18</v>
      </c>
      <c r="B90" s="3806" t="s">
        <v>2684</v>
      </c>
      <c r="C90" s="3088" t="s">
        <v>2685</v>
      </c>
      <c r="D90" s="3088" t="s">
        <v>2686</v>
      </c>
      <c r="E90" s="3114">
        <v>0.2</v>
      </c>
      <c r="F90" s="3114">
        <v>25</v>
      </c>
    </row>
    <row r="91" spans="1:6" ht="24">
      <c r="A91" s="3114">
        <v>19</v>
      </c>
      <c r="B91" s="3808"/>
      <c r="C91" s="3088" t="s">
        <v>2687</v>
      </c>
      <c r="D91" s="3088" t="s">
        <v>2688</v>
      </c>
      <c r="E91" s="3114">
        <v>0.2</v>
      </c>
      <c r="F91" s="3114">
        <v>25</v>
      </c>
    </row>
    <row r="92" spans="1:6" ht="13.5">
      <c r="A92" s="3114">
        <v>20</v>
      </c>
      <c r="B92" s="3808"/>
      <c r="C92" s="3088" t="s">
        <v>2689</v>
      </c>
      <c r="D92" s="3088" t="s">
        <v>2690</v>
      </c>
      <c r="E92" s="3114">
        <v>0.15</v>
      </c>
      <c r="F92" s="3114">
        <v>20</v>
      </c>
    </row>
    <row r="93" spans="1:6" ht="13.5">
      <c r="A93" s="3114">
        <v>21</v>
      </c>
      <c r="B93" s="3808"/>
      <c r="C93" s="3088" t="s">
        <v>2691</v>
      </c>
      <c r="D93" s="3088" t="s">
        <v>2692</v>
      </c>
      <c r="E93" s="3114">
        <v>0.15</v>
      </c>
      <c r="F93" s="3114">
        <v>20</v>
      </c>
    </row>
    <row r="94" spans="1:6" ht="13.5">
      <c r="A94" s="3114">
        <v>22</v>
      </c>
      <c r="B94" s="3808"/>
      <c r="C94" s="3088" t="s">
        <v>2693</v>
      </c>
      <c r="D94" s="3088" t="s">
        <v>2694</v>
      </c>
      <c r="E94" s="3114">
        <v>0.15</v>
      </c>
      <c r="F94" s="3114">
        <v>20</v>
      </c>
    </row>
    <row r="95" spans="1:6" ht="36">
      <c r="A95" s="3114">
        <v>23</v>
      </c>
      <c r="B95" s="3808"/>
      <c r="C95" s="3088" t="s">
        <v>2695</v>
      </c>
      <c r="D95" s="3088" t="s">
        <v>2696</v>
      </c>
      <c r="E95" s="3114">
        <v>0.15</v>
      </c>
      <c r="F95" s="3114">
        <v>20</v>
      </c>
    </row>
    <row r="96" spans="1:6" ht="13.5">
      <c r="A96" s="3114">
        <v>24</v>
      </c>
      <c r="B96" s="3808"/>
      <c r="C96" s="3088" t="s">
        <v>2697</v>
      </c>
      <c r="D96" s="3088" t="s">
        <v>2698</v>
      </c>
      <c r="E96" s="3114">
        <v>0.1</v>
      </c>
      <c r="F96" s="3114">
        <v>15</v>
      </c>
    </row>
    <row r="97" spans="1:6" ht="13.5">
      <c r="A97" s="3114">
        <v>25</v>
      </c>
      <c r="B97" s="3808"/>
      <c r="C97" s="3088" t="s">
        <v>2699</v>
      </c>
      <c r="D97" s="3088" t="s">
        <v>2700</v>
      </c>
      <c r="E97" s="3114">
        <v>0.1</v>
      </c>
      <c r="F97" s="3114">
        <v>15</v>
      </c>
    </row>
    <row r="98" spans="1:6" ht="24">
      <c r="A98" s="3114">
        <v>26</v>
      </c>
      <c r="B98" s="3808"/>
      <c r="C98" s="3088" t="s">
        <v>2701</v>
      </c>
      <c r="D98" s="3088" t="s">
        <v>2702</v>
      </c>
      <c r="E98" s="3114">
        <v>0.1</v>
      </c>
      <c r="F98" s="3114">
        <v>15</v>
      </c>
    </row>
    <row r="99" spans="1:6" ht="24">
      <c r="A99" s="3114">
        <v>27</v>
      </c>
      <c r="B99" s="3808"/>
      <c r="C99" s="3088" t="s">
        <v>2703</v>
      </c>
      <c r="D99" s="3088" t="s">
        <v>2704</v>
      </c>
      <c r="E99" s="3114">
        <v>0.1</v>
      </c>
      <c r="F99" s="3114">
        <v>15</v>
      </c>
    </row>
    <row r="100" spans="1:6" ht="13.5">
      <c r="A100" s="3114">
        <v>28</v>
      </c>
      <c r="B100" s="3808"/>
      <c r="C100" s="3088" t="s">
        <v>2705</v>
      </c>
      <c r="D100" s="3088" t="s">
        <v>2706</v>
      </c>
      <c r="E100" s="3114">
        <v>0.1</v>
      </c>
      <c r="F100" s="3114">
        <v>15</v>
      </c>
    </row>
    <row r="101" spans="1:6" ht="13.5">
      <c r="A101" s="3114">
        <v>29</v>
      </c>
      <c r="B101" s="3808"/>
      <c r="C101" s="3088" t="s">
        <v>2707</v>
      </c>
      <c r="D101" s="3088" t="s">
        <v>2708</v>
      </c>
      <c r="E101" s="3114">
        <v>0.1</v>
      </c>
      <c r="F101" s="3114">
        <v>15</v>
      </c>
    </row>
    <row r="102" spans="1:6" ht="13.5">
      <c r="A102" s="3114">
        <v>30</v>
      </c>
      <c r="B102" s="3808"/>
      <c r="C102" s="3088" t="s">
        <v>2709</v>
      </c>
      <c r="D102" s="3088" t="s">
        <v>2710</v>
      </c>
      <c r="E102" s="3114">
        <v>0.1</v>
      </c>
      <c r="F102" s="3114">
        <v>15</v>
      </c>
    </row>
    <row r="103" spans="1:6" ht="24">
      <c r="A103" s="3114">
        <v>31</v>
      </c>
      <c r="B103" s="3808"/>
      <c r="C103" s="3088" t="s">
        <v>2711</v>
      </c>
      <c r="D103" s="3088" t="s">
        <v>2712</v>
      </c>
      <c r="E103" s="3114">
        <v>0.1</v>
      </c>
      <c r="F103" s="3114">
        <v>15</v>
      </c>
    </row>
    <row r="104" spans="1:6" ht="24">
      <c r="A104" s="3114">
        <v>32</v>
      </c>
      <c r="B104" s="3808"/>
      <c r="C104" s="3088" t="s">
        <v>2713</v>
      </c>
      <c r="D104" s="3088" t="s">
        <v>2714</v>
      </c>
      <c r="E104" s="3114">
        <v>0.1</v>
      </c>
      <c r="F104" s="3114">
        <v>15</v>
      </c>
    </row>
    <row r="105" spans="1:6" ht="24">
      <c r="A105" s="3114">
        <v>33</v>
      </c>
      <c r="B105" s="3808"/>
      <c r="C105" s="3088" t="s">
        <v>2715</v>
      </c>
      <c r="D105" s="3088" t="s">
        <v>2716</v>
      </c>
      <c r="E105" s="3114">
        <v>0.1</v>
      </c>
      <c r="F105" s="3114">
        <v>15</v>
      </c>
    </row>
    <row r="106" spans="1:6" ht="24">
      <c r="A106" s="3114">
        <v>34</v>
      </c>
      <c r="B106" s="3807"/>
      <c r="C106" s="3088" t="s">
        <v>2717</v>
      </c>
      <c r="D106" s="3088" t="s">
        <v>2718</v>
      </c>
      <c r="E106" s="3114">
        <v>0.1</v>
      </c>
      <c r="F106" s="3114">
        <v>15</v>
      </c>
    </row>
    <row r="107" spans="1:6" ht="24">
      <c r="A107" s="3114">
        <v>35</v>
      </c>
      <c r="B107" s="3806" t="s">
        <v>2719</v>
      </c>
      <c r="C107" s="3114" t="s">
        <v>2720</v>
      </c>
      <c r="D107" s="3088" t="s">
        <v>2721</v>
      </c>
      <c r="E107" s="3114">
        <v>0.15</v>
      </c>
      <c r="F107" s="3114">
        <v>20</v>
      </c>
    </row>
    <row r="108" spans="1:6" ht="13.5">
      <c r="A108" s="3114">
        <v>36</v>
      </c>
      <c r="B108" s="3808"/>
      <c r="C108" s="3114" t="s">
        <v>2722</v>
      </c>
      <c r="D108" s="3088" t="s">
        <v>2723</v>
      </c>
      <c r="E108" s="3114">
        <v>0.15</v>
      </c>
      <c r="F108" s="3114">
        <v>20</v>
      </c>
    </row>
    <row r="109" spans="1:6" ht="13.5">
      <c r="A109" s="3114">
        <v>37</v>
      </c>
      <c r="B109" s="3808"/>
      <c r="C109" s="3114" t="s">
        <v>2724</v>
      </c>
      <c r="D109" s="3088" t="s">
        <v>2725</v>
      </c>
      <c r="E109" s="3114">
        <v>0.15</v>
      </c>
      <c r="F109" s="3114">
        <v>20</v>
      </c>
    </row>
    <row r="110" spans="1:6" ht="13.5">
      <c r="A110" s="3114">
        <v>38</v>
      </c>
      <c r="B110" s="3808"/>
      <c r="C110" s="3114" t="s">
        <v>2726</v>
      </c>
      <c r="D110" s="3088" t="s">
        <v>2727</v>
      </c>
      <c r="E110" s="3114">
        <v>0.1</v>
      </c>
      <c r="F110" s="3114">
        <v>15</v>
      </c>
    </row>
    <row r="111" spans="1:6" ht="24">
      <c r="A111" s="3114">
        <v>39</v>
      </c>
      <c r="B111" s="3808"/>
      <c r="C111" s="3114" t="s">
        <v>2728</v>
      </c>
      <c r="D111" s="3088" t="s">
        <v>2729</v>
      </c>
      <c r="E111" s="3114">
        <v>0.1</v>
      </c>
      <c r="F111" s="3114">
        <v>15</v>
      </c>
    </row>
    <row r="112" spans="1:6" ht="24">
      <c r="A112" s="3114">
        <v>40</v>
      </c>
      <c r="B112" s="3807"/>
      <c r="C112" s="3114" t="s">
        <v>2730</v>
      </c>
      <c r="D112" s="3088" t="s">
        <v>2731</v>
      </c>
      <c r="E112" s="3114">
        <v>0.1</v>
      </c>
      <c r="F112" s="3114">
        <v>15</v>
      </c>
    </row>
    <row r="113" spans="1:6" ht="13.5">
      <c r="A113" s="3114">
        <v>41</v>
      </c>
      <c r="B113" s="3805" t="s">
        <v>2732</v>
      </c>
      <c r="C113" s="3114" t="s">
        <v>2733</v>
      </c>
      <c r="D113" s="3088" t="s">
        <v>2734</v>
      </c>
      <c r="E113" s="3114">
        <v>0.1</v>
      </c>
      <c r="F113" s="3114">
        <v>15</v>
      </c>
    </row>
    <row r="114" spans="1:6" ht="13.5">
      <c r="A114" s="3114">
        <v>42</v>
      </c>
      <c r="B114" s="3805"/>
      <c r="C114" s="3114" t="s">
        <v>2735</v>
      </c>
      <c r="D114" s="3088" t="s">
        <v>2736</v>
      </c>
      <c r="E114" s="3114">
        <v>0.1</v>
      </c>
      <c r="F114" s="3114">
        <v>15</v>
      </c>
    </row>
    <row r="115" spans="1:6" ht="24">
      <c r="A115" s="3114">
        <v>43</v>
      </c>
      <c r="B115" s="3805"/>
      <c r="C115" s="3114" t="s">
        <v>2737</v>
      </c>
      <c r="D115" s="3088" t="s">
        <v>2738</v>
      </c>
      <c r="E115" s="3114">
        <v>0.1</v>
      </c>
      <c r="F115" s="3114">
        <v>15</v>
      </c>
    </row>
    <row r="116" spans="1:6" ht="13.5">
      <c r="A116" s="3114">
        <v>44</v>
      </c>
      <c r="B116" s="3806" t="s">
        <v>2739</v>
      </c>
      <c r="C116" s="3114" t="s">
        <v>2740</v>
      </c>
      <c r="D116" s="3088" t="s">
        <v>2741</v>
      </c>
      <c r="E116" s="3114">
        <v>0.1</v>
      </c>
      <c r="F116" s="3114">
        <v>15</v>
      </c>
    </row>
    <row r="117" spans="1:6" ht="24">
      <c r="A117" s="3114">
        <v>45</v>
      </c>
      <c r="B117" s="3807"/>
      <c r="C117" s="3088" t="s">
        <v>2742</v>
      </c>
      <c r="D117" s="3088" t="s">
        <v>2743</v>
      </c>
      <c r="E117" s="3114">
        <v>0.1</v>
      </c>
      <c r="F117" s="3114">
        <v>15</v>
      </c>
    </row>
    <row r="118" spans="1:6" ht="24">
      <c r="A118" s="3114">
        <v>46</v>
      </c>
      <c r="B118" s="3806" t="s">
        <v>2744</v>
      </c>
      <c r="C118" s="3114" t="s">
        <v>2745</v>
      </c>
      <c r="D118" s="3088" t="s">
        <v>2746</v>
      </c>
      <c r="E118" s="3114">
        <v>0.1</v>
      </c>
      <c r="F118" s="3114">
        <v>15</v>
      </c>
    </row>
    <row r="119" spans="1:6" ht="24">
      <c r="A119" s="3114">
        <v>47</v>
      </c>
      <c r="B119" s="3807"/>
      <c r="C119" s="3114" t="s">
        <v>2747</v>
      </c>
      <c r="D119" s="3088" t="s">
        <v>2748</v>
      </c>
      <c r="E119" s="3114">
        <v>0.1</v>
      </c>
      <c r="F119" s="3114">
        <v>15</v>
      </c>
    </row>
    <row r="120" spans="1:6" ht="13.5">
      <c r="A120" s="3114">
        <v>48</v>
      </c>
      <c r="B120" s="3806" t="s">
        <v>2749</v>
      </c>
      <c r="C120" s="3114" t="s">
        <v>2750</v>
      </c>
      <c r="D120" s="3088" t="s">
        <v>2751</v>
      </c>
      <c r="E120" s="3114">
        <v>0.1</v>
      </c>
      <c r="F120" s="3114">
        <v>15</v>
      </c>
    </row>
    <row r="121" spans="1:6" ht="13.5">
      <c r="A121" s="3114">
        <v>49</v>
      </c>
      <c r="B121" s="3807"/>
      <c r="C121" s="3114" t="s">
        <v>2752</v>
      </c>
      <c r="D121" s="3088" t="s">
        <v>2753</v>
      </c>
      <c r="E121" s="3114">
        <v>0.1</v>
      </c>
      <c r="F121" s="3114">
        <v>15</v>
      </c>
    </row>
    <row r="122" spans="1:6" ht="24">
      <c r="A122" s="3114">
        <v>50</v>
      </c>
      <c r="B122" s="3805" t="s">
        <v>2754</v>
      </c>
      <c r="C122" s="3114" t="s">
        <v>2755</v>
      </c>
      <c r="D122" s="3088" t="s">
        <v>2756</v>
      </c>
      <c r="E122" s="3114">
        <v>0.1</v>
      </c>
      <c r="F122" s="3114">
        <v>15</v>
      </c>
    </row>
    <row r="123" spans="1:6" ht="24">
      <c r="A123" s="3114">
        <v>51</v>
      </c>
      <c r="B123" s="3805"/>
      <c r="C123" s="3114" t="s">
        <v>2757</v>
      </c>
      <c r="D123" s="3088" t="s">
        <v>2758</v>
      </c>
      <c r="E123" s="3114">
        <v>0.1</v>
      </c>
      <c r="F123" s="3114">
        <v>15</v>
      </c>
    </row>
    <row r="124" spans="1:6" ht="24">
      <c r="A124" s="3114">
        <v>52</v>
      </c>
      <c r="B124" s="3805" t="s">
        <v>2759</v>
      </c>
      <c r="C124" s="3114" t="s">
        <v>2760</v>
      </c>
      <c r="D124" s="3088" t="s">
        <v>2761</v>
      </c>
      <c r="E124" s="3114">
        <v>0.1</v>
      </c>
      <c r="F124" s="3114">
        <v>15</v>
      </c>
    </row>
    <row r="125" spans="1:6" ht="24">
      <c r="A125" s="3114">
        <v>53</v>
      </c>
      <c r="B125" s="3805"/>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805" t="s">
        <v>2767</v>
      </c>
      <c r="C127" s="3114" t="s">
        <v>2768</v>
      </c>
      <c r="D127" s="3088" t="s">
        <v>2769</v>
      </c>
      <c r="E127" s="3114">
        <v>0.1</v>
      </c>
      <c r="F127" s="3114">
        <v>15</v>
      </c>
    </row>
    <row r="128" spans="1:6" ht="13.5">
      <c r="A128" s="3114">
        <v>56</v>
      </c>
      <c r="B128" s="3805"/>
      <c r="C128" s="3114" t="s">
        <v>2770</v>
      </c>
      <c r="D128" s="3088" t="s">
        <v>2771</v>
      </c>
      <c r="E128" s="3114">
        <v>0.1</v>
      </c>
      <c r="F128" s="3114">
        <v>15</v>
      </c>
    </row>
    <row r="129" spans="1:6" ht="24">
      <c r="A129" s="3114">
        <v>57</v>
      </c>
      <c r="B129" s="3805"/>
      <c r="C129" s="3114" t="s">
        <v>2772</v>
      </c>
      <c r="D129" s="3088" t="s">
        <v>2773</v>
      </c>
      <c r="E129" s="3114">
        <v>0.1</v>
      </c>
      <c r="F129" s="3114">
        <v>15</v>
      </c>
    </row>
    <row r="130" spans="1:6" ht="24">
      <c r="A130" s="3114">
        <v>58</v>
      </c>
      <c r="B130" s="3805" t="s">
        <v>2774</v>
      </c>
      <c r="C130" s="3114" t="s">
        <v>2775</v>
      </c>
      <c r="D130" s="3088" t="s">
        <v>2776</v>
      </c>
      <c r="E130" s="3114">
        <v>0.1</v>
      </c>
      <c r="F130" s="3114">
        <v>15</v>
      </c>
    </row>
    <row r="131" spans="1:6" ht="13.5">
      <c r="A131" s="3114">
        <v>59</v>
      </c>
      <c r="B131" s="3805"/>
      <c r="C131" s="3114" t="s">
        <v>2777</v>
      </c>
      <c r="D131" s="3088" t="s">
        <v>2778</v>
      </c>
      <c r="E131" s="3114">
        <v>0.1</v>
      </c>
      <c r="F131" s="3114">
        <v>15</v>
      </c>
    </row>
    <row r="132" spans="1:6" ht="13.5">
      <c r="A132" s="3114">
        <v>60</v>
      </c>
      <c r="B132" s="3806" t="s">
        <v>2779</v>
      </c>
      <c r="C132" s="3114" t="s">
        <v>2780</v>
      </c>
      <c r="D132" s="3088" t="s">
        <v>2781</v>
      </c>
      <c r="E132" s="3114">
        <v>0.1</v>
      </c>
      <c r="F132" s="3114">
        <v>15</v>
      </c>
    </row>
    <row r="133" spans="1:6" ht="13.5">
      <c r="A133" s="3114">
        <v>61</v>
      </c>
      <c r="B133" s="3807"/>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805" t="s">
        <v>2787</v>
      </c>
      <c r="C135" s="3114" t="s">
        <v>2788</v>
      </c>
      <c r="D135" s="3088" t="s">
        <v>2789</v>
      </c>
      <c r="E135" s="3114">
        <v>0.1</v>
      </c>
      <c r="F135" s="3114">
        <v>15</v>
      </c>
    </row>
    <row r="136" spans="1:6" ht="13.5">
      <c r="A136" s="3114">
        <v>64</v>
      </c>
      <c r="B136" s="3805"/>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2"/>
      <c r="B4" s="3500" t="s">
        <v>917</v>
      </c>
      <c r="C4" s="3500"/>
      <c r="D4" s="3500"/>
      <c r="E4" s="1492"/>
    </row>
    <row r="5" spans="1:5" ht="16.5" thickTop="1">
      <c r="A5" s="1490"/>
      <c r="B5" s="3498" t="s">
        <v>909</v>
      </c>
      <c r="C5" s="1493" t="s">
        <v>910</v>
      </c>
      <c r="D5" s="849">
        <f ca="1">结果表!H101</f>
        <v>143961</v>
      </c>
      <c r="E5" s="1490"/>
    </row>
    <row r="6" spans="1:5" ht="15.75">
      <c r="A6" s="1490"/>
      <c r="B6" s="3498"/>
      <c r="C6" s="1493" t="s">
        <v>911</v>
      </c>
      <c r="D6" s="849" t="str">
        <f ca="1">NUMBERSTRING(INT(D5*10000),2)&amp;"元整"</f>
        <v>壹拾肆亿叁仟玖佰陆拾壹万元整</v>
      </c>
      <c r="E6" s="1490"/>
    </row>
    <row r="7" spans="1:5" ht="15.75">
      <c r="A7" s="1490"/>
      <c r="B7" s="3503"/>
      <c r="C7" s="1494" t="s">
        <v>912</v>
      </c>
      <c r="D7" s="850">
        <f ca="1">结果表!H102</f>
        <v>26546</v>
      </c>
      <c r="E7" s="1490"/>
    </row>
    <row r="8" spans="1:5" ht="15.75">
      <c r="A8" s="1490"/>
      <c r="B8" s="3504" t="str">
        <f>结果表!E103</f>
        <v>2.估价师知悉的法定优先受偿款</v>
      </c>
      <c r="C8" s="1495" t="s">
        <v>913</v>
      </c>
      <c r="D8" s="850">
        <f>结果表!H103</f>
        <v>0</v>
      </c>
      <c r="E8" s="1490"/>
    </row>
    <row r="9" spans="1:5" ht="15.75">
      <c r="A9" s="1490"/>
      <c r="B9" s="350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97" t="str">
        <f>结果表!E107</f>
        <v>3.房地产抵押价值</v>
      </c>
      <c r="C13" s="1498" t="s">
        <v>910</v>
      </c>
      <c r="D13" s="852">
        <f ca="1">结果表!H107</f>
        <v>143961</v>
      </c>
      <c r="E13" s="1490"/>
    </row>
    <row r="14" spans="1:5" ht="15.75">
      <c r="A14" s="1490"/>
      <c r="B14" s="3498"/>
      <c r="C14" s="1493" t="s">
        <v>911</v>
      </c>
      <c r="D14" s="849" t="str">
        <f ca="1">NUMBERSTRING(INT(D13*10000),2)&amp;"元整"</f>
        <v>壹拾肆亿叁仟玖佰陆拾壹万元整</v>
      </c>
      <c r="E14" s="1490"/>
    </row>
    <row r="15" spans="1:5" ht="15">
      <c r="A15" s="1490"/>
      <c r="B15" s="3503"/>
      <c r="C15" s="1494" t="s">
        <v>921</v>
      </c>
      <c r="D15" s="858">
        <f ca="1">结果表!H108</f>
        <v>26546</v>
      </c>
      <c r="E15" s="1490"/>
    </row>
    <row r="16" spans="1:5" ht="15">
      <c r="A16" s="1490"/>
      <c r="B16" s="3504" t="str">
        <f>结果表!E109</f>
        <v>——</v>
      </c>
      <c r="C16" s="1498" t="s">
        <v>922</v>
      </c>
      <c r="D16" s="1499" t="str">
        <f>结果表!H109</f>
        <v>——</v>
      </c>
      <c r="E16" s="1490"/>
    </row>
    <row r="17" spans="1:5" ht="15.75">
      <c r="A17" s="1490"/>
      <c r="B17" s="3505"/>
      <c r="C17" s="1493" t="s">
        <v>923</v>
      </c>
      <c r="D17" s="849" t="e">
        <f>NUMBERSTRING(INT(D16*10000),2)&amp;"元整"</f>
        <v>#VALUE!</v>
      </c>
      <c r="E17" s="1490"/>
    </row>
    <row r="18" spans="1:5" ht="15">
      <c r="A18" s="1490"/>
      <c r="B18" s="3506"/>
      <c r="C18" s="1494" t="s">
        <v>912</v>
      </c>
      <c r="D18" s="858" t="str">
        <f>结果表!H110</f>
        <v>——</v>
      </c>
      <c r="E18" s="1490"/>
    </row>
    <row r="19" spans="1:5" ht="15.75">
      <c r="A19" s="1490"/>
      <c r="B19" s="3497" t="str">
        <f>结果表!E111</f>
        <v>——</v>
      </c>
      <c r="C19" s="1498" t="s">
        <v>910</v>
      </c>
      <c r="D19" s="850" t="str">
        <f>结果表!H111</f>
        <v>——</v>
      </c>
      <c r="E19" s="1490"/>
    </row>
    <row r="20" spans="1:5" ht="15.75">
      <c r="A20" s="1490"/>
      <c r="B20" s="3498"/>
      <c r="C20" s="1493" t="s">
        <v>923</v>
      </c>
      <c r="D20" s="849" t="e">
        <f>NUMBERSTRING(INT(D19*10000),2)&amp;"元整"</f>
        <v>#VALUE!</v>
      </c>
      <c r="E20" s="1490"/>
    </row>
    <row r="21" spans="1:5" ht="15.75" thickBot="1">
      <c r="A21" s="1490"/>
      <c r="B21" s="349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2796</v>
      </c>
      <c r="B1" s="3123"/>
      <c r="C1" s="3123"/>
      <c r="D1" s="3123"/>
      <c r="E1" s="3123"/>
      <c r="F1" s="3123"/>
      <c r="G1" s="3123"/>
      <c r="H1" s="3123"/>
      <c r="I1" s="3123"/>
      <c r="J1" s="3123"/>
      <c r="K1" s="3123"/>
      <c r="L1" s="3123"/>
      <c r="M1" s="3123"/>
      <c r="N1" s="748"/>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9">
        <f>SUMPRODUCT((A95:A184=ROUNDDOWN(基准地价修正!G3,1))*(B94:M94=基准地价修正!G2)*(B95:M184))</f>
        <v>0</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9">
        <f>SUMPRODUCT((A371:A460=ROUNDDOWN(基准地价修正!G3,1))*(B370:M370=基准地价修正!G2)*(B371:M460))</f>
        <v>0</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40205</v>
      </c>
      <c r="C2" s="2" t="s">
        <v>106</v>
      </c>
      <c r="D2" s="199"/>
      <c r="E2" s="199"/>
      <c r="F2" s="199"/>
      <c r="G2" s="199"/>
    </row>
    <row r="3" spans="1:7" s="200" customFormat="1" ht="18" customHeight="1" thickBot="1">
      <c r="A3" s="203" t="s">
        <v>58</v>
      </c>
      <c r="B3" s="204">
        <f ca="1">ROUND(B2*10000/'数据-汇总表'!E3,0)</f>
        <v>7414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382</v>
      </c>
      <c r="D9" s="844">
        <f>'数据-汇总表'!E5</f>
        <v>23853.78</v>
      </c>
      <c r="E9" s="225">
        <f>'数据-取费表'!B27</f>
        <v>160</v>
      </c>
      <c r="F9" s="221"/>
      <c r="G9" s="226"/>
    </row>
    <row r="10" spans="1:7" s="214" customFormat="1" ht="13.5" customHeight="1">
      <c r="A10" s="778" t="s">
        <v>356</v>
      </c>
      <c r="B10" s="224" t="s">
        <v>67</v>
      </c>
      <c r="C10" s="225">
        <f>ROUND(D10*E10/10000,0)</f>
        <v>608</v>
      </c>
      <c r="D10" s="844">
        <f>'数据-汇总表'!E6</f>
        <v>30375.979999999967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895</v>
      </c>
      <c r="D19" s="848">
        <f>'数据-汇总表'!E3</f>
        <v>54229.759999999966</v>
      </c>
      <c r="E19" s="211">
        <f>'数据-取费表'!B31</f>
        <v>165</v>
      </c>
      <c r="F19" s="231"/>
      <c r="G19" s="1" t="s">
        <v>436</v>
      </c>
    </row>
    <row r="20" spans="1:7" s="214" customFormat="1" ht="13.5" customHeight="1">
      <c r="A20" s="776" t="s">
        <v>419</v>
      </c>
      <c r="B20" s="210" t="s">
        <v>77</v>
      </c>
      <c r="C20" s="232">
        <f>ROUND((C5+C19)*F20,0)</f>
        <v>430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1125</v>
      </c>
      <c r="D22" s="235">
        <f ca="1">C26</f>
        <v>5.0000000000000001E-4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1068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46</v>
      </c>
      <c r="D24" s="238"/>
      <c r="E24" s="238"/>
      <c r="F24" s="239"/>
      <c r="G24" s="240" t="s">
        <v>82</v>
      </c>
    </row>
    <row r="25" spans="1:7" s="214" customFormat="1" ht="24">
      <c r="A25" s="779" t="s">
        <v>348</v>
      </c>
      <c r="B25" s="215" t="s">
        <v>420</v>
      </c>
      <c r="C25" s="1104">
        <f ca="1">ROUND(IF('数据-取费表'!B22&lt;=1,C20*F22*'数据-取费表'!B23/2,C20*(POWER((1+F22),'数据-取费表'!B23/2)-1)),0)</f>
        <v>11</v>
      </c>
      <c r="D25" s="238"/>
      <c r="E25" s="241"/>
      <c r="F25" s="239"/>
      <c r="G25" s="242" t="s">
        <v>83</v>
      </c>
    </row>
    <row r="26" spans="1:7" s="214" customFormat="1">
      <c r="A26" s="779" t="s">
        <v>350</v>
      </c>
      <c r="B26" s="215" t="s">
        <v>422</v>
      </c>
      <c r="C26" s="238">
        <f ca="1">ROUND(IF('数据-取费表'!B22&lt;=1,F21*F22*'数据-取费表'!B23/2,F21*(POWER((1+F22),'数据-取费表'!B23/2)-1)),4)</f>
        <v>5.0000000000000001E-4</v>
      </c>
      <c r="D26" s="238"/>
      <c r="E26" s="241"/>
      <c r="F26" s="239"/>
      <c r="G26" s="243"/>
    </row>
    <row r="27" spans="1:7" s="214" customFormat="1" ht="24.75">
      <c r="A27" s="776" t="s">
        <v>342</v>
      </c>
      <c r="B27" s="244" t="s">
        <v>85</v>
      </c>
      <c r="C27" s="245">
        <f>C28</f>
        <v>1090</v>
      </c>
      <c r="D27" s="235">
        <f>C29</f>
        <v>1E-3</v>
      </c>
      <c r="E27" s="236" t="s">
        <v>99</v>
      </c>
      <c r="F27" s="246">
        <f>'数据-取费表'!Q16</f>
        <v>0.1</v>
      </c>
      <c r="G27" s="247" t="s">
        <v>431</v>
      </c>
    </row>
    <row r="28" spans="1:7" s="214" customFormat="1" ht="13.5" customHeight="1">
      <c r="A28" s="779" t="s">
        <v>349</v>
      </c>
      <c r="B28" s="248" t="s">
        <v>424</v>
      </c>
      <c r="C28" s="249">
        <f>ROUND((C5+C19+C20)*F27*'数据-取费表'!B21/'数据-取费表'!B20,0)</f>
        <v>1090</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11384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10266</v>
      </c>
      <c r="D34" s="217"/>
      <c r="E34" s="220"/>
      <c r="F34" s="257">
        <f>IF('数据-取费表'!B24=0,1,'数据-取费表'!N16)</f>
        <v>0.497</v>
      </c>
      <c r="G34" s="219" t="s">
        <v>89</v>
      </c>
    </row>
    <row r="35" spans="1:7" ht="13.5" customHeight="1">
      <c r="A35" s="779" t="s">
        <v>351</v>
      </c>
      <c r="B35" s="215" t="s">
        <v>33</v>
      </c>
      <c r="C35" s="220">
        <f>ROUND(C34*F35,0)</f>
        <v>308</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117</v>
      </c>
      <c r="D36" s="220"/>
      <c r="E36" s="220"/>
      <c r="F36" s="259">
        <f>'数据-取费表'!B34</f>
        <v>0.03</v>
      </c>
      <c r="G36" s="260" t="s">
        <v>35</v>
      </c>
    </row>
    <row r="37" spans="1:7" s="258" customFormat="1" ht="13.5" customHeight="1">
      <c r="A37" s="779" t="s">
        <v>353</v>
      </c>
      <c r="B37" s="215" t="s">
        <v>91</v>
      </c>
      <c r="C37" s="249">
        <f>ROUND(E37*D37*F34/10000,0)</f>
        <v>539</v>
      </c>
      <c r="D37" s="217">
        <f>'数据-汇总表'!E3</f>
        <v>54229.759999999966</v>
      </c>
      <c r="E37" s="249">
        <f>'数据-取费表'!B35</f>
        <v>200</v>
      </c>
      <c r="F37" s="259"/>
      <c r="G37" s="261" t="s">
        <v>92</v>
      </c>
    </row>
    <row r="38" spans="1:7" ht="13.5" customHeight="1">
      <c r="A38" s="779" t="s">
        <v>354</v>
      </c>
      <c r="B38" s="215" t="s">
        <v>36</v>
      </c>
      <c r="C38" s="220">
        <f>ROUND(C34*F38,0)</f>
        <v>154</v>
      </c>
      <c r="D38" s="220"/>
      <c r="E38" s="220"/>
      <c r="F38" s="259">
        <f>'数据-取费表'!B36</f>
        <v>1.4999999999999999E-2</v>
      </c>
      <c r="G38" s="219" t="s">
        <v>90</v>
      </c>
    </row>
    <row r="39" spans="1:7" s="214" customFormat="1" ht="13.5" customHeight="1">
      <c r="A39" s="776" t="s">
        <v>338</v>
      </c>
      <c r="B39" s="210" t="s">
        <v>77</v>
      </c>
      <c r="C39" s="232">
        <f>ROUND(C33*F20,0)</f>
        <v>228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297</v>
      </c>
      <c r="D41" s="235">
        <f ca="1">C44</f>
        <v>5.0000000000000001E-4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291</v>
      </c>
      <c r="D42" s="238"/>
      <c r="E42" s="238"/>
      <c r="F42" s="239"/>
      <c r="G42" s="3721" t="s">
        <v>94</v>
      </c>
    </row>
    <row r="43" spans="1:7" ht="13.5" customHeight="1">
      <c r="A43" s="779" t="s">
        <v>347</v>
      </c>
      <c r="B43" s="215" t="s">
        <v>426</v>
      </c>
      <c r="C43" s="238">
        <f ca="1">ROUND(IF('数据-取费表'!B22&lt;=1,C39*F22*'数据-取费表'!B21/2,C39*(POWER((1+F22),'数据-取费表'!B21/2)-1)),0)</f>
        <v>6</v>
      </c>
      <c r="D43" s="238"/>
      <c r="E43" s="238"/>
      <c r="F43" s="239"/>
      <c r="G43" s="3722"/>
    </row>
    <row r="44" spans="1:7" ht="13.5" customHeight="1">
      <c r="A44" s="779" t="s">
        <v>348</v>
      </c>
      <c r="B44" s="215" t="s">
        <v>428</v>
      </c>
      <c r="C44" s="238">
        <f ca="1">ROUND(IF('数据-取费表'!B22&lt;=1,C40*F22*'数据-取费表'!B21/2,C40*(POWER((1+F22),'数据-取费表'!B21/2)-1)),4)</f>
        <v>5.0000000000000001E-4</v>
      </c>
      <c r="D44" s="238"/>
      <c r="E44" s="238"/>
      <c r="F44" s="239"/>
      <c r="G44" s="3723"/>
    </row>
    <row r="45" spans="1:7" s="214" customFormat="1" ht="13.5" customHeight="1">
      <c r="A45" s="776" t="s">
        <v>341</v>
      </c>
      <c r="B45" s="244" t="s">
        <v>85</v>
      </c>
      <c r="C45" s="245">
        <f>C46</f>
        <v>1161</v>
      </c>
      <c r="D45" s="235">
        <f>C47</f>
        <v>2E-3</v>
      </c>
      <c r="E45" s="236" t="s">
        <v>102</v>
      </c>
      <c r="F45" s="246"/>
      <c r="G45" s="247" t="s">
        <v>434</v>
      </c>
    </row>
    <row r="46" spans="1:7" s="214" customFormat="1" ht="13.5" customHeight="1">
      <c r="A46" s="779" t="s">
        <v>349</v>
      </c>
      <c r="B46" s="248" t="s">
        <v>427</v>
      </c>
      <c r="C46" s="249">
        <f>ROUND((C33+C39)*F27,0)</f>
        <v>1161</v>
      </c>
      <c r="D46" s="263"/>
      <c r="E46" s="236"/>
      <c r="F46" s="246"/>
      <c r="G46" s="247"/>
    </row>
    <row r="47" spans="1:7" s="214" customFormat="1" ht="13.5" customHeight="1">
      <c r="A47" s="779" t="s">
        <v>347</v>
      </c>
      <c r="B47" s="248" t="s">
        <v>429</v>
      </c>
      <c r="C47" s="238">
        <f>ROUND(C40*F27,4)</f>
        <v>2E-3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14128</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14128</v>
      </c>
      <c r="D51" s="232"/>
      <c r="E51" s="232"/>
      <c r="F51" s="264"/>
      <c r="G51" s="234" t="s">
        <v>37</v>
      </c>
    </row>
    <row r="52" spans="1:7" s="208" customFormat="1" ht="16.5" thickBot="1">
      <c r="A52" s="265" t="s">
        <v>38</v>
      </c>
      <c r="B52" s="266"/>
      <c r="C52" s="267">
        <f ca="1">C31+C51</f>
        <v>40205</v>
      </c>
      <c r="D52" s="266"/>
      <c r="E52" s="266"/>
      <c r="F52" s="266"/>
      <c r="G52" s="268"/>
    </row>
    <row r="55" spans="1:7" ht="15">
      <c r="B55" s="270" t="s">
        <v>39</v>
      </c>
      <c r="C55" s="271"/>
    </row>
    <row r="56" spans="1:7">
      <c r="B56" s="273" t="s">
        <v>40</v>
      </c>
      <c r="C56" s="274">
        <f ca="1">ROUND(C51/C52,3)</f>
        <v>0.35099999999999998</v>
      </c>
    </row>
    <row r="57" spans="1:7">
      <c r="B57" s="273" t="s">
        <v>41</v>
      </c>
      <c r="C57" s="275">
        <f ca="1">1-C56</f>
        <v>0.64900000000000002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45" sqref="N45"/>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9" t="s">
        <v>2841</v>
      </c>
      <c r="B1" s="3819"/>
      <c r="C1" s="3819"/>
      <c r="D1" s="3819"/>
      <c r="E1" s="3819"/>
      <c r="F1" s="3819"/>
      <c r="G1" s="3820"/>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817"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818"/>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1" t="s">
        <v>3183</v>
      </c>
      <c r="B1" s="3821"/>
    </row>
    <row r="2" spans="1:7" ht="14.25" thickBot="1">
      <c r="A2" s="3251"/>
      <c r="B2" s="3251"/>
    </row>
    <row r="3" spans="1:7" ht="14.25" thickBot="1">
      <c r="A3" s="3251"/>
      <c r="B3" s="3251"/>
      <c r="C3" s="3252" t="s">
        <v>2809</v>
      </c>
      <c r="D3" s="3252" t="s">
        <v>2869</v>
      </c>
      <c r="E3" s="3252" t="s">
        <v>2811</v>
      </c>
      <c r="F3" s="3252" t="s">
        <v>2870</v>
      </c>
      <c r="G3" s="3252" t="s">
        <v>2629</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22" t="s">
        <v>3234</v>
      </c>
      <c r="B1" s="3822"/>
      <c r="C1" s="3822"/>
      <c r="D1" s="3822"/>
      <c r="E1" s="3822"/>
      <c r="F1" s="3823"/>
    </row>
    <row r="2" spans="1:6">
      <c r="A2" s="3287" t="s">
        <v>3235</v>
      </c>
      <c r="B2" s="3288"/>
      <c r="C2" s="3288"/>
      <c r="D2" s="3288"/>
      <c r="E2" s="3288"/>
      <c r="F2" s="3288"/>
    </row>
    <row r="3" spans="1:6">
      <c r="A3" s="3287" t="s">
        <v>3236</v>
      </c>
      <c r="B3" s="3288"/>
      <c r="C3" s="3288"/>
      <c r="D3" s="3288"/>
      <c r="E3" s="3288"/>
      <c r="F3" s="3289" t="s">
        <v>3237</v>
      </c>
    </row>
    <row r="4" spans="1:6">
      <c r="A4" s="3290" t="s">
        <v>672</v>
      </c>
      <c r="B4" s="3290" t="s">
        <v>673</v>
      </c>
      <c r="C4" s="3290" t="s">
        <v>21</v>
      </c>
      <c r="D4" s="3290" t="s">
        <v>674</v>
      </c>
      <c r="E4" s="3290" t="s">
        <v>3</v>
      </c>
      <c r="F4" s="3290" t="s">
        <v>3238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45009</v>
      </c>
      <c r="B1" s="3206" t="s">
        <v>2840</v>
      </c>
      <c r="C1" s="3207"/>
      <c r="D1" s="3207"/>
      <c r="E1" s="3207"/>
      <c r="F1" s="3207"/>
      <c r="G1" s="3207"/>
      <c r="H1" s="3207"/>
      <c r="I1" s="3207"/>
      <c r="J1" s="3161"/>
      <c r="K1" s="3207" t="s">
        <v>454</v>
      </c>
      <c r="L1" s="3207"/>
      <c r="M1" s="3207"/>
      <c r="N1" s="3207"/>
      <c r="O1" s="3207"/>
      <c r="P1" s="3207"/>
      <c r="Q1" s="3161"/>
      <c r="R1" s="3824" t="s">
        <v>456</v>
      </c>
      <c r="S1" s="3825"/>
      <c r="T1" s="3825"/>
      <c r="U1" s="3825"/>
      <c r="V1" s="3825"/>
      <c r="W1" s="3825"/>
      <c r="X1" s="3161"/>
      <c r="Y1" s="3824" t="s">
        <v>457</v>
      </c>
      <c r="Z1" s="3825"/>
      <c r="AA1" s="3825"/>
      <c r="AB1" s="3825"/>
      <c r="AC1" s="3825"/>
      <c r="AD1" s="3825"/>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3371</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2818</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3366</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3357</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3369</v>
      </c>
    </row>
    <row r="19" spans="1:30" s="3005" customFormat="1">
      <c r="I19" s="3204" t="s">
        <v>2825</v>
      </c>
    </row>
    <row r="20" spans="1:30" s="3005" customFormat="1"/>
    <row r="21" spans="1:30" s="3205" customFormat="1" ht="12.75">
      <c r="B21" s="3206" t="s">
        <v>2826</v>
      </c>
      <c r="C21" s="3207"/>
      <c r="D21" s="3207"/>
      <c r="E21" s="3207"/>
      <c r="F21" s="3207"/>
      <c r="G21" s="3207"/>
      <c r="H21" s="3207"/>
      <c r="I21" s="3207"/>
      <c r="J21" s="3161"/>
      <c r="K21" s="3207" t="s">
        <v>2827</v>
      </c>
      <c r="L21" s="3207"/>
      <c r="M21" s="3207"/>
      <c r="N21" s="3207"/>
      <c r="O21" s="3207"/>
      <c r="P21" s="3207"/>
      <c r="Q21" s="3161"/>
      <c r="R21" s="3824" t="s">
        <v>2828</v>
      </c>
      <c r="S21" s="3825"/>
      <c r="T21" s="3825"/>
      <c r="U21" s="3825"/>
      <c r="V21" s="3825"/>
      <c r="W21" s="3825"/>
      <c r="X21" s="3161"/>
      <c r="Y21" s="3824" t="s">
        <v>2829</v>
      </c>
      <c r="Z21" s="3825"/>
      <c r="AA21" s="3825"/>
      <c r="AB21" s="3825"/>
      <c r="AC21" s="3825"/>
      <c r="AD21" s="3825"/>
    </row>
    <row r="22" spans="1:30" s="3139" customFormat="1" ht="14.2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2.75">
      <c r="A23" s="3145" t="s">
        <v>2835</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3371</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2818</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3367</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3368</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3357</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3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2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2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3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2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2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2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2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2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2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2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2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2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2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2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2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2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2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45009</v>
      </c>
      <c r="D1" s="1301" t="s">
        <v>603</v>
      </c>
      <c r="E1" s="1296">
        <f>'数据-取费表'!B22</f>
        <v>2.5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2308</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0"/>
      <c r="B3" s="3510"/>
      <c r="C3" s="3510"/>
      <c r="D3" s="853" t="s">
        <v>925</v>
      </c>
      <c r="E3" s="853" t="s">
        <v>931</v>
      </c>
      <c r="F3" s="853" t="s">
        <v>925</v>
      </c>
      <c r="G3" s="853" t="s">
        <v>926</v>
      </c>
      <c r="H3" s="853" t="s">
        <v>925</v>
      </c>
      <c r="I3" s="853" t="s">
        <v>926</v>
      </c>
    </row>
    <row r="4" spans="1:9" ht="60">
      <c r="A4" s="1504" t="str">
        <f>项目基本情况!S2</f>
        <v>北京市昌平区东小口马连店1803-610地块R2二类居住用地出让国有建设用地使用权及在建建筑物房地产</v>
      </c>
      <c r="B4" s="853">
        <f>项目基本情况!C17</f>
        <v>54229.759999999966</v>
      </c>
      <c r="C4" s="853">
        <f>项目基本情况!C18</f>
        <v>13913.02</v>
      </c>
      <c r="D4" s="853">
        <f ca="1">结果表!D118</f>
        <v>130285</v>
      </c>
      <c r="E4" s="853">
        <f ca="1">结果表!E118</f>
        <v>24024</v>
      </c>
      <c r="F4" s="853">
        <f ca="1">结果表!F118</f>
        <v>13676</v>
      </c>
      <c r="G4" s="853">
        <f ca="1">结果表!G118</f>
        <v>2522</v>
      </c>
      <c r="H4" s="853">
        <f ca="1">结果表!H118</f>
        <v>143961</v>
      </c>
      <c r="I4" s="853">
        <f ca="1">结果表!I118</f>
        <v>26546</v>
      </c>
    </row>
    <row r="5" spans="1:9" ht="30" customHeight="1">
      <c r="A5" s="3510" t="s">
        <v>927</v>
      </c>
      <c r="B5" s="3510"/>
      <c r="C5" s="3510"/>
      <c r="D5" s="3510" t="str">
        <f ca="1">结果表!D119</f>
        <v>壹拾叁亿零贰佰捌拾伍万元整</v>
      </c>
      <c r="E5" s="3510"/>
      <c r="F5" s="3510" t="str">
        <f ca="1">结果表!F119</f>
        <v>壹亿叁仟陆佰柒拾陆万元整</v>
      </c>
      <c r="G5" s="3510"/>
      <c r="H5" s="3510" t="str">
        <f ca="1">结果表!H119</f>
        <v>壹拾肆亿叁仟玖佰陆拾壹万元整</v>
      </c>
      <c r="I5" s="3510"/>
    </row>
    <row r="6" spans="1:9" ht="15.75">
      <c r="A6" s="3509" t="str">
        <f>结果表!A120</f>
        <v>估价师知悉的法定优先受偿款</v>
      </c>
      <c r="B6" s="3509"/>
      <c r="C6" s="3509"/>
      <c r="D6" s="3509">
        <f>结果表!D120</f>
        <v>0</v>
      </c>
      <c r="E6" s="3509"/>
      <c r="F6" s="3509"/>
      <c r="G6" s="3509"/>
      <c r="H6" s="3509"/>
      <c r="I6" s="3509"/>
    </row>
    <row r="7" spans="1:9" ht="15">
      <c r="A7" s="3510" t="s">
        <v>927</v>
      </c>
      <c r="B7" s="3510"/>
      <c r="C7" s="3510"/>
      <c r="D7" s="3511" t="str">
        <f>结果表!D121</f>
        <v>零元整</v>
      </c>
      <c r="E7" s="3512"/>
      <c r="F7" s="3512"/>
      <c r="G7" s="3512"/>
      <c r="H7" s="3512"/>
      <c r="I7" s="3513"/>
    </row>
    <row r="8" spans="1:9" ht="15.75">
      <c r="A8" s="3509" t="str">
        <f>结果表!A122</f>
        <v>房地产抵押价值</v>
      </c>
      <c r="B8" s="3509"/>
      <c r="C8" s="3509"/>
      <c r="D8" s="3509">
        <f ca="1">结果表!D122</f>
        <v>143961</v>
      </c>
      <c r="E8" s="3509"/>
      <c r="F8" s="3509"/>
      <c r="G8" s="3509"/>
      <c r="H8" s="3509"/>
      <c r="I8" s="3509"/>
    </row>
    <row r="9" spans="1:9" ht="15">
      <c r="A9" s="3510" t="s">
        <v>927</v>
      </c>
      <c r="B9" s="3510"/>
      <c r="C9" s="3510"/>
      <c r="D9" s="3510" t="str">
        <f ca="1">结果表!D123</f>
        <v>壹拾肆亿叁仟玖佰陆拾壹万元整</v>
      </c>
      <c r="E9" s="3510"/>
      <c r="F9" s="3510"/>
      <c r="G9" s="3510"/>
      <c r="H9" s="3510"/>
      <c r="I9" s="3510"/>
    </row>
    <row r="10" spans="1:9" ht="15.75">
      <c r="A10" s="3509" t="str">
        <f>结果表!A124</f>
        <v/>
      </c>
      <c r="B10" s="3509"/>
      <c r="C10" s="3509"/>
      <c r="D10" s="3509" t="str">
        <f>结果表!D124</f>
        <v>——</v>
      </c>
      <c r="E10" s="3509"/>
      <c r="F10" s="3509"/>
      <c r="G10" s="3509"/>
      <c r="H10" s="3509"/>
      <c r="I10" s="3509"/>
    </row>
    <row r="11" spans="1:9" ht="15">
      <c r="A11" s="3510" t="s">
        <v>927</v>
      </c>
      <c r="B11" s="3510"/>
      <c r="C11" s="3510"/>
      <c r="D11" s="3510" t="e">
        <f>结果表!D125</f>
        <v>#VALUE!</v>
      </c>
      <c r="E11" s="3510"/>
      <c r="F11" s="3510"/>
      <c r="G11" s="3510"/>
      <c r="H11" s="3510"/>
      <c r="I11" s="3510"/>
    </row>
    <row r="12" spans="1:9" ht="15.75">
      <c r="A12" s="3509" t="str">
        <f>结果表!A126</f>
        <v/>
      </c>
      <c r="B12" s="3509"/>
      <c r="C12" s="3509"/>
      <c r="D12" s="3509" t="str">
        <f>结果表!D126</f>
        <v>——</v>
      </c>
      <c r="E12" s="3509"/>
      <c r="F12" s="3509"/>
      <c r="G12" s="3509"/>
      <c r="H12" s="3509"/>
      <c r="I12" s="3509"/>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2" t="s">
        <v>949</v>
      </c>
      <c r="B1" s="3522"/>
      <c r="C1" s="3522"/>
      <c r="D1" s="3522"/>
    </row>
    <row r="2" spans="1:4" ht="18">
      <c r="A2" s="3523" t="s">
        <v>933</v>
      </c>
      <c r="B2" s="3523"/>
      <c r="C2" s="3523"/>
      <c r="D2" s="3523"/>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523" t="s">
        <v>939</v>
      </c>
      <c r="B6" s="3523"/>
      <c r="C6" s="3523"/>
      <c r="D6" s="352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24"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16" t="str">
        <f>IF(项目基本情况!B8="抵押","4.本次评估估价师所知悉的法定优先受偿款情况说明如下：","——")</f>
        <v>4.本次评估估价师所知悉的法定优先受偿款情况说明如下：</v>
      </c>
      <c r="B14" s="3521"/>
      <c r="C14" s="3521"/>
      <c r="D14" s="3521"/>
    </row>
    <row r="15" spans="1:4" ht="42" customHeight="1">
      <c r="A15" s="351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8" t="s">
        <v>943</v>
      </c>
      <c r="B16" s="3518"/>
      <c r="C16" s="3518"/>
      <c r="D16" s="3518"/>
    </row>
    <row r="17" spans="1:4" ht="144" customHeight="1">
      <c r="A17" s="3518" t="s">
        <v>944</v>
      </c>
      <c r="B17" s="3518"/>
      <c r="C17" s="3518"/>
      <c r="D17" s="3518"/>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7">
        <v>42551</v>
      </c>
      <c r="D31" s="35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0" t="s">
        <v>956</v>
      </c>
      <c r="B15" s="3525" t="s">
        <v>109</v>
      </c>
      <c r="C15" s="3526"/>
    </row>
    <row r="16" spans="1:7" ht="13.5">
      <c r="A16" s="3531"/>
      <c r="B16" s="3525" t="s">
        <v>42</v>
      </c>
      <c r="C16" s="3526"/>
    </row>
    <row r="17" spans="1:3" ht="13.5">
      <c r="A17" s="3531"/>
      <c r="B17" s="3528" t="s">
        <v>957</v>
      </c>
      <c r="C17" s="1531" t="s">
        <v>956</v>
      </c>
    </row>
    <row r="18" spans="1:3" ht="13.5">
      <c r="A18" s="3531"/>
      <c r="B18" s="3528"/>
      <c r="C18" s="1531" t="s">
        <v>958</v>
      </c>
    </row>
    <row r="19" spans="1:3" ht="13.5">
      <c r="A19" s="3531"/>
      <c r="B19" s="3528"/>
      <c r="C19" s="1531" t="s">
        <v>959</v>
      </c>
    </row>
    <row r="20" spans="1:3" ht="13.5">
      <c r="A20" s="3532"/>
      <c r="B20" s="3527" t="s">
        <v>960</v>
      </c>
      <c r="C20" s="3526"/>
    </row>
    <row r="21" spans="1:3" ht="13.5">
      <c r="A21" s="1532" t="s">
        <v>961</v>
      </c>
      <c r="B21" s="1533"/>
      <c r="C21" s="1534"/>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1" t="s">
        <v>967</v>
      </c>
    </row>
    <row r="26" spans="1:3" ht="13.5">
      <c r="A26" s="3529"/>
      <c r="B26" s="3528"/>
      <c r="C26" s="1531" t="s">
        <v>968</v>
      </c>
    </row>
    <row r="27" spans="1:3" ht="13.5">
      <c r="A27" s="3529"/>
      <c r="B27" s="3528"/>
      <c r="C27" s="1531" t="s">
        <v>969</v>
      </c>
    </row>
    <row r="28" spans="1:3" ht="13.5">
      <c r="A28" s="3529"/>
      <c r="B28" s="3528"/>
      <c r="C28" s="1531" t="s">
        <v>970</v>
      </c>
    </row>
    <row r="29" spans="1:3" ht="13.5">
      <c r="A29" s="3529"/>
      <c r="B29" s="3528"/>
      <c r="C29" s="1531" t="s">
        <v>971</v>
      </c>
    </row>
    <row r="30" spans="1:3" ht="13.5">
      <c r="A30" s="3529"/>
      <c r="B30" s="3528"/>
      <c r="C30" s="1531" t="s">
        <v>972</v>
      </c>
    </row>
    <row r="31" spans="1:3" ht="13.5">
      <c r="A31" s="3529"/>
      <c r="B31" s="3528"/>
      <c r="C31" s="1531" t="s">
        <v>973</v>
      </c>
    </row>
    <row r="32" spans="1:3" ht="13.5">
      <c r="A32" s="3529"/>
      <c r="B32" s="3528"/>
      <c r="C32" s="1531" t="s">
        <v>974</v>
      </c>
    </row>
    <row r="33" spans="1:3" ht="13.5">
      <c r="A33" s="3529"/>
      <c r="B33" s="352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45015</v>
      </c>
      <c r="C2" s="2338" t="s">
        <v>2139</v>
      </c>
      <c r="D2" s="2338"/>
      <c r="E2" s="2338"/>
      <c r="F2" s="2334"/>
      <c r="G2" s="2334"/>
      <c r="H2" s="2334"/>
    </row>
    <row r="3" spans="1:8" ht="24" customHeight="1">
      <c r="A3" s="2339" t="s">
        <v>2140</v>
      </c>
      <c r="B3" s="2340" t="s">
        <v>2141</v>
      </c>
      <c r="C3" s="2340" t="s">
        <v>2142</v>
      </c>
      <c r="D3" s="2341" t="s">
        <v>2143</v>
      </c>
      <c r="E3" s="2342" t="s">
        <v>2144</v>
      </c>
      <c r="F3" s="1303" t="s">
        <v>2145</v>
      </c>
      <c r="G3" s="2340" t="s">
        <v>2142</v>
      </c>
      <c r="H3" s="2341" t="s">
        <v>2146</v>
      </c>
    </row>
    <row r="4" spans="1:8" ht="24" customHeight="1">
      <c r="A4" s="1303" t="s">
        <v>2147</v>
      </c>
      <c r="B4" s="1303">
        <f ca="1">IF(C4&lt;B2,"已过期",1119970066)</f>
        <v>1119970066</v>
      </c>
      <c r="C4" s="2343">
        <v>45937</v>
      </c>
      <c r="D4" s="2344" t="str">
        <f ca="1">A4&amp;"（注册号："&amp;B4&amp;"）"</f>
        <v>梁津（注册号：1119970066）</v>
      </c>
      <c r="E4" s="2345" t="s">
        <v>2147</v>
      </c>
      <c r="F4" s="1303">
        <f ca="1">IF(G4&lt;B2,"已过期",96010014)</f>
        <v>96010014</v>
      </c>
      <c r="G4" s="2346">
        <v>47118</v>
      </c>
      <c r="H4" s="2347" t="str">
        <f ca="1">E4&amp;"（注册号："&amp;F4&amp;"）"</f>
        <v>梁津（注册号：96010014）</v>
      </c>
    </row>
    <row r="5" spans="1:8" ht="24" customHeight="1">
      <c r="A5" s="1303" t="s">
        <v>2148</v>
      </c>
      <c r="B5" s="1303">
        <f ca="1">IF(C5&lt;B2,"已过期",1119970111)</f>
        <v>1119970111</v>
      </c>
      <c r="C5" s="2343">
        <v>45937</v>
      </c>
      <c r="D5" s="2344" t="str">
        <f t="shared" ref="D5:D15" ca="1" si="0">A5&amp;"（注册号："&amp;B5&amp;"）"</f>
        <v>叶凌（注册号：1119970111）</v>
      </c>
      <c r="E5" s="2345" t="s">
        <v>2148</v>
      </c>
      <c r="F5" s="1303">
        <f ca="1">IF(G5&lt;B2,"已过期",94010078)</f>
        <v>94010078</v>
      </c>
      <c r="G5" s="2346">
        <v>46387</v>
      </c>
      <c r="H5" s="2347" t="str">
        <f t="shared" ref="H5:H16" ca="1" si="1">E5&amp;"（注册号："&amp;F5&amp;"）"</f>
        <v>叶凌（注册号：94010078）</v>
      </c>
    </row>
    <row r="6" spans="1:8" ht="24" customHeight="1">
      <c r="A6" s="1303" t="s">
        <v>2149</v>
      </c>
      <c r="B6" s="1303">
        <f ca="1">IF(C6&lt;B2,"已过期",1120050019)</f>
        <v>1120050019</v>
      </c>
      <c r="C6" s="2343">
        <v>45410</v>
      </c>
      <c r="D6" s="2344" t="str">
        <f t="shared" ca="1" si="0"/>
        <v>王鹏（注册号：1120050019）</v>
      </c>
      <c r="E6" s="2345" t="s">
        <v>2149</v>
      </c>
      <c r="F6" s="1303">
        <f ca="1">IF(G6&lt;B2,"已过期",2002110030)</f>
        <v>2002110030</v>
      </c>
      <c r="G6" s="2346">
        <v>46387</v>
      </c>
      <c r="H6" s="2347" t="str">
        <f t="shared" ca="1" si="1"/>
        <v>王鹏（注册号：2002110030）</v>
      </c>
    </row>
    <row r="7" spans="1:8" ht="24" customHeight="1">
      <c r="A7" s="1303" t="s">
        <v>2150</v>
      </c>
      <c r="B7" s="1303">
        <f ca="1">IF(C7&lt;B2,"已过期",1120000080)</f>
        <v>1120000080</v>
      </c>
      <c r="C7" s="2343">
        <v>45937</v>
      </c>
      <c r="D7" s="2344" t="str">
        <f t="shared" ca="1" si="0"/>
        <v>欧红伟（注册号：1120000080）</v>
      </c>
      <c r="E7" s="2345" t="s">
        <v>2150</v>
      </c>
      <c r="F7" s="1303">
        <f ca="1">IF(G7&lt;B2,"已过期",2000110082)</f>
        <v>2000110082</v>
      </c>
      <c r="G7" s="2346">
        <v>46387</v>
      </c>
      <c r="H7" s="2347" t="str">
        <f t="shared" ca="1" si="1"/>
        <v>欧红伟（注册号：2000110082）</v>
      </c>
    </row>
    <row r="8" spans="1:8" ht="24" customHeight="1">
      <c r="A8" s="1303" t="s">
        <v>2151</v>
      </c>
      <c r="B8" s="1303">
        <f ca="1">IF(C8&lt;B2,"已过期",1419970001)</f>
        <v>1419970001</v>
      </c>
      <c r="C8" s="2343">
        <v>45937</v>
      </c>
      <c r="D8" s="2344" t="str">
        <f t="shared" ca="1" si="0"/>
        <v>吴薇（注册号：1419970001）</v>
      </c>
      <c r="E8" s="2345" t="s">
        <v>2151</v>
      </c>
      <c r="F8" s="1303">
        <f ca="1">IF(G8&lt;B2,"已过期",2002110125)</f>
        <v>2002110125</v>
      </c>
      <c r="G8" s="2346">
        <v>47118</v>
      </c>
      <c r="H8" s="2347" t="str">
        <f t="shared" ca="1" si="1"/>
        <v>吴薇（注册号：2002110125）</v>
      </c>
    </row>
    <row r="9" spans="1:8" ht="24" customHeight="1">
      <c r="A9" s="1303" t="s">
        <v>2152</v>
      </c>
      <c r="B9" s="1303">
        <f ca="1">IF(C9&lt;B2,"已过期",1120060040)</f>
        <v>1120060040</v>
      </c>
      <c r="C9" s="2348">
        <v>45592</v>
      </c>
      <c r="D9" s="2344" t="str">
        <f t="shared" ca="1" si="0"/>
        <v>陈颖（注册号：1120060040）</v>
      </c>
      <c r="E9" s="2345" t="s">
        <v>2152</v>
      </c>
      <c r="F9" s="1303">
        <f ca="1">IF(G9&lt;B2,"已过期",2004110096)</f>
        <v>2004110096</v>
      </c>
      <c r="G9" s="2346">
        <v>47118</v>
      </c>
      <c r="H9" s="2347" t="str">
        <f t="shared" ca="1" si="1"/>
        <v>陈颖（注册号：2004110096）</v>
      </c>
    </row>
    <row r="10" spans="1:8" ht="24" customHeight="1">
      <c r="A10" s="1303" t="s">
        <v>2153</v>
      </c>
      <c r="B10" s="1303">
        <f ca="1">IF(C10&lt;B2,"已过期",1120100036)</f>
        <v>1120100036</v>
      </c>
      <c r="C10" s="2348">
        <v>45752</v>
      </c>
      <c r="D10" s="2344" t="str">
        <f t="shared" ca="1" si="0"/>
        <v>崔锴（注册号：1120100036）</v>
      </c>
      <c r="E10" s="2345" t="s">
        <v>2153</v>
      </c>
      <c r="F10" s="1303">
        <f ca="1">IF(G10&lt;B2,"已过期",2010110070)</f>
        <v>2010110070</v>
      </c>
      <c r="G10" s="2346">
        <v>47907</v>
      </c>
      <c r="H10" s="2347" t="str">
        <f t="shared" ca="1" si="1"/>
        <v>崔锴（注册号：2010110070）</v>
      </c>
    </row>
    <row r="11" spans="1:8" ht="24" customHeight="1">
      <c r="A11" s="1303" t="s">
        <v>2154</v>
      </c>
      <c r="B11" s="1303">
        <f ca="1">IF(C11&lt;B2,"已过期",1120070131)</f>
        <v>1120070131</v>
      </c>
      <c r="C11" s="2343">
        <v>45937</v>
      </c>
      <c r="D11" s="2344" t="str">
        <f t="shared" ca="1" si="0"/>
        <v>郑燚（注册号：1120070131）</v>
      </c>
      <c r="E11" s="2345" t="s">
        <v>2154</v>
      </c>
      <c r="F11" s="1303">
        <f ca="1">IF(G11&lt;B2,"已过期",2014110011)</f>
        <v>2014110011</v>
      </c>
      <c r="G11" s="2346">
        <v>49302</v>
      </c>
      <c r="H11" s="2347" t="str">
        <f t="shared" ca="1" si="1"/>
        <v>郑燚（注册号：2014110011）</v>
      </c>
    </row>
    <row r="12" spans="1:8" ht="24" customHeight="1">
      <c r="A12" s="1303" t="s">
        <v>2155</v>
      </c>
      <c r="B12" s="1303">
        <f ca="1">IF(C12&lt;B2,"已过期",1120040230)</f>
        <v>1120040230</v>
      </c>
      <c r="C12" s="2348">
        <v>45937</v>
      </c>
      <c r="D12" s="2344" t="str">
        <f t="shared" ca="1" si="0"/>
        <v>苏海（注册号：1120040230）</v>
      </c>
      <c r="E12" s="2345" t="s">
        <v>2155</v>
      </c>
      <c r="F12" s="1303">
        <f ca="1">IF(G12&lt;B2,"已过期",98030020)</f>
        <v>98030020</v>
      </c>
      <c r="G12" s="2346">
        <v>47118</v>
      </c>
      <c r="H12" s="2347" t="str">
        <f t="shared" ca="1" si="1"/>
        <v>苏海（注册号：98030020）</v>
      </c>
    </row>
    <row r="13" spans="1:8" ht="24" customHeight="1">
      <c r="A13" s="1303" t="s">
        <v>2156</v>
      </c>
      <c r="B13" s="1303">
        <f ca="1">IF(C13&lt;B2,"已过期",1120020033)</f>
        <v>1120020033</v>
      </c>
      <c r="C13" s="2343">
        <v>45375</v>
      </c>
      <c r="D13" s="2344" t="str">
        <f t="shared" ca="1" si="0"/>
        <v>刘敬东（注册号：1120020033）</v>
      </c>
      <c r="E13" s="2345" t="s">
        <v>2156</v>
      </c>
      <c r="F13" s="1303">
        <f ca="1">IF(G13&lt;B2,"已过期",2000110137)</f>
        <v>2000110137</v>
      </c>
      <c r="G13" s="2346">
        <v>46387</v>
      </c>
      <c r="H13" s="2347" t="str">
        <f t="shared" ca="1" si="1"/>
        <v>刘敬东（注册号：2000110137）</v>
      </c>
    </row>
    <row r="14" spans="1:8" ht="24" customHeight="1">
      <c r="A14" s="1303" t="s">
        <v>2157</v>
      </c>
      <c r="B14" s="1303" t="str">
        <f ca="1">IF(C14&lt;B2,"已过期",1119980106)</f>
        <v>已过期</v>
      </c>
      <c r="C14" s="2348">
        <v>44969</v>
      </c>
      <c r="D14" s="2344" t="str">
        <f t="shared" ca="1" si="0"/>
        <v>刘俊财（注册号：已过期）</v>
      </c>
      <c r="E14" s="2345" t="s">
        <v>2157</v>
      </c>
      <c r="F14" s="1303">
        <f ca="1">IF(G14&lt;B2,"已过期",96010063)</f>
        <v>96010063</v>
      </c>
      <c r="G14" s="2346">
        <v>47483</v>
      </c>
      <c r="H14" s="2347" t="str">
        <f t="shared" ca="1" si="1"/>
        <v>刘俊财（注册号：96010063）</v>
      </c>
    </row>
    <row r="15" spans="1:8" ht="24" customHeight="1">
      <c r="A15" s="1303" t="s">
        <v>2435</v>
      </c>
      <c r="B15" s="1303">
        <v>1120210056</v>
      </c>
      <c r="C15" s="2348">
        <v>45410</v>
      </c>
      <c r="D15" s="2344" t="str">
        <f t="shared" si="0"/>
        <v>宁小鳗（注册号：1120210056）</v>
      </c>
      <c r="E15" s="2345" t="s">
        <v>2158</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33" t="s">
        <v>2159</v>
      </c>
      <c r="B17" s="3533"/>
      <c r="C17" s="3533"/>
      <c r="D17" s="3533"/>
      <c r="E17" s="3533"/>
      <c r="F17" s="3533"/>
      <c r="G17" s="3533"/>
      <c r="H17" s="3533"/>
    </row>
    <row r="18" spans="1:8" ht="24" customHeight="1">
      <c r="A18" s="3534" t="s">
        <v>2160</v>
      </c>
      <c r="B18" s="3534"/>
      <c r="C18" s="3534"/>
      <c r="D18" s="2341"/>
      <c r="E18" s="3535" t="s">
        <v>2161</v>
      </c>
      <c r="F18" s="3534"/>
      <c r="G18" s="353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土地比较法-住宅、综合</vt:lpstr>
      <vt:lpstr>土地</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2023-03-30T05:44:40Z</dcterms:modified>
</cp:coreProperties>
</file>